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50" yWindow="180" windowWidth="18345" windowHeight="12615"/>
  </bookViews>
  <sheets>
    <sheet name="SAPKE60428-40,60501-17 " sheetId="1" r:id="rId1"/>
  </sheets>
  <definedNames>
    <definedName name="_xlnm._FilterDatabase" localSheetId="0" hidden="1">'SAPKE60428-40,60501-17 '!$A$1:$F$3943</definedName>
  </definedNames>
  <calcPr calcId="145621"/>
</workbook>
</file>

<file path=xl/calcChain.xml><?xml version="1.0" encoding="utf-8"?>
<calcChain xmlns="http://schemas.openxmlformats.org/spreadsheetml/2006/main">
  <c r="D5521" i="1" l="1"/>
  <c r="D5520" i="1"/>
  <c r="D5519" i="1"/>
  <c r="D5518" i="1"/>
  <c r="D5517" i="1"/>
  <c r="D5516" i="1"/>
  <c r="D5514" i="1"/>
  <c r="D5513" i="1"/>
  <c r="D5512" i="1"/>
  <c r="D5511" i="1"/>
  <c r="D5510" i="1"/>
  <c r="D5509" i="1"/>
  <c r="D5508" i="1"/>
  <c r="D5507" i="1"/>
  <c r="D5505" i="1"/>
  <c r="D5504" i="1"/>
  <c r="D5503" i="1"/>
  <c r="D5502" i="1"/>
  <c r="D5501" i="1"/>
  <c r="D5500" i="1"/>
  <c r="D5499" i="1"/>
  <c r="D5498" i="1"/>
  <c r="D5497" i="1"/>
  <c r="D5496" i="1"/>
  <c r="D5495" i="1"/>
  <c r="D5494" i="1"/>
  <c r="D5493" i="1"/>
  <c r="D5492" i="1"/>
  <c r="D5491" i="1"/>
  <c r="D5490" i="1"/>
  <c r="D5489" i="1"/>
  <c r="D5488" i="1"/>
  <c r="D5487" i="1"/>
  <c r="D5486" i="1"/>
  <c r="D5485" i="1"/>
  <c r="D5484" i="1"/>
  <c r="D5483" i="1"/>
  <c r="D5482" i="1"/>
  <c r="D5481" i="1"/>
  <c r="D5480" i="1"/>
  <c r="D5479" i="1"/>
  <c r="D5478" i="1"/>
  <c r="D5477" i="1"/>
  <c r="D5476" i="1"/>
  <c r="D5475" i="1"/>
  <c r="D5474" i="1"/>
  <c r="D5473" i="1"/>
  <c r="D5472" i="1"/>
  <c r="D5471" i="1"/>
  <c r="D5470" i="1"/>
  <c r="D5469" i="1"/>
  <c r="D5468" i="1"/>
  <c r="D5467" i="1"/>
  <c r="D5466" i="1"/>
  <c r="D5465" i="1"/>
  <c r="D5464" i="1"/>
  <c r="D5463" i="1"/>
  <c r="D5462" i="1"/>
  <c r="D5461" i="1"/>
  <c r="D5460" i="1"/>
  <c r="D5459" i="1"/>
  <c r="D5458" i="1"/>
  <c r="D5457" i="1"/>
  <c r="D5456" i="1"/>
  <c r="D5455" i="1"/>
  <c r="D5454" i="1"/>
  <c r="D5453" i="1"/>
  <c r="D5452" i="1"/>
  <c r="D5451" i="1"/>
  <c r="D5450" i="1"/>
  <c r="D5449" i="1"/>
  <c r="D5448" i="1"/>
  <c r="D5447" i="1"/>
  <c r="D5446" i="1"/>
  <c r="D5445" i="1"/>
  <c r="D5444" i="1"/>
  <c r="D5443" i="1"/>
  <c r="D5442" i="1"/>
  <c r="D5441" i="1"/>
  <c r="D5440" i="1"/>
  <c r="D5439" i="1"/>
  <c r="D5438" i="1"/>
  <c r="D5437" i="1"/>
  <c r="D5436" i="1"/>
  <c r="D5435" i="1"/>
  <c r="D5434" i="1"/>
  <c r="D5433" i="1"/>
  <c r="D5432" i="1"/>
  <c r="D5431" i="1"/>
  <c r="D5430" i="1"/>
  <c r="D5429" i="1"/>
  <c r="D5428" i="1"/>
  <c r="D5427" i="1"/>
  <c r="D5426" i="1"/>
  <c r="D5425" i="1"/>
  <c r="D5424" i="1"/>
  <c r="D5423" i="1"/>
  <c r="D5422" i="1"/>
  <c r="D5421" i="1"/>
  <c r="D5420" i="1"/>
  <c r="D5419" i="1"/>
  <c r="D5417" i="1"/>
  <c r="D5416" i="1"/>
  <c r="D5415" i="1"/>
  <c r="D5414" i="1"/>
  <c r="D5413" i="1"/>
  <c r="D5412" i="1"/>
  <c r="D5411" i="1"/>
  <c r="D5410" i="1"/>
  <c r="D5409" i="1"/>
  <c r="D5408" i="1"/>
  <c r="D5407" i="1"/>
  <c r="D5406" i="1"/>
  <c r="D5405" i="1"/>
  <c r="D5404" i="1"/>
  <c r="D5403" i="1"/>
  <c r="D5402" i="1"/>
  <c r="D5401" i="1"/>
  <c r="D5400" i="1"/>
  <c r="D5399" i="1"/>
  <c r="D5398" i="1"/>
  <c r="D5397" i="1"/>
  <c r="D5396" i="1"/>
  <c r="D5395" i="1"/>
  <c r="D5394" i="1"/>
  <c r="D5393" i="1"/>
  <c r="D5392" i="1"/>
  <c r="D5391" i="1"/>
  <c r="D5390" i="1"/>
  <c r="D5389" i="1"/>
  <c r="D5388" i="1"/>
  <c r="D5386" i="1"/>
  <c r="D5385" i="1"/>
  <c r="D5384" i="1"/>
  <c r="D5381" i="1"/>
  <c r="D5380" i="1"/>
  <c r="D5379" i="1"/>
  <c r="D5378" i="1"/>
  <c r="D5377" i="1"/>
  <c r="D5376" i="1"/>
  <c r="D5375" i="1"/>
  <c r="D5374" i="1"/>
  <c r="D5373" i="1"/>
  <c r="D5372" i="1"/>
  <c r="D5371" i="1"/>
  <c r="D5370" i="1"/>
  <c r="D5369" i="1"/>
  <c r="D5368" i="1"/>
  <c r="D5367" i="1"/>
  <c r="D5366" i="1"/>
  <c r="D5365" i="1"/>
  <c r="D5364" i="1"/>
  <c r="D5363" i="1"/>
  <c r="D5362" i="1"/>
  <c r="D5361" i="1"/>
  <c r="D5360" i="1"/>
  <c r="D5359" i="1"/>
  <c r="D5358" i="1"/>
  <c r="D5357" i="1"/>
  <c r="D5356" i="1"/>
  <c r="D5355" i="1"/>
  <c r="D5354" i="1"/>
  <c r="D5353" i="1"/>
  <c r="D5352" i="1"/>
  <c r="D5351" i="1"/>
  <c r="D5350" i="1"/>
  <c r="D5349" i="1"/>
  <c r="D5348" i="1"/>
  <c r="D5347" i="1"/>
  <c r="D5346" i="1"/>
  <c r="D5345" i="1"/>
  <c r="D5344" i="1"/>
  <c r="D5343" i="1"/>
  <c r="D5342" i="1"/>
  <c r="D5341" i="1"/>
  <c r="D5340" i="1"/>
  <c r="D5339" i="1"/>
  <c r="D5338" i="1"/>
  <c r="D5337" i="1"/>
  <c r="D5336" i="1"/>
  <c r="D5334" i="1"/>
  <c r="D5333" i="1"/>
  <c r="D5332" i="1"/>
  <c r="D5331" i="1"/>
  <c r="D5330" i="1"/>
  <c r="D5329" i="1"/>
  <c r="D5328" i="1"/>
  <c r="D5327" i="1"/>
  <c r="D5326" i="1"/>
  <c r="D5325" i="1"/>
  <c r="D5324" i="1"/>
  <c r="D5323" i="1"/>
  <c r="D5322" i="1"/>
  <c r="D5321" i="1"/>
  <c r="D5320" i="1"/>
  <c r="D5319" i="1"/>
  <c r="D5318" i="1"/>
  <c r="D5317" i="1"/>
  <c r="D5316" i="1"/>
  <c r="D5315" i="1"/>
  <c r="D5314" i="1"/>
  <c r="D5313" i="1"/>
  <c r="D5312" i="1"/>
  <c r="D5311" i="1"/>
  <c r="D5310" i="1"/>
  <c r="D5309" i="1"/>
  <c r="D5308" i="1"/>
  <c r="D5307" i="1"/>
  <c r="D5306" i="1"/>
  <c r="D5304" i="1"/>
  <c r="D5303" i="1"/>
  <c r="D5302" i="1"/>
  <c r="D5301" i="1"/>
  <c r="D5300" i="1"/>
  <c r="D5299" i="1"/>
  <c r="D5298" i="1"/>
  <c r="D5297" i="1"/>
  <c r="D5296" i="1"/>
  <c r="D5295" i="1"/>
  <c r="D5294" i="1"/>
  <c r="D5293" i="1"/>
  <c r="D5292" i="1"/>
  <c r="D5291" i="1"/>
  <c r="D5290" i="1"/>
  <c r="D5289" i="1"/>
  <c r="D5288" i="1"/>
  <c r="D5287" i="1"/>
  <c r="D5286" i="1"/>
  <c r="D5285" i="1"/>
  <c r="D5284" i="1"/>
  <c r="D5283" i="1"/>
  <c r="D5281" i="1"/>
  <c r="D5280" i="1"/>
  <c r="D5279" i="1"/>
  <c r="D5278" i="1"/>
  <c r="D5277" i="1"/>
  <c r="D5276" i="1"/>
  <c r="D5275" i="1"/>
  <c r="D5274" i="1"/>
  <c r="D5273" i="1"/>
  <c r="D5272" i="1"/>
  <c r="D5271" i="1"/>
  <c r="D5270" i="1"/>
  <c r="D5269" i="1"/>
  <c r="D5268" i="1"/>
  <c r="D5267" i="1"/>
  <c r="D5266" i="1"/>
  <c r="D5265" i="1"/>
  <c r="D5264" i="1"/>
  <c r="D5263" i="1"/>
  <c r="D5262" i="1"/>
  <c r="D5261" i="1"/>
  <c r="D5260" i="1"/>
  <c r="D5259" i="1"/>
  <c r="D5258" i="1"/>
  <c r="D5257" i="1"/>
  <c r="D5256" i="1"/>
  <c r="D5255" i="1"/>
  <c r="D5254" i="1"/>
  <c r="D5253" i="1"/>
  <c r="D5252" i="1"/>
  <c r="D5251" i="1"/>
  <c r="D5250" i="1"/>
  <c r="D5249" i="1"/>
  <c r="D5248" i="1"/>
  <c r="D5247" i="1"/>
  <c r="D5246" i="1"/>
  <c r="D5245" i="1"/>
  <c r="D5244" i="1"/>
  <c r="D5243" i="1"/>
  <c r="D5242" i="1"/>
  <c r="D5241" i="1"/>
  <c r="D5240" i="1"/>
  <c r="D5239" i="1"/>
  <c r="D5238" i="1"/>
  <c r="D5237" i="1"/>
  <c r="D5236" i="1"/>
  <c r="D5235" i="1"/>
  <c r="D5234" i="1"/>
  <c r="D5233" i="1"/>
  <c r="D5232" i="1"/>
  <c r="D5231" i="1"/>
  <c r="D5230" i="1"/>
  <c r="D5229" i="1"/>
  <c r="D5228" i="1"/>
  <c r="D5227" i="1"/>
  <c r="D5226" i="1"/>
  <c r="D5225" i="1"/>
  <c r="D5224" i="1"/>
  <c r="D5223" i="1"/>
  <c r="D5222" i="1"/>
  <c r="D5221" i="1"/>
  <c r="D5220" i="1"/>
  <c r="D5219" i="1"/>
  <c r="D5218" i="1"/>
  <c r="D5217" i="1"/>
  <c r="D5216" i="1"/>
  <c r="D5215" i="1"/>
  <c r="D5214" i="1"/>
  <c r="D5213" i="1"/>
  <c r="D5212" i="1"/>
  <c r="D5211" i="1"/>
  <c r="D5210" i="1"/>
  <c r="D5209" i="1"/>
  <c r="D5208" i="1"/>
  <c r="D5207" i="1"/>
  <c r="D5206" i="1"/>
  <c r="D5205" i="1"/>
  <c r="D5204" i="1"/>
  <c r="D5203" i="1"/>
  <c r="D5202" i="1"/>
  <c r="D5201" i="1"/>
  <c r="D5200" i="1"/>
  <c r="D5199" i="1"/>
  <c r="D5198" i="1"/>
  <c r="D5197" i="1"/>
  <c r="D5196" i="1"/>
  <c r="D5195" i="1"/>
  <c r="D5194" i="1"/>
  <c r="D5193" i="1"/>
  <c r="D5192" i="1"/>
  <c r="D5191" i="1"/>
  <c r="D5190" i="1"/>
  <c r="D5189" i="1"/>
  <c r="D5188" i="1"/>
  <c r="D5187" i="1"/>
  <c r="D5186" i="1"/>
  <c r="D5185" i="1"/>
  <c r="D5184" i="1"/>
  <c r="D5182" i="1"/>
  <c r="D5181" i="1"/>
  <c r="D5180" i="1"/>
  <c r="D5179" i="1"/>
  <c r="D5178" i="1"/>
  <c r="D5177" i="1"/>
  <c r="D5176" i="1"/>
  <c r="D5173" i="1"/>
  <c r="D5171" i="1"/>
  <c r="D5170" i="1"/>
  <c r="D5169" i="1"/>
  <c r="D5168" i="1"/>
  <c r="D5165" i="1"/>
  <c r="D5164" i="1"/>
  <c r="D5163" i="1"/>
  <c r="D5162" i="1"/>
  <c r="D5161" i="1"/>
  <c r="D5160" i="1"/>
  <c r="D5158" i="1"/>
  <c r="D5157" i="1"/>
  <c r="D5156" i="1"/>
  <c r="D5155" i="1"/>
  <c r="D5154" i="1"/>
  <c r="D5153" i="1"/>
  <c r="D5152" i="1"/>
  <c r="D5151" i="1"/>
  <c r="D5150" i="1"/>
  <c r="D5149" i="1"/>
  <c r="D5148" i="1"/>
  <c r="D5147" i="1"/>
  <c r="D5146" i="1"/>
  <c r="D5145" i="1"/>
  <c r="D5144" i="1"/>
  <c r="D5143" i="1"/>
  <c r="D5142" i="1"/>
  <c r="D5141" i="1"/>
  <c r="D5140" i="1"/>
  <c r="D5139" i="1"/>
  <c r="D5138" i="1"/>
  <c r="D5137" i="1"/>
  <c r="D5136" i="1"/>
  <c r="D5135" i="1"/>
  <c r="D5134" i="1"/>
  <c r="D5133" i="1"/>
  <c r="D5132" i="1"/>
  <c r="D5131" i="1"/>
  <c r="D5130" i="1"/>
  <c r="D5129" i="1"/>
  <c r="D5128" i="1"/>
  <c r="D5127" i="1"/>
  <c r="D5126" i="1"/>
  <c r="D5125" i="1"/>
  <c r="D5124" i="1"/>
  <c r="D5123" i="1"/>
  <c r="D5122" i="1"/>
  <c r="D5121" i="1"/>
  <c r="D5120" i="1"/>
  <c r="D5119" i="1"/>
  <c r="D5117" i="1"/>
  <c r="D5115" i="1"/>
  <c r="D8783" i="1"/>
  <c r="D8781" i="1"/>
  <c r="D8779" i="1"/>
  <c r="D8778" i="1"/>
  <c r="D8774" i="1"/>
  <c r="D8773" i="1"/>
  <c r="D8771" i="1"/>
  <c r="D8769" i="1"/>
  <c r="D8768" i="1"/>
  <c r="D8767" i="1"/>
  <c r="D8766" i="1"/>
  <c r="D8765" i="1"/>
  <c r="D8764" i="1"/>
  <c r="D8763" i="1"/>
  <c r="D8762" i="1"/>
  <c r="D8761" i="1"/>
  <c r="D8758" i="1"/>
  <c r="D8757" i="1"/>
  <c r="D8755" i="1"/>
  <c r="D8754" i="1"/>
  <c r="D8753" i="1"/>
  <c r="D8752" i="1"/>
  <c r="D8750" i="1"/>
  <c r="D8749" i="1"/>
  <c r="D8748" i="1"/>
  <c r="D8747" i="1"/>
  <c r="D8746" i="1"/>
  <c r="D8745" i="1"/>
  <c r="D8744" i="1"/>
  <c r="D8743" i="1"/>
  <c r="D8740" i="1"/>
  <c r="D8739" i="1"/>
  <c r="D8738" i="1"/>
  <c r="D8737" i="1"/>
  <c r="D8736" i="1"/>
  <c r="D8735" i="1"/>
  <c r="D8734" i="1"/>
  <c r="D8733" i="1"/>
  <c r="D8732" i="1"/>
  <c r="D8730" i="1"/>
  <c r="D8729" i="1"/>
  <c r="D8728" i="1"/>
  <c r="D8727" i="1"/>
  <c r="D8726" i="1"/>
  <c r="D8725" i="1"/>
  <c r="D8723" i="1"/>
  <c r="D8722" i="1"/>
  <c r="D8721" i="1"/>
  <c r="D8720" i="1"/>
  <c r="D8719" i="1"/>
  <c r="D8718" i="1"/>
  <c r="D8717" i="1"/>
  <c r="D8716" i="1"/>
  <c r="D8715" i="1"/>
  <c r="D8714" i="1"/>
  <c r="D8713" i="1"/>
  <c r="D8711" i="1"/>
  <c r="D8710" i="1"/>
  <c r="D8709" i="1"/>
  <c r="D8707" i="1"/>
  <c r="D8706" i="1"/>
  <c r="D8705" i="1"/>
  <c r="D8704" i="1"/>
  <c r="D8703" i="1"/>
  <c r="D8702" i="1"/>
  <c r="D8701" i="1"/>
  <c r="D8700" i="1"/>
  <c r="D8699" i="1"/>
  <c r="D8698" i="1"/>
  <c r="D8697" i="1"/>
  <c r="D8696" i="1"/>
  <c r="D8695" i="1"/>
  <c r="D8694" i="1"/>
  <c r="D8693" i="1"/>
  <c r="D8692" i="1"/>
  <c r="D8690" i="1"/>
  <c r="D8689" i="1"/>
  <c r="D8688" i="1"/>
  <c r="D8687" i="1"/>
  <c r="D8686" i="1"/>
  <c r="D8685" i="1"/>
  <c r="D8684" i="1"/>
  <c r="D8683" i="1"/>
  <c r="D8682" i="1"/>
  <c r="D8681" i="1"/>
  <c r="D8680" i="1"/>
  <c r="D8679" i="1"/>
  <c r="D8678" i="1"/>
  <c r="D8677" i="1"/>
  <c r="D8676" i="1"/>
  <c r="D8675" i="1"/>
  <c r="D8674" i="1"/>
  <c r="D8673" i="1"/>
  <c r="D8672" i="1"/>
  <c r="D8671" i="1"/>
  <c r="D8670" i="1"/>
  <c r="D8669" i="1"/>
  <c r="D8668" i="1"/>
  <c r="D8667" i="1"/>
  <c r="D8666" i="1"/>
  <c r="D8665" i="1"/>
  <c r="D8664" i="1"/>
  <c r="D8663" i="1"/>
  <c r="D8662" i="1"/>
  <c r="D8661" i="1"/>
  <c r="D8660" i="1"/>
  <c r="D8659" i="1"/>
  <c r="D8658" i="1"/>
  <c r="D8657" i="1"/>
  <c r="D8656" i="1"/>
  <c r="D8655" i="1"/>
  <c r="D8654" i="1"/>
  <c r="D8653" i="1"/>
  <c r="D8652" i="1"/>
  <c r="D8651" i="1"/>
  <c r="D8650" i="1"/>
  <c r="D8649" i="1"/>
  <c r="D8648" i="1"/>
  <c r="D8647" i="1"/>
  <c r="D8646" i="1"/>
  <c r="D8645" i="1"/>
  <c r="D8644" i="1"/>
  <c r="D8643" i="1"/>
  <c r="D8642" i="1"/>
  <c r="D8641" i="1"/>
  <c r="D8640" i="1"/>
  <c r="D8639" i="1"/>
  <c r="D8638" i="1"/>
  <c r="D8636" i="1"/>
  <c r="D8632" i="1" l="1"/>
  <c r="D8629" i="1"/>
  <c r="D8627" i="1"/>
  <c r="D8626" i="1"/>
  <c r="D8624" i="1"/>
  <c r="D8623" i="1"/>
  <c r="D8622" i="1"/>
  <c r="D8621" i="1"/>
  <c r="D8620" i="1"/>
  <c r="D8618" i="1"/>
  <c r="D8616" i="1"/>
  <c r="D8615" i="1"/>
  <c r="D8614" i="1"/>
  <c r="D8613" i="1"/>
  <c r="D8612" i="1"/>
  <c r="D8611" i="1"/>
  <c r="D8610" i="1"/>
  <c r="D8609" i="1"/>
  <c r="D8608" i="1"/>
  <c r="D8606" i="1"/>
  <c r="D8602" i="1"/>
  <c r="D8601" i="1"/>
  <c r="D8599" i="1"/>
  <c r="D8598" i="1"/>
  <c r="D8597" i="1"/>
  <c r="D8596" i="1"/>
  <c r="D8595" i="1"/>
  <c r="D8594" i="1"/>
  <c r="D8593" i="1"/>
  <c r="D8592" i="1"/>
  <c r="D8591" i="1"/>
  <c r="D8590" i="1"/>
  <c r="D8589" i="1"/>
  <c r="D8588" i="1"/>
  <c r="D8587" i="1"/>
  <c r="D8586" i="1"/>
  <c r="D8585" i="1"/>
  <c r="D8584" i="1"/>
  <c r="D8583" i="1"/>
  <c r="D8582" i="1"/>
  <c r="D8581" i="1"/>
  <c r="D8580" i="1"/>
  <c r="D8579" i="1"/>
  <c r="D8578" i="1"/>
  <c r="D8577" i="1"/>
  <c r="D8576" i="1"/>
  <c r="D8575" i="1"/>
  <c r="D8573" i="1"/>
  <c r="D8572" i="1"/>
  <c r="D8569" i="1"/>
  <c r="D8568" i="1"/>
  <c r="D8567" i="1"/>
  <c r="D8566" i="1"/>
  <c r="D8565" i="1"/>
  <c r="D8564" i="1"/>
  <c r="D8563" i="1"/>
  <c r="D8562" i="1"/>
  <c r="D8561" i="1"/>
  <c r="D8560" i="1"/>
  <c r="D8559" i="1"/>
  <c r="D8558" i="1"/>
  <c r="D8557" i="1"/>
  <c r="D8556" i="1"/>
  <c r="D8555" i="1"/>
  <c r="D8554" i="1"/>
  <c r="D8553" i="1"/>
  <c r="D8552" i="1"/>
  <c r="D8550" i="1"/>
  <c r="D8549" i="1"/>
  <c r="D8548" i="1"/>
  <c r="D8547" i="1"/>
  <c r="D8546" i="1"/>
  <c r="D8544" i="1"/>
  <c r="D8543" i="1"/>
  <c r="D8542" i="1"/>
  <c r="D8541" i="1"/>
  <c r="D8540" i="1"/>
  <c r="D8539" i="1"/>
  <c r="D8538" i="1"/>
  <c r="D8537" i="1"/>
  <c r="D8534" i="1"/>
  <c r="D8533" i="1"/>
  <c r="D8532" i="1"/>
  <c r="D8531" i="1"/>
  <c r="D8530" i="1"/>
  <c r="D8529" i="1"/>
  <c r="D8528" i="1"/>
  <c r="D8527" i="1"/>
  <c r="D8526" i="1"/>
  <c r="D8525" i="1"/>
  <c r="D8524" i="1"/>
  <c r="D8523" i="1"/>
  <c r="D8522" i="1"/>
  <c r="D8520" i="1"/>
  <c r="D8519" i="1"/>
  <c r="D8518" i="1"/>
  <c r="D8517" i="1"/>
  <c r="D8516" i="1"/>
  <c r="D8515" i="1"/>
  <c r="D8514" i="1"/>
  <c r="D8513" i="1"/>
  <c r="D8512" i="1"/>
  <c r="D8510" i="1"/>
  <c r="D8509" i="1"/>
  <c r="D8508" i="1"/>
  <c r="D8507" i="1"/>
  <c r="D8506" i="1"/>
  <c r="D8505" i="1"/>
  <c r="D8504" i="1"/>
  <c r="D8503" i="1"/>
  <c r="D8502" i="1"/>
  <c r="D8501" i="1"/>
  <c r="D8500" i="1"/>
  <c r="D8499" i="1"/>
  <c r="D8498" i="1"/>
  <c r="D8497" i="1"/>
  <c r="D8496" i="1"/>
  <c r="D8495" i="1"/>
  <c r="D8494" i="1"/>
  <c r="D8493" i="1"/>
  <c r="D8492" i="1"/>
  <c r="D8491" i="1"/>
  <c r="D8490" i="1"/>
  <c r="D8489" i="1"/>
  <c r="D8488" i="1"/>
  <c r="D8487" i="1"/>
  <c r="D8486" i="1"/>
  <c r="D8485" i="1"/>
  <c r="D8484" i="1"/>
  <c r="D8483" i="1"/>
  <c r="D8482" i="1"/>
  <c r="D8480" i="1"/>
  <c r="D8476" i="1"/>
  <c r="D8475" i="1"/>
  <c r="D8474" i="1"/>
  <c r="D8473" i="1"/>
  <c r="D8472" i="1"/>
  <c r="D8471" i="1"/>
  <c r="D8468" i="1"/>
  <c r="D8465" i="1"/>
  <c r="D8464" i="1"/>
  <c r="D8461" i="1"/>
  <c r="D8458" i="1"/>
  <c r="D8456" i="1"/>
  <c r="D8454" i="1"/>
  <c r="D8453" i="1"/>
  <c r="D8452" i="1"/>
  <c r="D8451" i="1"/>
  <c r="D8450" i="1"/>
  <c r="D8449" i="1"/>
  <c r="D8448" i="1"/>
  <c r="D8447" i="1"/>
  <c r="D8444" i="1"/>
  <c r="D8443" i="1"/>
  <c r="D8442" i="1"/>
  <c r="D8441" i="1"/>
  <c r="D8440" i="1"/>
  <c r="D8439" i="1"/>
  <c r="D8438" i="1"/>
  <c r="D8437" i="1"/>
  <c r="D8436" i="1"/>
  <c r="D8434" i="1"/>
  <c r="D8433" i="1"/>
  <c r="D8432" i="1"/>
  <c r="D8431" i="1"/>
  <c r="D8430" i="1"/>
  <c r="D8429" i="1"/>
  <c r="D8426" i="1"/>
  <c r="D8425" i="1"/>
  <c r="D8424" i="1"/>
  <c r="D8423" i="1"/>
  <c r="D8422" i="1"/>
  <c r="D8421" i="1"/>
  <c r="D8420" i="1"/>
  <c r="D8419" i="1"/>
  <c r="D8418" i="1"/>
  <c r="D8417" i="1"/>
  <c r="D8416" i="1"/>
  <c r="D8415" i="1"/>
  <c r="D8413" i="1"/>
  <c r="D8412" i="1"/>
  <c r="D8411" i="1"/>
  <c r="D8410" i="1"/>
  <c r="D8409" i="1"/>
  <c r="D8407" i="1"/>
  <c r="D8406" i="1"/>
  <c r="D8405" i="1"/>
  <c r="D8404" i="1"/>
  <c r="D8403" i="1"/>
  <c r="D8402" i="1"/>
  <c r="D8401" i="1"/>
  <c r="D8398" i="1"/>
  <c r="D8397" i="1"/>
  <c r="D8396" i="1"/>
  <c r="D8395" i="1"/>
  <c r="D8394" i="1"/>
  <c r="D8393" i="1"/>
  <c r="D8392" i="1"/>
  <c r="D8391" i="1"/>
  <c r="D8390" i="1"/>
  <c r="D8389" i="1"/>
  <c r="D8388" i="1"/>
  <c r="D8387" i="1"/>
  <c r="D8386" i="1"/>
  <c r="D8384" i="1"/>
  <c r="D8383" i="1"/>
  <c r="D8382" i="1"/>
  <c r="D8381" i="1"/>
  <c r="D8380" i="1"/>
  <c r="D8379" i="1"/>
  <c r="D8378" i="1"/>
  <c r="D8377" i="1"/>
  <c r="D8376" i="1"/>
  <c r="D8375" i="1"/>
  <c r="D8374" i="1"/>
  <c r="D8373" i="1"/>
  <c r="D8372" i="1"/>
  <c r="D8371" i="1"/>
  <c r="D8370" i="1"/>
  <c r="D8369" i="1"/>
  <c r="D8368" i="1"/>
  <c r="D8367" i="1"/>
  <c r="D8366" i="1"/>
  <c r="D8365" i="1"/>
  <c r="D8364" i="1"/>
  <c r="D8363" i="1"/>
  <c r="D8362" i="1"/>
  <c r="D8361" i="1"/>
  <c r="D8360" i="1"/>
  <c r="D8359" i="1"/>
  <c r="D8358" i="1"/>
  <c r="D8357" i="1"/>
  <c r="D8356" i="1"/>
  <c r="D8355" i="1"/>
  <c r="D8354" i="1"/>
  <c r="D8353" i="1"/>
  <c r="D8352" i="1"/>
  <c r="D8351" i="1"/>
  <c r="D8350" i="1"/>
  <c r="D8349" i="1"/>
  <c r="D8348" i="1"/>
  <c r="D8347" i="1"/>
  <c r="D8346" i="1"/>
  <c r="D8345" i="1"/>
  <c r="D8344" i="1"/>
  <c r="D8343" i="1"/>
  <c r="D8342" i="1"/>
  <c r="D8341" i="1"/>
  <c r="D8340" i="1"/>
  <c r="D8339" i="1"/>
  <c r="D8338" i="1"/>
  <c r="D8337" i="1"/>
  <c r="D8336" i="1"/>
  <c r="D8334" i="1"/>
  <c r="D8333" i="1"/>
  <c r="D8329" i="1"/>
  <c r="D8328" i="1"/>
  <c r="D8324" i="1"/>
  <c r="D8319" i="1"/>
  <c r="D8318" i="1"/>
  <c r="D8316" i="1"/>
  <c r="D8315" i="1"/>
  <c r="D8314" i="1"/>
  <c r="D8312" i="1"/>
  <c r="D8311" i="1"/>
  <c r="D8310" i="1"/>
  <c r="D8308" i="1"/>
  <c r="D8307" i="1"/>
  <c r="D8306" i="1"/>
  <c r="D8304" i="1"/>
  <c r="D8301" i="1"/>
  <c r="D8299" i="1"/>
  <c r="D8298" i="1"/>
  <c r="D8297" i="1"/>
  <c r="D8296" i="1"/>
  <c r="D8295" i="1"/>
  <c r="D8294" i="1"/>
  <c r="D8292" i="1"/>
  <c r="D8290" i="1"/>
  <c r="D8289" i="1"/>
  <c r="D8288" i="1"/>
  <c r="D8287" i="1"/>
  <c r="D8286" i="1"/>
  <c r="D8285" i="1"/>
  <c r="D8284" i="1"/>
  <c r="D8281" i="1"/>
  <c r="D8280" i="1"/>
  <c r="D8279" i="1"/>
  <c r="D8278" i="1"/>
  <c r="D8277" i="1"/>
  <c r="D8276" i="1"/>
  <c r="D8275" i="1"/>
  <c r="D8274" i="1"/>
  <c r="D8273" i="1"/>
  <c r="D8272" i="1"/>
  <c r="D8271" i="1"/>
  <c r="D8270" i="1"/>
  <c r="D8269" i="1"/>
  <c r="D8268" i="1"/>
  <c r="D8267" i="1"/>
  <c r="D8266" i="1"/>
  <c r="D8265" i="1"/>
  <c r="D8264" i="1"/>
  <c r="D8263" i="1"/>
  <c r="D8261" i="1"/>
  <c r="D8260" i="1"/>
  <c r="D8259" i="1"/>
  <c r="D8258" i="1"/>
  <c r="D8256" i="1"/>
  <c r="D8255" i="1"/>
  <c r="D8254" i="1"/>
  <c r="D8253" i="1"/>
  <c r="D8252" i="1"/>
  <c r="D8251" i="1"/>
  <c r="D8250" i="1"/>
  <c r="D8249" i="1"/>
  <c r="D8248" i="1"/>
  <c r="D8246" i="1"/>
  <c r="D8245" i="1"/>
  <c r="D8243" i="1"/>
  <c r="D8242" i="1"/>
  <c r="D8241" i="1"/>
  <c r="D8240" i="1"/>
  <c r="D8239" i="1"/>
  <c r="D8238" i="1"/>
  <c r="D8237" i="1"/>
  <c r="D8236" i="1"/>
  <c r="D8235" i="1"/>
  <c r="D8234" i="1"/>
  <c r="D8233" i="1"/>
  <c r="D8232" i="1"/>
  <c r="D8231" i="1"/>
  <c r="D8230" i="1"/>
  <c r="D8229" i="1"/>
  <c r="D8228" i="1"/>
  <c r="D8227" i="1"/>
  <c r="D8225" i="1"/>
  <c r="D8224" i="1"/>
  <c r="D8223" i="1"/>
  <c r="D8222" i="1"/>
  <c r="D8221" i="1"/>
  <c r="D8220" i="1"/>
  <c r="D8219" i="1"/>
  <c r="D8218" i="1"/>
  <c r="D8217" i="1"/>
  <c r="D8216" i="1"/>
  <c r="D8215" i="1"/>
  <c r="D8214" i="1"/>
  <c r="D8213" i="1"/>
  <c r="D8212" i="1"/>
  <c r="D8211" i="1"/>
  <c r="D8210" i="1"/>
  <c r="D8209" i="1"/>
  <c r="D8208" i="1"/>
  <c r="D8207" i="1"/>
  <c r="D8206" i="1"/>
  <c r="D8205" i="1"/>
  <c r="D8204" i="1"/>
  <c r="D8203" i="1"/>
  <c r="D8202" i="1"/>
  <c r="D8201" i="1"/>
  <c r="D8200" i="1"/>
  <c r="D8199" i="1"/>
  <c r="D8198" i="1"/>
  <c r="D8197" i="1"/>
  <c r="D8196" i="1"/>
  <c r="D8195" i="1"/>
  <c r="D8194" i="1"/>
  <c r="D8193" i="1"/>
  <c r="D8192" i="1"/>
  <c r="D8191" i="1"/>
  <c r="D8189" i="1"/>
  <c r="D8186" i="1"/>
  <c r="D8183" i="1"/>
  <c r="D8182" i="1"/>
  <c r="D8179" i="1"/>
  <c r="D8178" i="1"/>
  <c r="D8177" i="1"/>
  <c r="D8175" i="1"/>
  <c r="D8174" i="1"/>
  <c r="D8172" i="1"/>
  <c r="D8171" i="1"/>
  <c r="D8169" i="1"/>
  <c r="D8168" i="1"/>
  <c r="D8167" i="1"/>
  <c r="D8165" i="1"/>
  <c r="D8164" i="1"/>
  <c r="D8162" i="1"/>
  <c r="D8160" i="1"/>
  <c r="D8159" i="1"/>
  <c r="D8158" i="1"/>
  <c r="D8157" i="1"/>
  <c r="D8156" i="1"/>
  <c r="D8154" i="1"/>
  <c r="D8153" i="1"/>
  <c r="D8152" i="1"/>
  <c r="D8151" i="1"/>
  <c r="D8150" i="1"/>
  <c r="D8149" i="1"/>
  <c r="D8148" i="1"/>
  <c r="D8147" i="1"/>
  <c r="D8146" i="1"/>
  <c r="D8145" i="1"/>
  <c r="D8144" i="1"/>
  <c r="D8143" i="1"/>
  <c r="D8142" i="1"/>
  <c r="D8141" i="1"/>
  <c r="D8140" i="1"/>
  <c r="D8139" i="1"/>
  <c r="D8138" i="1"/>
  <c r="D8137" i="1"/>
  <c r="D8136" i="1"/>
  <c r="D8135" i="1"/>
  <c r="D8134" i="1"/>
  <c r="D8133" i="1"/>
  <c r="D8129" i="1"/>
  <c r="D8128" i="1"/>
  <c r="D8127" i="1"/>
  <c r="D8126" i="1"/>
  <c r="D8125" i="1"/>
  <c r="D8124" i="1"/>
  <c r="D8123" i="1"/>
  <c r="D8120" i="1"/>
  <c r="D8119" i="1"/>
  <c r="D8118" i="1"/>
  <c r="D8117" i="1"/>
  <c r="D8116" i="1"/>
  <c r="D8115" i="1"/>
  <c r="D8114" i="1"/>
  <c r="D8113" i="1"/>
  <c r="D8112" i="1"/>
  <c r="D8111" i="1"/>
  <c r="D8110" i="1"/>
  <c r="D8109" i="1"/>
  <c r="D8108" i="1"/>
  <c r="D8107" i="1"/>
  <c r="D8105" i="1"/>
  <c r="D8104" i="1"/>
  <c r="D8103" i="1"/>
  <c r="D8102" i="1"/>
  <c r="D8101" i="1"/>
  <c r="D8100" i="1"/>
  <c r="D8099" i="1"/>
  <c r="D8097" i="1"/>
  <c r="D8094" i="1"/>
  <c r="D8093" i="1"/>
  <c r="D8092" i="1"/>
  <c r="D8091" i="1"/>
  <c r="D8090" i="1"/>
  <c r="D8089" i="1"/>
  <c r="D8088" i="1"/>
  <c r="D8087" i="1"/>
  <c r="D8085" i="1"/>
  <c r="D8084" i="1"/>
  <c r="D8082" i="1"/>
  <c r="D8081" i="1"/>
  <c r="D8080" i="1"/>
  <c r="D8079" i="1"/>
  <c r="D8078" i="1"/>
  <c r="D8077" i="1"/>
  <c r="D8076" i="1"/>
  <c r="D8075" i="1"/>
  <c r="D8074" i="1"/>
  <c r="D8073" i="1"/>
  <c r="D8072" i="1"/>
  <c r="D8071" i="1"/>
  <c r="D8070" i="1"/>
  <c r="D8069" i="1"/>
  <c r="D8068" i="1"/>
  <c r="D8067" i="1"/>
  <c r="D8066" i="1"/>
  <c r="D8064" i="1"/>
  <c r="D8063" i="1"/>
  <c r="D8062" i="1"/>
  <c r="D8061" i="1"/>
  <c r="D8060" i="1"/>
  <c r="D8059" i="1"/>
  <c r="D8058" i="1"/>
  <c r="D8057" i="1"/>
  <c r="D8055" i="1"/>
  <c r="D8054" i="1"/>
  <c r="D8052" i="1"/>
  <c r="D8051" i="1"/>
  <c r="D8050" i="1"/>
  <c r="D8049" i="1"/>
  <c r="D8048" i="1"/>
  <c r="D8047" i="1"/>
  <c r="D8046" i="1"/>
  <c r="D8045" i="1"/>
  <c r="D8044" i="1"/>
  <c r="D8043" i="1"/>
  <c r="D8042" i="1"/>
  <c r="D8041" i="1"/>
  <c r="D8040" i="1"/>
  <c r="D8039" i="1"/>
  <c r="D8038" i="1"/>
  <c r="D8037" i="1"/>
  <c r="D8036" i="1"/>
  <c r="D8035" i="1"/>
  <c r="D8034" i="1"/>
  <c r="D8033" i="1"/>
  <c r="D8032" i="1"/>
  <c r="D8031" i="1"/>
  <c r="D8030" i="1"/>
  <c r="D8029" i="1"/>
  <c r="D8028" i="1"/>
  <c r="D8027" i="1"/>
  <c r="D8026" i="1"/>
  <c r="D8025" i="1"/>
  <c r="D8024" i="1"/>
  <c r="D8023" i="1"/>
  <c r="D8022" i="1"/>
  <c r="D8021" i="1"/>
  <c r="D8020" i="1"/>
  <c r="D8019" i="1"/>
  <c r="D8018" i="1"/>
  <c r="D8017" i="1"/>
  <c r="D8016" i="1"/>
  <c r="D8015" i="1"/>
  <c r="D8014" i="1"/>
  <c r="D8013" i="1"/>
  <c r="D8012" i="1"/>
  <c r="D8011" i="1"/>
  <c r="D8010" i="1"/>
  <c r="D8009" i="1"/>
  <c r="D8008" i="1"/>
  <c r="D8007" i="1"/>
  <c r="D8006" i="1"/>
  <c r="D8005" i="1"/>
  <c r="D8004" i="1"/>
  <c r="D8003" i="1"/>
  <c r="D8002" i="1"/>
  <c r="D8001" i="1"/>
  <c r="D8000" i="1"/>
  <c r="D7999" i="1"/>
  <c r="D7998" i="1"/>
  <c r="D7997" i="1"/>
  <c r="D7996" i="1"/>
  <c r="D7994" i="1"/>
  <c r="D7993" i="1"/>
  <c r="D7992" i="1"/>
  <c r="D7991" i="1"/>
  <c r="D7987" i="1"/>
  <c r="D7986" i="1"/>
  <c r="D7982" i="1"/>
  <c r="D7978" i="1"/>
  <c r="D7974" i="1" l="1"/>
  <c r="D7969" i="1"/>
  <c r="D7968" i="1"/>
  <c r="D7967" i="1"/>
  <c r="D7965" i="1"/>
  <c r="D7964" i="1"/>
  <c r="D7962" i="1"/>
  <c r="D7960" i="1"/>
  <c r="D7959" i="1"/>
  <c r="D7958" i="1"/>
  <c r="D7957" i="1"/>
  <c r="D7956" i="1"/>
  <c r="D7954" i="1"/>
  <c r="D7953" i="1"/>
  <c r="D7952" i="1"/>
  <c r="D7950" i="1"/>
  <c r="D7949" i="1"/>
  <c r="D7948" i="1"/>
  <c r="D7947" i="1"/>
  <c r="D7946" i="1"/>
  <c r="D7945" i="1"/>
  <c r="D7944" i="1"/>
  <c r="D7942" i="1"/>
  <c r="D7941" i="1"/>
  <c r="D7940" i="1"/>
  <c r="D7939" i="1"/>
  <c r="D7938" i="1"/>
  <c r="D7937" i="1"/>
  <c r="D7936" i="1"/>
  <c r="D7935" i="1"/>
  <c r="D7934" i="1"/>
  <c r="D7933" i="1"/>
  <c r="D7929" i="1"/>
  <c r="D7928" i="1"/>
  <c r="D7927" i="1"/>
  <c r="D7926" i="1"/>
  <c r="D7925" i="1"/>
  <c r="D7924" i="1"/>
  <c r="D7923" i="1"/>
  <c r="D7922" i="1"/>
  <c r="D7921" i="1"/>
  <c r="D7920" i="1"/>
  <c r="D7919" i="1"/>
  <c r="D7918" i="1"/>
  <c r="D7917" i="1"/>
  <c r="D7916" i="1"/>
  <c r="D7915" i="1"/>
  <c r="D7914" i="1"/>
  <c r="D7913" i="1"/>
  <c r="D7912" i="1"/>
  <c r="D7911" i="1"/>
  <c r="D7910" i="1"/>
  <c r="D7909" i="1"/>
  <c r="D7908" i="1"/>
  <c r="D7907" i="1"/>
  <c r="D7906" i="1"/>
  <c r="D7904" i="1"/>
  <c r="D7901" i="1"/>
  <c r="D7900" i="1"/>
  <c r="D7899" i="1"/>
  <c r="D7898" i="1"/>
  <c r="D7897" i="1"/>
  <c r="D7896" i="1"/>
  <c r="D7895" i="1"/>
  <c r="D7894" i="1"/>
  <c r="D7893" i="1"/>
  <c r="D7892" i="1"/>
  <c r="D7891" i="1"/>
  <c r="D7890" i="1"/>
  <c r="D7889" i="1"/>
  <c r="D7888" i="1"/>
  <c r="D7887" i="1"/>
  <c r="D7886" i="1"/>
  <c r="D7885" i="1"/>
  <c r="D7884" i="1"/>
  <c r="D7882" i="1"/>
  <c r="D7881" i="1"/>
  <c r="D7880" i="1"/>
  <c r="D7879" i="1"/>
  <c r="D7878" i="1"/>
  <c r="D7877" i="1"/>
  <c r="D7876" i="1"/>
  <c r="D7875" i="1"/>
  <c r="D7874" i="1"/>
  <c r="D7873" i="1"/>
  <c r="D7871" i="1"/>
  <c r="D7870" i="1"/>
  <c r="D7869" i="1"/>
  <c r="D7868" i="1"/>
  <c r="D7867" i="1"/>
  <c r="D7866" i="1"/>
  <c r="D7865" i="1"/>
  <c r="D7864" i="1"/>
  <c r="D7863" i="1"/>
  <c r="D7862" i="1"/>
  <c r="D7861" i="1"/>
  <c r="D7860" i="1"/>
  <c r="D7857" i="1"/>
  <c r="D7856" i="1"/>
  <c r="D7855" i="1"/>
  <c r="D7854" i="1"/>
  <c r="D7853" i="1"/>
  <c r="D7852" i="1"/>
  <c r="D7851" i="1"/>
  <c r="D7850" i="1"/>
  <c r="D7849" i="1"/>
  <c r="D7847" i="1"/>
  <c r="D7846" i="1"/>
  <c r="D7845" i="1"/>
  <c r="D7844" i="1"/>
  <c r="D7843" i="1"/>
  <c r="D7842" i="1"/>
  <c r="D7841" i="1"/>
  <c r="D7840" i="1"/>
  <c r="D7839" i="1"/>
  <c r="D7838" i="1"/>
  <c r="D7837" i="1"/>
  <c r="D7836" i="1"/>
  <c r="D7835" i="1"/>
  <c r="D7834" i="1"/>
  <c r="D7833" i="1"/>
  <c r="D7832" i="1"/>
  <c r="D7831" i="1"/>
  <c r="D7830" i="1"/>
  <c r="D7829" i="1"/>
  <c r="D7828" i="1"/>
  <c r="D7827" i="1"/>
  <c r="D7826" i="1"/>
  <c r="D7825" i="1"/>
  <c r="D7824" i="1"/>
  <c r="D7823" i="1"/>
  <c r="D7822" i="1"/>
  <c r="D7821" i="1"/>
  <c r="D7820" i="1"/>
  <c r="D7819" i="1"/>
  <c r="D7818" i="1"/>
  <c r="D7817" i="1"/>
  <c r="D7816" i="1"/>
  <c r="D7815" i="1"/>
  <c r="D7814" i="1"/>
  <c r="D7813" i="1"/>
  <c r="D7812" i="1"/>
  <c r="D7811" i="1"/>
  <c r="D7809" i="1"/>
  <c r="D7808" i="1"/>
  <c r="D7807" i="1"/>
  <c r="D7806" i="1"/>
  <c r="D7805" i="1"/>
  <c r="D7804" i="1"/>
  <c r="D7803" i="1"/>
  <c r="D7802" i="1"/>
  <c r="D7801" i="1"/>
  <c r="D7800" i="1"/>
  <c r="D7799" i="1"/>
  <c r="D7798" i="1"/>
  <c r="D7797" i="1"/>
  <c r="D7796" i="1"/>
  <c r="D7795" i="1"/>
  <c r="D7794" i="1"/>
  <c r="D7793" i="1"/>
  <c r="D7792" i="1"/>
  <c r="D7791" i="1"/>
  <c r="D7790" i="1"/>
  <c r="D7789" i="1"/>
  <c r="D7788" i="1"/>
  <c r="D7787" i="1"/>
  <c r="D7786" i="1"/>
  <c r="D7785" i="1"/>
  <c r="D7784" i="1"/>
  <c r="D7783" i="1"/>
  <c r="D7782" i="1"/>
  <c r="D7781" i="1"/>
  <c r="D7780" i="1"/>
  <c r="D7779" i="1"/>
  <c r="D7778" i="1"/>
  <c r="D7777" i="1"/>
  <c r="D7776" i="1"/>
  <c r="D7775" i="1"/>
  <c r="D7774" i="1"/>
  <c r="D7773" i="1"/>
  <c r="D7772" i="1"/>
  <c r="D7771" i="1"/>
  <c r="D7770" i="1"/>
  <c r="D7769" i="1"/>
  <c r="D7768" i="1"/>
  <c r="D7767" i="1"/>
  <c r="D7766" i="1"/>
  <c r="D7765" i="1"/>
  <c r="D7764" i="1"/>
  <c r="D7763" i="1"/>
  <c r="D7762" i="1"/>
  <c r="D7761" i="1"/>
  <c r="D7759" i="1"/>
  <c r="D7758" i="1"/>
  <c r="D7757" i="1"/>
  <c r="D7756" i="1"/>
  <c r="D7755" i="1"/>
  <c r="D7754" i="1"/>
  <c r="D7750" i="1"/>
  <c r="D7749" i="1"/>
  <c r="D7748" i="1"/>
  <c r="D7747" i="1"/>
  <c r="D7744" i="1"/>
  <c r="D7740" i="1"/>
  <c r="D7739" i="1"/>
  <c r="D7737" i="1"/>
  <c r="D7736" i="1"/>
  <c r="D7735" i="1"/>
  <c r="D7734" i="1"/>
  <c r="D7733" i="1"/>
  <c r="D7732" i="1"/>
  <c r="D7731" i="1"/>
  <c r="D7730" i="1"/>
  <c r="D7729" i="1"/>
  <c r="D7727" i="1"/>
  <c r="D7726" i="1"/>
  <c r="D7725" i="1"/>
  <c r="D7723" i="1"/>
  <c r="D7722" i="1"/>
  <c r="D7720" i="1"/>
  <c r="D7719" i="1"/>
  <c r="D7716" i="1"/>
  <c r="D7714" i="1"/>
  <c r="D7713" i="1"/>
  <c r="D7712" i="1"/>
  <c r="D7711" i="1"/>
  <c r="D7710" i="1"/>
  <c r="D7708" i="1"/>
  <c r="D7707" i="1"/>
  <c r="D7706" i="1"/>
  <c r="D7705" i="1"/>
  <c r="D7702" i="1"/>
  <c r="D7700" i="1"/>
  <c r="D7699" i="1"/>
  <c r="D7698" i="1"/>
  <c r="D7697" i="1"/>
  <c r="D7696" i="1"/>
  <c r="D7695" i="1"/>
  <c r="D7694" i="1"/>
  <c r="D7693" i="1"/>
  <c r="D7692" i="1"/>
  <c r="D7691" i="1"/>
  <c r="D7690" i="1"/>
  <c r="D7689" i="1"/>
  <c r="D7688" i="1"/>
  <c r="D7687" i="1"/>
  <c r="D7686" i="1"/>
  <c r="D7685" i="1"/>
  <c r="D7684" i="1"/>
  <c r="D7683" i="1"/>
  <c r="D7680" i="1"/>
  <c r="D7679" i="1"/>
  <c r="D7678" i="1"/>
  <c r="D7677" i="1"/>
  <c r="D7676" i="1"/>
  <c r="D7675" i="1"/>
  <c r="D7674" i="1"/>
  <c r="D7673" i="1"/>
  <c r="D7672" i="1"/>
  <c r="D7671" i="1"/>
  <c r="D7670" i="1"/>
  <c r="D7669" i="1"/>
  <c r="D7668" i="1"/>
  <c r="D7667" i="1"/>
  <c r="D7665" i="1"/>
  <c r="D7663" i="1"/>
  <c r="D7662" i="1"/>
  <c r="D7661" i="1"/>
  <c r="D7660" i="1"/>
  <c r="D7659" i="1"/>
  <c r="D7658" i="1"/>
  <c r="D7657" i="1"/>
  <c r="D7656" i="1"/>
  <c r="D7654" i="1"/>
  <c r="D7653" i="1"/>
  <c r="D7651" i="1"/>
  <c r="D7650" i="1"/>
  <c r="D7649" i="1"/>
  <c r="D7648" i="1"/>
  <c r="D7647" i="1"/>
  <c r="D7646" i="1"/>
  <c r="D7645" i="1"/>
  <c r="D7644" i="1"/>
  <c r="D7643" i="1"/>
  <c r="D7642" i="1"/>
  <c r="D7641" i="1"/>
  <c r="D7640" i="1"/>
  <c r="D7639" i="1"/>
  <c r="D7638" i="1"/>
  <c r="D7637" i="1"/>
  <c r="D7635" i="1"/>
  <c r="D7634" i="1"/>
  <c r="D7633" i="1"/>
  <c r="D7632" i="1"/>
  <c r="D7631" i="1"/>
  <c r="D7629" i="1"/>
  <c r="D7628" i="1"/>
  <c r="D7627" i="1"/>
  <c r="D7626" i="1"/>
  <c r="D7625" i="1"/>
  <c r="D7624" i="1"/>
  <c r="D7623" i="1"/>
  <c r="D7622" i="1"/>
  <c r="D7621" i="1"/>
  <c r="D7620" i="1"/>
  <c r="D7619" i="1"/>
  <c r="D7618" i="1"/>
  <c r="D7617" i="1"/>
  <c r="D7616" i="1"/>
  <c r="D7615" i="1"/>
  <c r="D7614" i="1"/>
  <c r="D7613" i="1"/>
  <c r="D7612" i="1"/>
  <c r="D7611" i="1"/>
  <c r="D7610" i="1"/>
  <c r="D7609" i="1"/>
  <c r="D7608" i="1"/>
  <c r="D7607" i="1"/>
  <c r="D7606" i="1"/>
  <c r="D7605" i="1"/>
  <c r="D7604" i="1"/>
  <c r="D7603" i="1"/>
  <c r="D7602" i="1"/>
  <c r="D7601" i="1"/>
  <c r="D7600" i="1"/>
  <c r="D7599" i="1"/>
  <c r="D7598" i="1"/>
  <c r="D7597" i="1"/>
  <c r="D7596" i="1"/>
  <c r="D7595" i="1"/>
  <c r="D7594" i="1"/>
  <c r="D7593" i="1"/>
  <c r="D7592" i="1"/>
  <c r="D7590" i="1"/>
  <c r="D7589" i="1"/>
  <c r="D7585" i="1"/>
  <c r="D7584" i="1"/>
  <c r="D7583" i="1"/>
  <c r="D7582" i="1"/>
  <c r="D7579" i="1"/>
  <c r="D7576" i="1"/>
  <c r="D7575" i="1"/>
  <c r="D7574" i="1"/>
  <c r="D7573" i="1"/>
  <c r="D7572" i="1"/>
  <c r="D7569" i="1"/>
  <c r="D7567" i="1"/>
  <c r="D7566" i="1"/>
  <c r="D7565" i="1"/>
  <c r="D7564" i="1"/>
  <c r="D7562" i="1"/>
  <c r="D7561" i="1"/>
  <c r="D7560" i="1"/>
  <c r="D7559" i="1"/>
  <c r="D7558" i="1"/>
  <c r="D7556" i="1"/>
  <c r="D7555" i="1"/>
  <c r="D7554" i="1"/>
  <c r="D7553" i="1"/>
  <c r="D7552" i="1"/>
  <c r="D7551" i="1"/>
  <c r="D7550" i="1"/>
  <c r="D7547" i="1"/>
  <c r="D7546" i="1"/>
  <c r="D7545" i="1"/>
  <c r="D7544" i="1"/>
  <c r="D7543" i="1"/>
  <c r="D7541" i="1"/>
  <c r="D7540" i="1"/>
  <c r="D7539" i="1"/>
  <c r="D7538" i="1"/>
  <c r="D7536" i="1"/>
  <c r="D7535" i="1"/>
  <c r="D7534" i="1"/>
  <c r="D7533" i="1"/>
  <c r="D7532" i="1"/>
  <c r="D7531" i="1"/>
  <c r="D7530" i="1"/>
  <c r="D7529" i="1"/>
  <c r="D7528" i="1"/>
  <c r="D7526" i="1"/>
  <c r="D7524" i="1"/>
  <c r="D7523" i="1"/>
  <c r="D7522" i="1"/>
  <c r="D7521" i="1"/>
  <c r="D7520" i="1"/>
  <c r="D7519" i="1"/>
  <c r="D7518" i="1"/>
  <c r="D7517" i="1"/>
  <c r="D7516" i="1"/>
  <c r="D7515" i="1"/>
  <c r="D7513" i="1"/>
  <c r="D7512" i="1"/>
  <c r="D7511" i="1"/>
  <c r="D7510" i="1"/>
  <c r="D7509" i="1"/>
  <c r="D7508" i="1"/>
  <c r="D7507" i="1"/>
  <c r="D7506" i="1"/>
  <c r="D7505" i="1"/>
  <c r="D7504" i="1"/>
  <c r="D7503" i="1"/>
  <c r="D7502" i="1"/>
  <c r="D7501" i="1"/>
  <c r="D7500" i="1"/>
  <c r="D7499" i="1"/>
  <c r="D7498" i="1"/>
  <c r="D7496" i="1"/>
  <c r="D7495" i="1"/>
  <c r="D7494" i="1"/>
  <c r="D7493" i="1"/>
  <c r="D7491" i="1"/>
  <c r="D7490" i="1"/>
  <c r="D7488" i="1"/>
  <c r="D7487" i="1"/>
  <c r="D7486" i="1"/>
  <c r="D7485" i="1"/>
  <c r="D7484" i="1"/>
  <c r="D7483" i="1"/>
  <c r="D7482" i="1"/>
  <c r="D7481" i="1"/>
  <c r="D7480" i="1"/>
  <c r="D7479" i="1"/>
  <c r="D7478" i="1"/>
  <c r="D7477" i="1"/>
  <c r="D7476" i="1"/>
  <c r="D7475" i="1"/>
  <c r="D7474" i="1"/>
  <c r="D7473" i="1"/>
  <c r="D7471" i="1"/>
  <c r="D7470" i="1"/>
  <c r="D7469" i="1"/>
  <c r="D7468" i="1"/>
  <c r="D7467" i="1"/>
  <c r="D7466" i="1"/>
  <c r="D7465" i="1"/>
  <c r="D7464" i="1"/>
  <c r="D7463" i="1"/>
  <c r="D7462" i="1"/>
  <c r="D7461" i="1"/>
  <c r="D7460" i="1"/>
  <c r="D7459" i="1"/>
  <c r="D7458" i="1"/>
  <c r="D7457" i="1"/>
  <c r="D7456" i="1"/>
  <c r="D7455" i="1"/>
  <c r="D7454" i="1"/>
  <c r="D7453" i="1"/>
  <c r="D7452" i="1"/>
  <c r="D7451" i="1"/>
  <c r="D7450" i="1"/>
  <c r="D7449" i="1"/>
  <c r="D7448" i="1"/>
  <c r="D7447" i="1"/>
  <c r="D7446" i="1"/>
  <c r="D7445" i="1"/>
  <c r="D7444" i="1"/>
  <c r="D7443" i="1"/>
  <c r="D7442" i="1"/>
  <c r="D7441" i="1"/>
  <c r="D7440" i="1"/>
  <c r="D7439" i="1"/>
  <c r="D7438" i="1"/>
  <c r="D7437" i="1"/>
  <c r="D7436" i="1"/>
  <c r="D7435" i="1"/>
  <c r="D7434" i="1"/>
  <c r="D7433" i="1"/>
  <c r="D7432" i="1"/>
  <c r="D7431" i="1"/>
  <c r="D7430" i="1"/>
  <c r="D7429" i="1"/>
  <c r="D7428" i="1"/>
  <c r="D7427" i="1"/>
  <c r="D7426" i="1"/>
  <c r="D7425" i="1"/>
  <c r="D7424" i="1"/>
  <c r="D7423" i="1"/>
  <c r="D7422" i="1"/>
  <c r="D7421" i="1"/>
  <c r="D7420" i="1"/>
  <c r="D7419" i="1"/>
  <c r="D7418" i="1"/>
  <c r="D7417" i="1"/>
  <c r="D7416" i="1"/>
  <c r="D7415" i="1"/>
  <c r="D7414" i="1"/>
  <c r="D7413" i="1"/>
  <c r="D7412" i="1"/>
  <c r="D7410" i="1"/>
  <c r="D7409" i="1"/>
  <c r="D7408" i="1"/>
  <c r="D7404" i="1"/>
  <c r="D7401" i="1"/>
  <c r="D7398" i="1"/>
  <c r="D7397" i="1"/>
  <c r="D7395" i="1"/>
  <c r="D7394" i="1"/>
  <c r="D7393" i="1"/>
  <c r="D7392" i="1"/>
  <c r="D7391" i="1"/>
  <c r="D7390" i="1"/>
  <c r="D7389" i="1"/>
  <c r="D7386" i="1"/>
  <c r="D7385" i="1"/>
  <c r="D7383" i="1"/>
  <c r="D7381" i="1"/>
  <c r="D7380" i="1"/>
  <c r="D7379" i="1"/>
  <c r="D7378" i="1"/>
  <c r="D7377" i="1"/>
  <c r="D7376" i="1"/>
  <c r="D7373" i="1"/>
  <c r="D7372" i="1"/>
  <c r="D7371" i="1"/>
  <c r="D7370" i="1"/>
  <c r="D7369" i="1"/>
  <c r="D7368" i="1"/>
  <c r="D7367" i="1"/>
  <c r="D7365" i="1"/>
  <c r="D7364" i="1"/>
  <c r="D7363" i="1"/>
  <c r="D7362" i="1"/>
  <c r="D7361" i="1"/>
  <c r="D7360" i="1"/>
  <c r="D7357" i="1"/>
  <c r="D7354" i="1"/>
  <c r="D7353" i="1"/>
  <c r="D7352" i="1"/>
  <c r="D7351" i="1"/>
  <c r="D7350" i="1"/>
  <c r="D7349" i="1"/>
  <c r="D7348" i="1"/>
  <c r="D7347" i="1"/>
  <c r="D7346" i="1"/>
  <c r="D7344" i="1"/>
  <c r="D7342" i="1"/>
  <c r="D7341" i="1"/>
  <c r="D7340" i="1"/>
  <c r="D7339" i="1"/>
  <c r="D7338" i="1"/>
  <c r="D7337" i="1"/>
  <c r="D7336" i="1"/>
  <c r="D7335" i="1"/>
  <c r="D7334" i="1"/>
  <c r="D7333" i="1"/>
  <c r="D7332" i="1"/>
  <c r="D7331" i="1"/>
  <c r="D7330" i="1"/>
  <c r="D7329" i="1"/>
  <c r="D7328" i="1"/>
  <c r="D7327" i="1"/>
  <c r="D7326" i="1"/>
  <c r="D7325" i="1"/>
  <c r="D7324" i="1"/>
  <c r="D7323" i="1"/>
  <c r="D7322" i="1"/>
  <c r="D7321" i="1"/>
  <c r="D7320" i="1"/>
  <c r="D7319" i="1"/>
  <c r="D7318" i="1"/>
  <c r="D7317" i="1"/>
  <c r="D7316" i="1"/>
  <c r="D7315" i="1"/>
  <c r="D7314" i="1"/>
  <c r="D7313" i="1"/>
  <c r="D7312" i="1"/>
  <c r="D7311" i="1"/>
  <c r="D7310" i="1"/>
  <c r="D7309" i="1"/>
  <c r="D7308" i="1"/>
  <c r="D7307" i="1"/>
  <c r="D7306" i="1"/>
  <c r="D7305" i="1"/>
  <c r="D7304" i="1"/>
  <c r="D7303" i="1"/>
  <c r="D7302" i="1"/>
  <c r="D7301" i="1"/>
  <c r="D7300" i="1"/>
  <c r="D7299" i="1"/>
  <c r="D7298" i="1"/>
  <c r="D7297" i="1"/>
  <c r="D7296" i="1"/>
  <c r="D7295" i="1"/>
  <c r="D7293" i="1"/>
  <c r="D7289" i="1"/>
  <c r="D7286" i="1"/>
  <c r="D7283" i="1"/>
  <c r="D7282" i="1"/>
  <c r="D7281" i="1"/>
  <c r="D7279" i="1"/>
  <c r="D7278" i="1"/>
  <c r="D7276" i="1"/>
  <c r="D7275" i="1"/>
  <c r="D7274" i="1"/>
  <c r="D7273" i="1"/>
  <c r="D7272" i="1"/>
  <c r="D7271" i="1"/>
  <c r="D7270" i="1"/>
  <c r="D7269" i="1"/>
  <c r="D7267" i="1"/>
  <c r="D7263" i="1"/>
  <c r="D7262" i="1"/>
  <c r="D7261" i="1"/>
  <c r="D7260" i="1"/>
  <c r="D7259" i="1"/>
  <c r="D7258" i="1"/>
  <c r="D7255" i="1"/>
  <c r="D7254" i="1"/>
  <c r="D7253" i="1"/>
  <c r="D7252" i="1"/>
  <c r="D7251" i="1"/>
  <c r="D7250" i="1"/>
  <c r="D7249" i="1"/>
  <c r="D7248" i="1"/>
  <c r="D7247" i="1"/>
  <c r="D7246" i="1"/>
  <c r="D7245" i="1"/>
  <c r="D7244" i="1"/>
  <c r="D7243" i="1"/>
  <c r="D7242" i="1"/>
  <c r="D7241" i="1"/>
  <c r="D7239" i="1"/>
  <c r="D7238" i="1"/>
  <c r="D7237" i="1"/>
  <c r="D7236" i="1"/>
  <c r="D7235" i="1"/>
  <c r="D7234" i="1"/>
  <c r="D7232" i="1"/>
  <c r="D7231" i="1"/>
  <c r="D7230" i="1"/>
  <c r="D7229" i="1"/>
  <c r="D7228" i="1"/>
  <c r="D7227" i="1"/>
  <c r="D7226" i="1"/>
  <c r="D7225" i="1"/>
  <c r="D7224" i="1"/>
  <c r="D7223" i="1"/>
  <c r="D7222" i="1"/>
  <c r="D7221" i="1"/>
  <c r="D7220" i="1"/>
  <c r="D7219" i="1"/>
  <c r="D7218" i="1"/>
  <c r="D7217" i="1"/>
  <c r="D7216" i="1"/>
  <c r="D7215" i="1"/>
  <c r="D7213" i="1"/>
  <c r="D7211" i="1"/>
  <c r="D7210" i="1"/>
  <c r="D7208" i="1"/>
  <c r="D7207" i="1"/>
  <c r="D7206" i="1"/>
  <c r="D7205" i="1"/>
  <c r="D7204" i="1"/>
  <c r="D7203" i="1"/>
  <c r="D7202" i="1"/>
  <c r="D7201" i="1"/>
  <c r="D7200" i="1"/>
  <c r="D7199" i="1"/>
  <c r="D7198" i="1"/>
  <c r="D7197" i="1"/>
  <c r="D7196" i="1"/>
  <c r="D7195" i="1"/>
  <c r="D7194" i="1"/>
  <c r="D7193" i="1"/>
  <c r="D7191" i="1"/>
  <c r="D7188" i="1"/>
  <c r="D7187" i="1"/>
  <c r="D7186" i="1"/>
  <c r="D7185" i="1"/>
  <c r="D7184" i="1"/>
  <c r="D7183" i="1"/>
  <c r="D7182" i="1"/>
  <c r="D7181" i="1"/>
  <c r="D7180" i="1"/>
  <c r="D7179" i="1"/>
  <c r="D7178" i="1"/>
  <c r="D7177" i="1"/>
  <c r="D7176" i="1"/>
  <c r="D7175" i="1"/>
  <c r="D7174" i="1"/>
  <c r="D7173" i="1"/>
  <c r="D7172" i="1"/>
  <c r="D7171" i="1"/>
  <c r="D7170" i="1"/>
  <c r="D7169" i="1"/>
  <c r="D7168" i="1"/>
  <c r="D7167" i="1"/>
  <c r="D7166" i="1"/>
  <c r="D7165" i="1"/>
  <c r="D7164" i="1"/>
  <c r="D7163" i="1"/>
  <c r="D7162" i="1"/>
  <c r="D7161" i="1"/>
  <c r="D7160" i="1"/>
  <c r="D7159" i="1"/>
  <c r="D7158" i="1"/>
  <c r="D7157" i="1"/>
  <c r="D7156" i="1"/>
  <c r="D7155" i="1"/>
  <c r="D7154" i="1"/>
  <c r="D7153" i="1"/>
  <c r="D7152" i="1"/>
  <c r="D7151" i="1"/>
  <c r="D7150" i="1"/>
  <c r="D7149" i="1"/>
  <c r="D7148" i="1"/>
  <c r="D7147" i="1"/>
  <c r="D7146" i="1"/>
  <c r="D7145" i="1"/>
  <c r="D7144" i="1"/>
  <c r="D7143" i="1"/>
  <c r="D7142" i="1"/>
  <c r="D7141" i="1"/>
  <c r="D7140" i="1"/>
  <c r="D7139" i="1"/>
  <c r="D7138" i="1"/>
  <c r="D7137" i="1"/>
  <c r="D7136" i="1"/>
  <c r="D7135" i="1"/>
  <c r="D7134" i="1"/>
  <c r="D7133" i="1"/>
  <c r="D7132" i="1"/>
  <c r="D7131" i="1"/>
  <c r="D7130" i="1"/>
  <c r="D7129" i="1"/>
  <c r="D7128" i="1"/>
  <c r="D7127" i="1"/>
  <c r="D7126" i="1"/>
  <c r="D7125" i="1"/>
  <c r="D7123" i="1"/>
  <c r="D7119" i="1"/>
  <c r="D7115" i="1"/>
  <c r="D7112" i="1"/>
  <c r="D7109" i="1"/>
  <c r="D7108" i="1"/>
  <c r="D7106" i="1"/>
  <c r="D7103" i="1"/>
  <c r="D7102" i="1"/>
  <c r="D7099" i="1"/>
  <c r="D7098" i="1"/>
  <c r="D7097" i="1"/>
  <c r="D7095" i="1"/>
  <c r="D7094" i="1"/>
  <c r="D7092" i="1"/>
  <c r="D7091" i="1"/>
  <c r="D7089" i="1"/>
  <c r="D7088" i="1"/>
  <c r="D7086" i="1"/>
  <c r="D7085" i="1"/>
  <c r="D7084" i="1"/>
  <c r="D7081" i="1"/>
  <c r="D7080" i="1"/>
  <c r="D7077" i="1"/>
  <c r="D7076" i="1"/>
  <c r="D7075" i="1"/>
  <c r="D7074" i="1"/>
  <c r="D7073" i="1"/>
  <c r="D7072" i="1"/>
  <c r="D7071" i="1"/>
  <c r="D7070" i="1"/>
  <c r="D7069" i="1"/>
  <c r="D7068" i="1"/>
  <c r="D7067" i="1"/>
  <c r="D7066" i="1"/>
  <c r="D7064" i="1"/>
  <c r="D7063" i="1"/>
  <c r="D7062" i="1"/>
  <c r="D7061" i="1"/>
  <c r="D7060" i="1"/>
  <c r="D7059" i="1"/>
  <c r="D7058" i="1"/>
  <c r="D7057" i="1"/>
  <c r="D7056" i="1"/>
  <c r="D7055" i="1"/>
  <c r="D7054" i="1"/>
  <c r="D7053" i="1"/>
  <c r="D7052" i="1"/>
  <c r="D7051" i="1"/>
  <c r="D7050" i="1"/>
  <c r="D7049" i="1"/>
  <c r="D7048" i="1"/>
  <c r="D7047" i="1"/>
  <c r="D7046" i="1"/>
  <c r="D7044" i="1"/>
  <c r="D7042" i="1"/>
  <c r="D7041" i="1"/>
  <c r="D7040" i="1"/>
  <c r="D7039" i="1"/>
  <c r="D7038" i="1"/>
  <c r="D7037" i="1"/>
  <c r="D7036" i="1"/>
  <c r="D7035" i="1"/>
  <c r="D7032" i="1"/>
  <c r="D7031" i="1"/>
  <c r="D7030" i="1"/>
  <c r="D7029" i="1"/>
  <c r="D7028" i="1"/>
  <c r="D7027" i="1"/>
  <c r="D7026" i="1"/>
  <c r="D7025" i="1"/>
  <c r="D7024" i="1"/>
  <c r="D7023" i="1"/>
  <c r="D7022" i="1"/>
  <c r="D7021" i="1"/>
  <c r="D7020" i="1"/>
  <c r="D7019" i="1"/>
  <c r="D7018" i="1"/>
  <c r="D7017" i="1"/>
  <c r="D7015" i="1"/>
  <c r="D7014" i="1"/>
  <c r="D7013" i="1"/>
  <c r="D7012" i="1"/>
  <c r="D7011" i="1"/>
  <c r="D7010" i="1"/>
  <c r="D7008" i="1"/>
  <c r="D7007" i="1"/>
  <c r="D7006" i="1"/>
  <c r="D7005" i="1"/>
  <c r="D7004" i="1"/>
  <c r="D7003" i="1"/>
  <c r="D7002" i="1"/>
  <c r="D7001" i="1"/>
  <c r="D7000" i="1"/>
  <c r="D6999" i="1"/>
  <c r="D6998" i="1"/>
  <c r="D6997" i="1"/>
  <c r="D6996" i="1"/>
  <c r="D6995" i="1"/>
  <c r="D6994" i="1"/>
  <c r="D6992" i="1"/>
  <c r="D6991" i="1"/>
  <c r="D6989" i="1"/>
  <c r="D6988" i="1"/>
  <c r="D6987" i="1"/>
  <c r="D6986" i="1"/>
  <c r="D6985" i="1"/>
  <c r="D6984" i="1"/>
  <c r="D6983" i="1"/>
  <c r="D6982" i="1"/>
  <c r="D6981" i="1"/>
  <c r="D6980" i="1"/>
  <c r="D6979" i="1"/>
  <c r="D6978" i="1"/>
  <c r="D6977" i="1"/>
  <c r="D6976" i="1"/>
  <c r="D6975" i="1"/>
  <c r="D6974" i="1"/>
  <c r="D6973" i="1"/>
  <c r="D6972" i="1"/>
  <c r="D6971" i="1"/>
  <c r="D6970" i="1"/>
  <c r="D6969" i="1"/>
  <c r="D6968" i="1"/>
  <c r="D6967" i="1"/>
  <c r="D6966" i="1"/>
  <c r="D6965" i="1"/>
  <c r="D6964" i="1"/>
  <c r="D6963" i="1"/>
  <c r="D6962" i="1"/>
  <c r="D6961" i="1"/>
  <c r="D6960" i="1"/>
  <c r="D6959" i="1"/>
  <c r="D6958" i="1"/>
  <c r="D6957" i="1"/>
  <c r="D6956" i="1"/>
  <c r="D6955" i="1"/>
  <c r="D6954" i="1"/>
  <c r="D6952" i="1"/>
  <c r="D6951" i="1"/>
  <c r="D6950" i="1"/>
  <c r="D6949" i="1"/>
  <c r="D6948" i="1"/>
  <c r="D6947" i="1"/>
  <c r="D6946" i="1"/>
  <c r="D6945" i="1"/>
  <c r="D6944" i="1"/>
  <c r="D6943" i="1"/>
  <c r="D6942" i="1"/>
  <c r="D6941" i="1"/>
  <c r="D6940" i="1"/>
  <c r="D6939" i="1"/>
  <c r="D6938" i="1"/>
  <c r="D6937" i="1"/>
  <c r="D6936" i="1"/>
  <c r="D6935" i="1"/>
  <c r="D6934" i="1"/>
  <c r="D6933" i="1"/>
  <c r="D6932" i="1"/>
  <c r="D6931" i="1"/>
  <c r="D6930" i="1"/>
  <c r="D6929" i="1"/>
  <c r="D6928" i="1"/>
  <c r="D6927" i="1"/>
  <c r="D6926" i="1"/>
  <c r="D6925" i="1"/>
  <c r="D6924" i="1"/>
  <c r="D6923" i="1"/>
  <c r="D6922" i="1"/>
  <c r="D6921" i="1"/>
  <c r="D6920" i="1"/>
  <c r="D6919" i="1"/>
  <c r="D6918" i="1"/>
  <c r="D6917" i="1"/>
  <c r="D6916" i="1"/>
  <c r="D6915" i="1"/>
  <c r="D6914" i="1"/>
  <c r="D6913" i="1"/>
  <c r="D6912" i="1"/>
  <c r="D6911" i="1"/>
  <c r="D6910" i="1"/>
  <c r="D6909" i="1"/>
  <c r="D6908" i="1"/>
  <c r="D6907" i="1"/>
  <c r="D6906" i="1"/>
  <c r="D6905" i="1"/>
  <c r="D6904" i="1"/>
  <c r="D6901" i="1"/>
  <c r="D6900" i="1"/>
  <c r="D6899" i="1"/>
  <c r="D6898" i="1"/>
  <c r="D6894" i="1"/>
  <c r="D6891" i="1"/>
  <c r="D6886" i="1"/>
  <c r="D6885" i="1"/>
  <c r="D6884" i="1"/>
  <c r="D6883" i="1"/>
  <c r="D6882" i="1"/>
  <c r="D6879" i="1"/>
  <c r="D6878" i="1"/>
  <c r="D6876" i="1"/>
  <c r="D6874" i="1"/>
  <c r="D6873" i="1"/>
  <c r="D6872" i="1"/>
  <c r="D6871" i="1"/>
  <c r="D6870" i="1"/>
  <c r="D6867" i="1"/>
  <c r="D6865" i="1"/>
  <c r="D6864" i="1"/>
  <c r="D6863" i="1"/>
  <c r="D6862" i="1"/>
  <c r="D6861" i="1"/>
  <c r="D6860" i="1"/>
  <c r="D6859" i="1"/>
  <c r="D6858" i="1"/>
  <c r="D6856" i="1"/>
  <c r="D6855" i="1"/>
  <c r="D6854" i="1"/>
  <c r="D6853" i="1"/>
  <c r="D6852" i="1"/>
  <c r="D6851" i="1"/>
  <c r="D6850" i="1"/>
  <c r="D6849" i="1"/>
  <c r="D6848" i="1"/>
  <c r="D6847" i="1"/>
  <c r="D6846" i="1"/>
  <c r="D6845" i="1"/>
  <c r="D6844" i="1"/>
  <c r="D6842" i="1"/>
  <c r="D6840" i="1"/>
  <c r="D6836" i="1"/>
  <c r="D6835" i="1"/>
  <c r="D6834" i="1"/>
  <c r="D6833" i="1"/>
  <c r="D6832" i="1"/>
  <c r="D6831" i="1"/>
  <c r="D6830" i="1"/>
  <c r="D6829" i="1"/>
  <c r="D6826" i="1"/>
  <c r="D6825" i="1"/>
  <c r="D6824" i="1"/>
  <c r="D6823" i="1"/>
  <c r="D6822" i="1"/>
  <c r="D6821" i="1"/>
  <c r="D6820" i="1"/>
  <c r="D6819" i="1"/>
  <c r="D6818" i="1"/>
  <c r="D6817" i="1"/>
  <c r="D6816" i="1"/>
  <c r="D6815" i="1"/>
  <c r="D6813" i="1"/>
  <c r="D6812" i="1"/>
  <c r="D6811" i="1"/>
  <c r="D6810" i="1"/>
  <c r="D6809" i="1"/>
  <c r="D6808" i="1"/>
  <c r="D6807" i="1"/>
  <c r="D6806" i="1"/>
  <c r="D6804" i="1"/>
  <c r="D6802" i="1"/>
  <c r="D6801" i="1"/>
  <c r="D6800" i="1"/>
  <c r="D6799" i="1"/>
  <c r="D6798" i="1"/>
  <c r="D6797" i="1"/>
  <c r="D6796" i="1"/>
  <c r="D6795" i="1"/>
  <c r="D6794" i="1"/>
  <c r="D6793" i="1"/>
  <c r="D6792" i="1"/>
  <c r="D6791" i="1"/>
  <c r="D6790" i="1"/>
  <c r="D6789" i="1"/>
  <c r="D6788" i="1"/>
  <c r="D6787" i="1"/>
  <c r="D6786" i="1"/>
  <c r="D6784" i="1"/>
  <c r="D6782" i="1"/>
  <c r="D6781" i="1"/>
  <c r="D6780" i="1"/>
  <c r="D6779" i="1"/>
  <c r="D6778" i="1"/>
  <c r="D6777" i="1"/>
  <c r="D6776" i="1"/>
  <c r="D6775" i="1"/>
  <c r="D6773" i="1"/>
  <c r="D6772" i="1"/>
  <c r="D6771" i="1"/>
  <c r="D6770" i="1"/>
  <c r="D6769" i="1"/>
  <c r="D6768" i="1"/>
  <c r="D6767" i="1"/>
  <c r="D6766" i="1"/>
  <c r="D6765" i="1"/>
  <c r="D6764" i="1"/>
  <c r="D6763" i="1"/>
  <c r="D6762" i="1"/>
  <c r="D6761" i="1"/>
  <c r="D6760" i="1"/>
  <c r="D6759" i="1"/>
  <c r="D6758" i="1"/>
  <c r="D6757" i="1"/>
  <c r="D6756" i="1"/>
  <c r="D6755" i="1"/>
  <c r="D6754" i="1"/>
  <c r="D6753" i="1"/>
  <c r="D6752" i="1"/>
  <c r="D6751" i="1"/>
  <c r="D6750" i="1"/>
  <c r="D6749" i="1"/>
  <c r="D6748" i="1"/>
  <c r="D6747" i="1"/>
  <c r="D6745" i="1"/>
  <c r="D6742" i="1"/>
  <c r="D6741" i="1"/>
  <c r="D6740" i="1"/>
  <c r="D6739" i="1"/>
  <c r="D6738" i="1"/>
  <c r="D6737" i="1"/>
  <c r="D6736" i="1"/>
  <c r="D6735" i="1"/>
  <c r="D6734" i="1"/>
  <c r="D6733" i="1"/>
  <c r="D6732" i="1"/>
  <c r="D6731" i="1"/>
  <c r="D6730" i="1"/>
  <c r="D6729" i="1"/>
  <c r="D6728" i="1"/>
  <c r="D6727" i="1"/>
  <c r="D6726" i="1"/>
  <c r="D6725" i="1"/>
  <c r="D6724" i="1"/>
  <c r="D6723" i="1"/>
  <c r="D6722" i="1"/>
  <c r="D6721" i="1"/>
  <c r="D6720" i="1"/>
  <c r="D6719" i="1"/>
  <c r="D6718" i="1"/>
  <c r="D6717" i="1"/>
  <c r="D6716" i="1"/>
  <c r="D6715" i="1"/>
  <c r="D6714" i="1"/>
  <c r="D6713" i="1"/>
  <c r="D6712" i="1"/>
  <c r="D6711" i="1"/>
  <c r="D6710" i="1"/>
  <c r="D6709" i="1"/>
  <c r="D6708" i="1"/>
  <c r="D6707" i="1"/>
  <c r="D6706" i="1"/>
  <c r="D6705" i="1"/>
  <c r="D6704" i="1"/>
  <c r="D6703" i="1"/>
  <c r="D6702" i="1"/>
  <c r="D6701" i="1"/>
  <c r="D6700" i="1"/>
  <c r="D6699" i="1"/>
  <c r="D6698" i="1"/>
  <c r="D6697" i="1"/>
  <c r="D6696" i="1"/>
  <c r="D6695" i="1"/>
  <c r="D6694" i="1"/>
  <c r="D6693" i="1"/>
  <c r="D6692" i="1"/>
  <c r="D6691" i="1"/>
  <c r="D6690" i="1"/>
  <c r="D6689" i="1"/>
  <c r="D6688" i="1"/>
  <c r="D6687" i="1"/>
  <c r="D6686" i="1"/>
  <c r="D6685" i="1"/>
  <c r="D6683" i="1"/>
  <c r="D6682" i="1"/>
  <c r="D6678" i="1"/>
  <c r="D6675" i="1"/>
  <c r="D6673" i="1"/>
  <c r="D6671" i="1"/>
  <c r="D6670" i="1"/>
  <c r="D6668" i="1"/>
  <c r="D6664" i="1"/>
  <c r="D6663" i="1"/>
  <c r="D6661" i="1"/>
  <c r="D6660" i="1"/>
  <c r="D6659" i="1"/>
  <c r="D6658" i="1"/>
  <c r="D6657" i="1"/>
  <c r="D6656" i="1"/>
  <c r="D6655" i="1"/>
  <c r="D6654" i="1"/>
  <c r="D6653" i="1"/>
  <c r="D6652" i="1"/>
  <c r="D6651" i="1"/>
  <c r="D6650" i="1"/>
  <c r="D6649" i="1"/>
  <c r="D6646" i="1"/>
  <c r="D6644" i="1"/>
  <c r="D6643" i="1"/>
  <c r="D6642" i="1"/>
  <c r="D6639" i="1"/>
  <c r="D6638" i="1"/>
  <c r="D6637" i="1"/>
  <c r="D6635" i="1"/>
  <c r="D6634" i="1"/>
  <c r="D6633" i="1"/>
  <c r="D6631" i="1"/>
  <c r="D6630" i="1"/>
  <c r="D6628" i="1"/>
  <c r="D6627" i="1"/>
  <c r="D6625" i="1"/>
  <c r="D6621" i="1"/>
  <c r="D6620" i="1"/>
  <c r="D6619" i="1"/>
  <c r="D6618" i="1"/>
  <c r="D6617" i="1"/>
  <c r="D6616" i="1"/>
  <c r="D6615" i="1"/>
  <c r="D6614" i="1"/>
  <c r="D6613" i="1"/>
  <c r="D6610" i="1"/>
  <c r="D6609" i="1"/>
  <c r="D6608" i="1"/>
  <c r="D6607" i="1"/>
  <c r="D6606" i="1"/>
  <c r="D6605" i="1"/>
  <c r="D6604" i="1"/>
  <c r="D6603" i="1"/>
  <c r="D6601" i="1"/>
  <c r="D6600" i="1"/>
  <c r="D6599" i="1"/>
  <c r="D6598" i="1"/>
  <c r="D6597" i="1"/>
  <c r="D6596" i="1"/>
  <c r="D6595" i="1"/>
  <c r="D6594" i="1"/>
  <c r="D6593" i="1"/>
  <c r="D6592" i="1"/>
  <c r="D6591" i="1"/>
  <c r="D6590" i="1"/>
  <c r="D6589" i="1"/>
  <c r="D6587" i="1"/>
  <c r="D6586" i="1"/>
  <c r="D6585" i="1"/>
  <c r="D6584" i="1"/>
  <c r="D6583" i="1"/>
  <c r="D6582" i="1"/>
  <c r="D6581" i="1"/>
  <c r="D6580" i="1"/>
  <c r="D6578" i="1"/>
  <c r="D6577" i="1"/>
  <c r="D6576" i="1"/>
  <c r="D6575" i="1"/>
  <c r="D6574" i="1"/>
  <c r="D6573" i="1"/>
  <c r="D6572" i="1"/>
  <c r="D6571" i="1"/>
  <c r="D6570" i="1"/>
  <c r="D6569" i="1"/>
  <c r="D6568" i="1"/>
  <c r="D6567" i="1"/>
  <c r="D6566" i="1"/>
  <c r="D6565" i="1"/>
  <c r="D6564" i="1"/>
  <c r="D6563" i="1"/>
  <c r="D6562" i="1"/>
  <c r="D6561" i="1"/>
  <c r="D6560" i="1"/>
  <c r="D6559" i="1"/>
  <c r="D6558" i="1"/>
  <c r="D6557" i="1"/>
  <c r="D6556" i="1"/>
  <c r="D6554" i="1"/>
  <c r="D6553" i="1"/>
  <c r="D6552" i="1"/>
  <c r="D6551" i="1"/>
  <c r="D6550" i="1"/>
  <c r="D6549" i="1"/>
  <c r="D6548" i="1"/>
  <c r="D6547" i="1"/>
  <c r="D6546" i="1"/>
  <c r="D6545" i="1"/>
  <c r="D6544" i="1"/>
  <c r="D6543" i="1"/>
  <c r="D6542" i="1"/>
  <c r="D6541" i="1"/>
  <c r="D6540" i="1"/>
  <c r="D6539" i="1"/>
  <c r="D6538" i="1"/>
  <c r="D6537" i="1"/>
  <c r="D6536" i="1"/>
  <c r="D6535" i="1"/>
  <c r="D6534" i="1"/>
  <c r="D6533" i="1"/>
  <c r="D6532" i="1"/>
  <c r="D6531" i="1"/>
  <c r="D6530" i="1"/>
  <c r="D6529" i="1"/>
  <c r="D6528" i="1"/>
  <c r="D6527" i="1"/>
  <c r="D6526" i="1"/>
  <c r="D6525" i="1"/>
  <c r="D6524" i="1"/>
  <c r="D6523" i="1"/>
  <c r="D6522" i="1"/>
  <c r="D6521" i="1"/>
  <c r="D6520" i="1"/>
  <c r="D6519" i="1"/>
  <c r="D6518" i="1"/>
  <c r="D6517" i="1"/>
  <c r="D6516" i="1"/>
  <c r="D6515" i="1"/>
  <c r="D6514" i="1"/>
  <c r="D6513" i="1"/>
  <c r="D6512" i="1"/>
  <c r="D6511" i="1"/>
  <c r="D6510" i="1"/>
  <c r="D6509" i="1"/>
  <c r="D6508" i="1"/>
  <c r="D6507" i="1"/>
  <c r="D6506" i="1"/>
  <c r="D6505" i="1"/>
  <c r="D6504" i="1"/>
  <c r="D6503" i="1"/>
  <c r="D6502" i="1"/>
  <c r="D6501" i="1"/>
  <c r="D6500" i="1"/>
  <c r="D6499" i="1"/>
  <c r="D6498" i="1"/>
  <c r="D6497" i="1"/>
  <c r="D6496" i="1"/>
  <c r="D6495" i="1"/>
  <c r="D6494" i="1"/>
  <c r="D6493" i="1"/>
  <c r="D6491" i="1"/>
  <c r="D6490" i="1"/>
  <c r="D6489" i="1"/>
  <c r="D6485" i="1"/>
  <c r="D6483" i="1"/>
  <c r="D6482" i="1"/>
  <c r="D6478" i="1"/>
  <c r="D6477" i="1"/>
  <c r="D6476" i="1"/>
  <c r="D6473" i="1"/>
  <c r="D6471" i="1"/>
  <c r="D6470" i="1"/>
  <c r="D6469" i="1"/>
  <c r="D6468" i="1"/>
  <c r="D6467" i="1"/>
  <c r="D6465" i="1"/>
  <c r="D6464" i="1"/>
  <c r="D6463" i="1"/>
  <c r="D6461" i="1"/>
  <c r="D6460" i="1"/>
  <c r="D6457" i="1"/>
  <c r="D6456" i="1"/>
  <c r="D6454" i="1"/>
  <c r="D6452" i="1"/>
  <c r="D6450" i="1"/>
  <c r="D6449" i="1"/>
  <c r="D6446" i="1"/>
  <c r="D6444" i="1"/>
  <c r="D6442" i="1"/>
  <c r="D6441" i="1"/>
  <c r="D6440" i="1"/>
  <c r="D6439" i="1"/>
  <c r="D6438" i="1"/>
  <c r="D6437" i="1"/>
  <c r="D6436" i="1"/>
  <c r="D6435" i="1"/>
  <c r="D6434" i="1"/>
  <c r="D6433" i="1"/>
  <c r="D6432" i="1"/>
  <c r="D6431" i="1"/>
  <c r="D6430" i="1"/>
  <c r="D6429" i="1"/>
  <c r="D6428" i="1"/>
  <c r="D6425" i="1"/>
  <c r="D6424" i="1"/>
  <c r="D6423" i="1"/>
  <c r="D6422" i="1"/>
  <c r="D6421" i="1"/>
  <c r="D6420" i="1"/>
  <c r="D6419" i="1"/>
  <c r="D6418" i="1"/>
  <c r="D6417" i="1"/>
  <c r="D6416" i="1"/>
  <c r="D6415" i="1"/>
  <c r="D6414" i="1"/>
  <c r="D6413" i="1"/>
  <c r="D6412" i="1"/>
  <c r="D6410" i="1"/>
  <c r="D6409" i="1"/>
  <c r="D6407" i="1"/>
  <c r="D6406" i="1"/>
  <c r="D6405" i="1"/>
  <c r="D6403" i="1"/>
  <c r="D6402" i="1"/>
  <c r="D6401" i="1"/>
  <c r="D6400" i="1"/>
  <c r="D6399" i="1"/>
  <c r="D6398" i="1"/>
  <c r="D6396" i="1"/>
  <c r="D6394" i="1"/>
  <c r="D6393" i="1"/>
  <c r="D6392" i="1"/>
  <c r="D6390" i="1"/>
  <c r="D6389" i="1"/>
  <c r="D6387" i="1"/>
  <c r="D6386" i="1"/>
  <c r="D6385" i="1"/>
  <c r="D6384" i="1"/>
  <c r="D6383" i="1"/>
  <c r="D6382" i="1"/>
  <c r="D6381" i="1"/>
  <c r="D6380" i="1"/>
  <c r="D6379" i="1"/>
  <c r="D6378" i="1"/>
  <c r="D6377" i="1"/>
  <c r="D6376" i="1"/>
  <c r="D6375" i="1"/>
  <c r="D6374" i="1"/>
  <c r="D6373" i="1"/>
  <c r="D6372" i="1"/>
  <c r="D6371" i="1"/>
  <c r="D6370" i="1"/>
  <c r="D6369" i="1"/>
  <c r="D6368" i="1"/>
  <c r="D6367" i="1"/>
  <c r="D6366" i="1"/>
  <c r="D6365" i="1"/>
  <c r="D6363" i="1"/>
  <c r="D6362" i="1"/>
  <c r="D6361" i="1"/>
  <c r="D6360" i="1"/>
  <c r="D6359" i="1"/>
  <c r="D6358" i="1"/>
  <c r="D6357" i="1"/>
  <c r="D6356" i="1"/>
  <c r="D6355" i="1"/>
  <c r="D6354" i="1"/>
  <c r="D6353" i="1"/>
  <c r="D6352" i="1"/>
  <c r="D6351" i="1"/>
  <c r="D6350" i="1"/>
  <c r="D6349" i="1"/>
  <c r="D6348" i="1"/>
  <c r="D6347" i="1"/>
  <c r="D6346" i="1"/>
  <c r="D6345" i="1"/>
  <c r="D6344" i="1"/>
  <c r="D6343" i="1"/>
  <c r="D6342" i="1"/>
  <c r="D6341" i="1"/>
  <c r="D6340" i="1"/>
  <c r="D6339" i="1"/>
  <c r="D6338" i="1"/>
  <c r="D6337" i="1"/>
  <c r="D6336" i="1"/>
  <c r="D6335" i="1"/>
  <c r="D6334" i="1"/>
  <c r="D6333" i="1"/>
  <c r="D6332" i="1"/>
  <c r="D6331" i="1"/>
  <c r="D6330" i="1"/>
  <c r="D6329" i="1"/>
  <c r="D6328" i="1"/>
  <c r="D6326" i="1"/>
  <c r="D6322" i="1"/>
  <c r="D6319" i="1"/>
  <c r="D6317" i="1"/>
  <c r="D6315" i="1"/>
  <c r="D6311" i="1"/>
  <c r="D6310" i="1"/>
  <c r="D6309" i="1"/>
  <c r="D6308" i="1"/>
  <c r="D6307" i="1"/>
  <c r="D6306" i="1"/>
  <c r="D6305" i="1"/>
  <c r="D6304" i="1"/>
  <c r="D6302" i="1"/>
  <c r="D6301" i="1"/>
  <c r="D6300" i="1"/>
  <c r="D6299" i="1"/>
  <c r="D6298" i="1"/>
  <c r="D6297" i="1"/>
  <c r="D6296" i="1"/>
  <c r="D6294" i="1"/>
  <c r="D6293" i="1"/>
  <c r="D6292" i="1"/>
  <c r="D6291" i="1"/>
  <c r="D6290" i="1"/>
  <c r="D6288" i="1"/>
  <c r="D6287" i="1"/>
  <c r="D6286" i="1"/>
  <c r="D6285" i="1"/>
  <c r="D6284" i="1"/>
  <c r="D6283" i="1"/>
  <c r="D6282" i="1"/>
  <c r="D6281" i="1"/>
  <c r="D6280" i="1"/>
  <c r="D6279" i="1"/>
  <c r="D6278" i="1"/>
  <c r="D6277" i="1"/>
  <c r="D6276" i="1"/>
  <c r="D6275" i="1"/>
  <c r="D6274" i="1"/>
  <c r="D6273" i="1"/>
  <c r="D6272" i="1"/>
  <c r="D6271" i="1"/>
  <c r="D6270" i="1"/>
  <c r="D6269" i="1"/>
  <c r="D6268" i="1"/>
  <c r="D6267" i="1"/>
  <c r="D6266" i="1"/>
  <c r="D6265" i="1"/>
  <c r="D6264" i="1"/>
  <c r="D6261" i="1"/>
  <c r="D6259" i="1"/>
  <c r="D6258" i="1"/>
  <c r="D6256" i="1"/>
  <c r="D6255" i="1"/>
  <c r="D6254" i="1"/>
  <c r="D6253" i="1"/>
  <c r="D6252" i="1"/>
  <c r="D6249" i="1"/>
  <c r="D6248" i="1"/>
  <c r="D6247" i="1"/>
  <c r="D6246" i="1"/>
  <c r="D6245" i="1"/>
  <c r="D6244" i="1"/>
  <c r="D6243" i="1"/>
  <c r="D6242" i="1"/>
  <c r="D6241" i="1"/>
  <c r="D6240" i="1"/>
  <c r="D6239" i="1"/>
  <c r="D6238" i="1"/>
  <c r="D6237" i="1"/>
  <c r="D6236" i="1"/>
  <c r="D6235" i="1"/>
  <c r="D6234" i="1"/>
  <c r="D6233" i="1"/>
  <c r="D6232" i="1"/>
  <c r="D6231" i="1"/>
  <c r="D6229" i="1"/>
  <c r="D6228" i="1"/>
  <c r="D6227" i="1"/>
  <c r="D6226" i="1"/>
  <c r="D6225" i="1"/>
  <c r="D6224" i="1"/>
  <c r="D6223" i="1"/>
  <c r="D6221" i="1"/>
  <c r="D6219" i="1"/>
  <c r="D6216" i="1"/>
  <c r="D6215" i="1"/>
  <c r="D6214" i="1"/>
  <c r="D6213" i="1"/>
  <c r="D6212" i="1"/>
  <c r="D6211" i="1"/>
  <c r="D6210" i="1"/>
  <c r="D6209" i="1"/>
  <c r="D6208" i="1"/>
  <c r="D6207" i="1"/>
  <c r="D6206" i="1"/>
  <c r="D6205" i="1"/>
  <c r="D6204" i="1"/>
  <c r="D6203" i="1"/>
  <c r="D6202" i="1"/>
  <c r="D6201" i="1"/>
  <c r="D6200" i="1"/>
  <c r="D6199" i="1"/>
  <c r="D6198" i="1"/>
  <c r="D6197" i="1"/>
  <c r="D6196" i="1"/>
  <c r="D6193" i="1"/>
  <c r="D6192" i="1"/>
  <c r="D6191" i="1"/>
  <c r="D6190" i="1"/>
  <c r="D6189" i="1"/>
  <c r="D6188" i="1"/>
  <c r="D6187" i="1"/>
  <c r="D6186" i="1"/>
  <c r="D6185" i="1"/>
  <c r="D6184" i="1"/>
  <c r="D6183" i="1"/>
  <c r="D6182" i="1"/>
  <c r="D6181" i="1"/>
  <c r="D6180" i="1"/>
  <c r="D6179" i="1"/>
  <c r="D6178" i="1"/>
  <c r="D6177" i="1"/>
  <c r="D6176" i="1"/>
  <c r="D6175" i="1"/>
  <c r="D6174" i="1"/>
  <c r="D6173" i="1"/>
  <c r="D6172" i="1"/>
  <c r="D6171" i="1"/>
  <c r="D6170" i="1"/>
  <c r="D6169" i="1"/>
  <c r="D6168" i="1"/>
  <c r="D6167" i="1"/>
  <c r="D6166" i="1"/>
  <c r="D6165" i="1"/>
  <c r="D6164" i="1"/>
  <c r="D6163" i="1"/>
  <c r="D6162" i="1"/>
  <c r="D6161" i="1"/>
  <c r="D6160" i="1"/>
  <c r="D6159" i="1"/>
  <c r="D6158" i="1"/>
  <c r="D6157" i="1"/>
  <c r="D6156" i="1"/>
  <c r="D6155" i="1"/>
  <c r="D6154" i="1"/>
  <c r="D6153" i="1"/>
  <c r="D6152" i="1"/>
  <c r="D6151" i="1"/>
  <c r="D6150" i="1"/>
  <c r="D6149" i="1"/>
  <c r="D6148" i="1"/>
  <c r="D6147" i="1"/>
  <c r="D6146" i="1"/>
  <c r="D6144" i="1"/>
  <c r="D6143" i="1"/>
  <c r="D6142" i="1"/>
  <c r="D6141" i="1"/>
  <c r="D6140" i="1"/>
  <c r="D6138" i="1"/>
  <c r="D6137" i="1"/>
  <c r="D6136" i="1"/>
  <c r="D6135" i="1"/>
  <c r="D6134" i="1"/>
  <c r="D6133" i="1"/>
  <c r="D6132" i="1"/>
  <c r="D6131" i="1"/>
  <c r="D6130" i="1"/>
  <c r="D6129" i="1"/>
  <c r="D6127" i="1"/>
  <c r="D6126" i="1"/>
  <c r="D6125" i="1"/>
  <c r="D6124" i="1"/>
  <c r="D6123" i="1"/>
  <c r="D6122" i="1"/>
  <c r="D6121" i="1"/>
  <c r="D6120" i="1"/>
  <c r="D6119" i="1"/>
  <c r="D6118" i="1"/>
  <c r="D6117" i="1"/>
  <c r="D6116" i="1"/>
  <c r="D6115" i="1"/>
  <c r="D6114" i="1"/>
  <c r="D6113" i="1"/>
  <c r="D6112" i="1"/>
  <c r="D6111" i="1"/>
  <c r="D6110" i="1"/>
  <c r="D6109" i="1"/>
  <c r="D6108" i="1"/>
  <c r="D6107" i="1"/>
  <c r="D6106" i="1"/>
  <c r="D6105" i="1"/>
  <c r="D6104" i="1"/>
  <c r="D6103" i="1"/>
  <c r="D6102" i="1"/>
  <c r="D6101" i="1"/>
  <c r="D6100" i="1"/>
  <c r="D6099" i="1"/>
  <c r="D6098" i="1"/>
  <c r="D6097" i="1"/>
  <c r="D6096" i="1"/>
  <c r="D6095" i="1"/>
  <c r="D6094" i="1"/>
  <c r="D6093" i="1"/>
  <c r="D6092" i="1"/>
  <c r="D6091" i="1"/>
  <c r="D6090" i="1"/>
  <c r="D6089" i="1"/>
  <c r="D6088" i="1"/>
  <c r="D6087" i="1"/>
  <c r="D6086" i="1"/>
  <c r="D6085" i="1"/>
  <c r="D6084" i="1"/>
  <c r="D6083" i="1"/>
  <c r="D6082" i="1"/>
  <c r="D6081" i="1"/>
  <c r="D6080" i="1"/>
  <c r="D6079" i="1"/>
  <c r="D6078" i="1"/>
  <c r="D6077" i="1"/>
  <c r="D6076" i="1"/>
  <c r="D6075" i="1"/>
  <c r="D6074" i="1"/>
  <c r="D6072" i="1"/>
  <c r="D6071" i="1"/>
  <c r="D6070" i="1"/>
  <c r="D6068" i="1"/>
  <c r="D6067" i="1"/>
  <c r="D6066" i="1"/>
  <c r="D6065" i="1"/>
  <c r="D6064" i="1"/>
  <c r="D6063" i="1"/>
  <c r="D6062" i="1"/>
  <c r="D6061" i="1"/>
  <c r="D6060" i="1"/>
  <c r="D6059" i="1"/>
  <c r="D6058" i="1"/>
  <c r="D6057" i="1"/>
  <c r="D6056" i="1"/>
  <c r="D6054" i="1"/>
  <c r="D6053" i="1"/>
  <c r="D6052" i="1"/>
  <c r="D6051" i="1"/>
  <c r="D6050" i="1"/>
  <c r="D6049" i="1"/>
  <c r="D6048" i="1"/>
  <c r="D6047" i="1"/>
  <c r="D6046" i="1"/>
  <c r="D6045" i="1"/>
  <c r="D6044" i="1"/>
  <c r="D6043" i="1"/>
  <c r="D6042" i="1"/>
  <c r="D6041" i="1"/>
  <c r="D6040" i="1"/>
  <c r="D6039" i="1"/>
  <c r="D6038" i="1"/>
  <c r="D6037" i="1"/>
  <c r="D6036" i="1"/>
  <c r="D6035" i="1"/>
  <c r="D6034" i="1"/>
  <c r="D6033" i="1"/>
  <c r="D6032" i="1"/>
  <c r="D6031" i="1"/>
  <c r="D6030" i="1"/>
  <c r="D6029" i="1"/>
  <c r="D6028" i="1"/>
  <c r="D6027" i="1"/>
  <c r="D6026" i="1"/>
  <c r="D6025" i="1"/>
  <c r="D6024" i="1"/>
  <c r="D6023" i="1"/>
  <c r="D6022" i="1"/>
  <c r="D6021" i="1"/>
  <c r="D6020" i="1"/>
  <c r="D6019" i="1"/>
  <c r="D6018" i="1"/>
  <c r="D6017" i="1"/>
  <c r="D6016" i="1"/>
  <c r="D6015" i="1"/>
  <c r="D6014" i="1"/>
  <c r="D6013" i="1"/>
  <c r="D6012" i="1"/>
  <c r="D6011" i="1"/>
  <c r="D6010" i="1"/>
  <c r="D6009" i="1"/>
  <c r="D6008" i="1"/>
  <c r="D6007" i="1"/>
  <c r="D6006" i="1"/>
  <c r="D6005" i="1"/>
  <c r="D6004" i="1"/>
  <c r="D6003" i="1"/>
  <c r="D6002" i="1"/>
  <c r="D6001" i="1"/>
  <c r="D6000" i="1"/>
  <c r="D5999" i="1"/>
  <c r="D5997" i="1"/>
  <c r="D5995" i="1"/>
  <c r="D5994" i="1"/>
  <c r="D5993" i="1"/>
  <c r="D5992" i="1"/>
  <c r="D5991" i="1"/>
  <c r="D5990" i="1"/>
  <c r="D5989" i="1"/>
  <c r="D5988" i="1"/>
  <c r="D5987" i="1"/>
  <c r="D5986" i="1"/>
  <c r="D5985" i="1"/>
  <c r="D5984" i="1"/>
  <c r="D5983" i="1"/>
  <c r="D5982" i="1"/>
  <c r="D5981" i="1"/>
  <c r="D5980" i="1"/>
  <c r="D5979" i="1"/>
  <c r="D5978" i="1"/>
  <c r="D5977" i="1"/>
  <c r="D5976" i="1"/>
  <c r="D5975" i="1"/>
  <c r="D5974" i="1"/>
  <c r="D5973" i="1"/>
  <c r="D5972" i="1"/>
  <c r="D5971" i="1"/>
  <c r="D5970" i="1"/>
  <c r="D5969" i="1"/>
  <c r="D5968" i="1"/>
  <c r="D5967" i="1"/>
  <c r="D5966" i="1"/>
  <c r="D5965" i="1"/>
  <c r="D5964" i="1"/>
  <c r="D5963" i="1"/>
  <c r="D5962" i="1"/>
  <c r="D5961" i="1"/>
  <c r="D5960" i="1"/>
  <c r="D5959" i="1"/>
  <c r="D5958" i="1"/>
  <c r="D5957" i="1"/>
  <c r="D5956" i="1"/>
  <c r="D5955" i="1"/>
  <c r="D5954" i="1"/>
  <c r="D5953" i="1"/>
  <c r="D5952" i="1"/>
  <c r="D5951" i="1"/>
  <c r="D5950" i="1"/>
  <c r="D5949" i="1"/>
  <c r="D5948" i="1"/>
  <c r="D5947" i="1"/>
  <c r="D5946" i="1"/>
  <c r="D5945" i="1"/>
  <c r="D5944" i="1"/>
  <c r="D5943" i="1"/>
  <c r="D5942" i="1"/>
  <c r="D5941" i="1"/>
  <c r="D5940" i="1"/>
  <c r="D5939" i="1"/>
  <c r="D5938" i="1"/>
  <c r="D5937" i="1"/>
  <c r="D5936" i="1"/>
  <c r="D5935" i="1"/>
  <c r="D5934" i="1"/>
  <c r="D5933" i="1"/>
  <c r="D5932" i="1"/>
  <c r="D5931" i="1"/>
  <c r="D5930" i="1"/>
  <c r="D5929" i="1"/>
  <c r="D5928" i="1"/>
  <c r="D5927" i="1"/>
  <c r="D5926" i="1"/>
  <c r="D5925" i="1"/>
  <c r="D5924" i="1"/>
  <c r="D5923" i="1"/>
  <c r="D5922" i="1"/>
  <c r="D5921" i="1"/>
  <c r="D5920" i="1"/>
  <c r="D5919" i="1"/>
  <c r="D5918" i="1"/>
  <c r="D5917" i="1"/>
  <c r="D5916" i="1"/>
  <c r="D5915" i="1"/>
  <c r="D5914" i="1"/>
  <c r="D5913" i="1"/>
  <c r="D5912" i="1"/>
  <c r="D5911" i="1"/>
  <c r="D5910" i="1"/>
  <c r="D5909" i="1"/>
  <c r="D5908" i="1"/>
  <c r="D5907" i="1"/>
  <c r="D5906" i="1"/>
  <c r="D5905" i="1"/>
  <c r="D5904" i="1"/>
  <c r="D5903" i="1"/>
  <c r="D5902" i="1"/>
  <c r="D5901" i="1"/>
  <c r="D5900" i="1"/>
  <c r="D5899" i="1"/>
  <c r="D5898" i="1"/>
  <c r="D5897" i="1"/>
  <c r="D5896" i="1"/>
  <c r="D5895" i="1"/>
  <c r="D5894" i="1"/>
  <c r="D5893" i="1"/>
  <c r="D5892" i="1"/>
  <c r="D5891" i="1"/>
  <c r="D5890" i="1"/>
  <c r="D5889" i="1"/>
  <c r="D5888" i="1"/>
  <c r="D5887" i="1"/>
  <c r="D5886" i="1"/>
  <c r="D5885" i="1"/>
  <c r="D5884" i="1"/>
  <c r="D5883" i="1"/>
  <c r="D5882" i="1"/>
  <c r="D5881" i="1"/>
  <c r="D5880" i="1"/>
  <c r="D5879" i="1"/>
  <c r="D5878" i="1"/>
  <c r="D5877" i="1"/>
  <c r="D5876" i="1"/>
  <c r="D5875" i="1"/>
  <c r="D5874" i="1"/>
  <c r="D5873" i="1"/>
  <c r="D5872" i="1"/>
  <c r="D5871" i="1"/>
  <c r="D5870" i="1"/>
  <c r="D5869" i="1"/>
  <c r="D5868" i="1"/>
  <c r="D5867" i="1"/>
  <c r="D5866" i="1"/>
  <c r="D5865" i="1"/>
  <c r="D5864" i="1"/>
  <c r="D5863" i="1"/>
  <c r="D5862" i="1"/>
  <c r="D5861" i="1"/>
  <c r="D5860" i="1"/>
  <c r="D5859" i="1"/>
  <c r="D5858" i="1"/>
  <c r="D5857" i="1"/>
  <c r="D5856" i="1"/>
  <c r="D5855" i="1"/>
  <c r="D5854" i="1"/>
  <c r="D5853" i="1"/>
  <c r="D5852" i="1"/>
  <c r="D5851" i="1"/>
  <c r="D5850" i="1"/>
  <c r="D5849" i="1"/>
  <c r="D5848" i="1"/>
  <c r="D5847" i="1"/>
  <c r="D5846" i="1"/>
  <c r="D5845" i="1"/>
  <c r="D5844" i="1"/>
  <c r="D5843" i="1"/>
  <c r="D5842" i="1"/>
  <c r="D5841" i="1"/>
  <c r="D5840" i="1"/>
  <c r="D5839" i="1"/>
  <c r="D5838" i="1"/>
  <c r="D5837" i="1"/>
  <c r="D5836" i="1"/>
  <c r="D5835" i="1"/>
  <c r="D5834" i="1"/>
  <c r="D5833" i="1"/>
  <c r="D5832" i="1"/>
  <c r="D5831" i="1"/>
  <c r="D5830" i="1"/>
  <c r="D5829" i="1"/>
  <c r="D5828" i="1"/>
  <c r="D5827" i="1"/>
  <c r="D5826" i="1"/>
  <c r="D5825" i="1"/>
  <c r="D5824" i="1"/>
  <c r="D5823" i="1"/>
  <c r="D5822" i="1"/>
  <c r="D5820" i="1"/>
  <c r="D5819" i="1"/>
  <c r="D5818" i="1"/>
  <c r="D5817" i="1"/>
  <c r="D5814" i="1"/>
  <c r="D5813" i="1"/>
  <c r="D5811" i="1"/>
  <c r="D5810" i="1"/>
  <c r="D5809" i="1"/>
  <c r="D5808" i="1"/>
  <c r="D5805" i="1"/>
  <c r="D5802" i="1" l="1"/>
  <c r="D5799" i="1"/>
  <c r="D5798" i="1"/>
  <c r="D5797" i="1"/>
  <c r="D5796" i="1"/>
  <c r="D5795" i="1"/>
  <c r="D5794" i="1"/>
  <c r="D5793" i="1"/>
  <c r="D5792" i="1"/>
  <c r="D5790" i="1"/>
  <c r="D5788" i="1"/>
  <c r="D5786" i="1"/>
  <c r="D5785" i="1"/>
  <c r="D5784" i="1"/>
  <c r="D5783" i="1"/>
  <c r="D5782" i="1"/>
  <c r="D5781" i="1"/>
  <c r="D5780" i="1"/>
  <c r="D5779" i="1"/>
  <c r="D5778" i="1"/>
  <c r="D5777" i="1"/>
  <c r="D5776" i="1"/>
  <c r="D5774" i="1"/>
  <c r="D5772" i="1"/>
  <c r="D5771" i="1"/>
  <c r="D5770" i="1"/>
  <c r="D5769" i="1"/>
  <c r="D5768" i="1"/>
  <c r="D5767" i="1"/>
  <c r="D5764" i="1"/>
  <c r="D5763" i="1"/>
  <c r="D5762" i="1"/>
  <c r="D5761" i="1"/>
  <c r="D5760" i="1"/>
  <c r="D5759" i="1"/>
  <c r="D5758" i="1"/>
  <c r="D5757" i="1"/>
  <c r="D5755" i="1"/>
  <c r="D5754" i="1"/>
  <c r="D5753" i="1"/>
  <c r="D5752" i="1"/>
  <c r="D5751" i="1"/>
  <c r="D5750" i="1"/>
  <c r="D5749" i="1"/>
  <c r="D5748" i="1"/>
  <c r="D5747" i="1"/>
  <c r="D5745" i="1"/>
  <c r="D5744" i="1"/>
  <c r="D5743" i="1"/>
  <c r="D5741" i="1"/>
  <c r="D5740" i="1"/>
  <c r="D5739" i="1"/>
  <c r="D5738" i="1"/>
  <c r="D5737" i="1"/>
  <c r="D5736" i="1"/>
  <c r="D5735" i="1"/>
  <c r="D5734" i="1"/>
  <c r="D5733" i="1"/>
  <c r="D5732" i="1"/>
  <c r="D5731" i="1"/>
  <c r="D5730" i="1"/>
  <c r="D5729" i="1"/>
  <c r="D5728" i="1"/>
  <c r="D5727" i="1"/>
  <c r="D5726" i="1"/>
  <c r="D5725" i="1"/>
  <c r="D5724" i="1"/>
  <c r="D5723" i="1"/>
  <c r="D5722" i="1"/>
  <c r="D5721" i="1"/>
  <c r="D5720" i="1"/>
  <c r="D5719" i="1"/>
  <c r="D5718" i="1"/>
  <c r="D5717" i="1"/>
  <c r="D5716" i="1"/>
  <c r="D5715" i="1"/>
  <c r="D5712" i="1"/>
  <c r="D5711" i="1"/>
  <c r="D5710" i="1"/>
  <c r="D5709" i="1"/>
  <c r="D5708" i="1"/>
  <c r="D5707" i="1"/>
  <c r="D5706" i="1"/>
  <c r="D5705" i="1"/>
  <c r="D5704" i="1"/>
  <c r="D5703" i="1"/>
  <c r="D5702" i="1"/>
  <c r="D5701" i="1"/>
  <c r="D5700" i="1"/>
  <c r="D5699" i="1"/>
  <c r="D5698" i="1"/>
  <c r="D5697" i="1"/>
  <c r="D5696" i="1"/>
  <c r="D5695" i="1"/>
  <c r="D5694" i="1"/>
  <c r="D5693" i="1"/>
  <c r="D5692" i="1"/>
  <c r="D5691" i="1"/>
  <c r="D5689" i="1"/>
  <c r="D5687" i="1"/>
  <c r="D5686" i="1"/>
  <c r="D5685" i="1"/>
  <c r="D5684" i="1"/>
  <c r="D5683" i="1"/>
  <c r="D5682" i="1"/>
  <c r="D5681" i="1"/>
  <c r="D5680" i="1"/>
  <c r="D5679" i="1"/>
  <c r="D5678" i="1"/>
  <c r="D5677" i="1"/>
  <c r="D5676" i="1"/>
  <c r="D5675" i="1"/>
  <c r="D5674" i="1"/>
  <c r="D5673" i="1"/>
  <c r="D5672" i="1"/>
  <c r="D5671" i="1"/>
  <c r="D5668" i="1"/>
  <c r="D5667" i="1"/>
  <c r="D5666" i="1"/>
  <c r="D5665" i="1"/>
  <c r="D5662" i="1"/>
  <c r="D5661" i="1"/>
  <c r="D5660" i="1"/>
  <c r="D5659" i="1"/>
  <c r="D5658" i="1"/>
  <c r="D5657" i="1"/>
  <c r="D5656" i="1"/>
  <c r="D5655" i="1"/>
  <c r="D5654" i="1"/>
  <c r="D5653" i="1"/>
  <c r="D5652" i="1"/>
  <c r="D5651" i="1"/>
  <c r="D5650" i="1"/>
  <c r="D5649" i="1"/>
  <c r="D5647" i="1"/>
  <c r="D5646" i="1"/>
  <c r="D5645" i="1"/>
  <c r="D5644" i="1"/>
  <c r="D5643" i="1"/>
  <c r="D5642" i="1"/>
  <c r="D5641" i="1"/>
  <c r="D5640" i="1"/>
  <c r="D5639" i="1"/>
  <c r="D5638" i="1"/>
  <c r="D5637" i="1"/>
  <c r="D5636" i="1"/>
  <c r="D5635" i="1"/>
  <c r="D5634" i="1"/>
  <c r="D5633" i="1"/>
  <c r="D5632" i="1"/>
  <c r="D5631" i="1"/>
  <c r="D5629" i="1"/>
  <c r="D5627" i="1"/>
  <c r="D5626" i="1"/>
  <c r="D5625" i="1"/>
  <c r="D5624" i="1"/>
  <c r="D5623" i="1"/>
  <c r="D5622" i="1"/>
  <c r="D5621" i="1"/>
  <c r="D5620" i="1"/>
  <c r="D5619" i="1"/>
  <c r="D5618" i="1"/>
  <c r="D5617" i="1"/>
  <c r="D5616" i="1"/>
  <c r="D5615" i="1"/>
  <c r="D5614" i="1"/>
  <c r="D5613" i="1"/>
  <c r="D5612" i="1"/>
  <c r="D5611" i="1"/>
  <c r="D5610" i="1"/>
  <c r="D5609" i="1"/>
  <c r="D5608" i="1"/>
  <c r="D5607" i="1"/>
  <c r="D5606" i="1"/>
  <c r="D5605" i="1"/>
  <c r="D5604" i="1"/>
  <c r="D5603" i="1"/>
  <c r="D5602" i="1"/>
  <c r="D5601" i="1"/>
  <c r="D5600" i="1"/>
  <c r="D5599" i="1"/>
  <c r="D5598" i="1"/>
  <c r="D5597" i="1"/>
  <c r="D5596" i="1"/>
  <c r="D5595" i="1"/>
  <c r="D5594" i="1"/>
  <c r="D5593" i="1"/>
  <c r="D5592" i="1"/>
  <c r="D5591" i="1"/>
  <c r="D5590" i="1"/>
  <c r="D5589" i="1"/>
  <c r="D5588" i="1"/>
  <c r="D5587" i="1"/>
  <c r="D5586" i="1"/>
  <c r="D5585" i="1"/>
  <c r="D5584" i="1"/>
  <c r="D5583" i="1"/>
  <c r="D5582" i="1"/>
  <c r="D5581" i="1"/>
  <c r="D5580" i="1"/>
  <c r="D5579" i="1"/>
  <c r="D5578" i="1"/>
  <c r="D5577" i="1"/>
  <c r="D5576" i="1"/>
  <c r="D5575" i="1"/>
  <c r="D5574" i="1"/>
  <c r="D5573" i="1"/>
  <c r="D5572" i="1"/>
  <c r="D5571" i="1"/>
  <c r="D5570" i="1"/>
  <c r="D5569" i="1"/>
  <c r="D5568" i="1"/>
  <c r="D5567" i="1"/>
  <c r="D5566" i="1"/>
  <c r="D5565" i="1"/>
  <c r="D5564" i="1"/>
  <c r="D5563" i="1"/>
  <c r="D5562" i="1"/>
  <c r="D5561" i="1"/>
  <c r="D5560" i="1"/>
  <c r="D5559" i="1"/>
  <c r="D5558" i="1"/>
  <c r="D5557" i="1"/>
  <c r="D5556" i="1"/>
  <c r="D5555" i="1"/>
  <c r="D5553" i="1"/>
  <c r="D5552" i="1"/>
  <c r="D5548" i="1"/>
  <c r="D5547" i="1"/>
  <c r="D5546" i="1"/>
  <c r="D5545" i="1"/>
  <c r="D5544" i="1"/>
  <c r="D5543" i="1"/>
  <c r="D5542" i="1"/>
  <c r="D5541" i="1"/>
  <c r="D5540" i="1"/>
  <c r="D5539" i="1"/>
  <c r="D5538" i="1"/>
  <c r="D5537" i="1"/>
  <c r="D5536" i="1"/>
  <c r="D5535" i="1"/>
  <c r="D5534" i="1"/>
  <c r="D5533" i="1"/>
  <c r="D5532" i="1"/>
  <c r="D5528" i="1"/>
  <c r="D5527" i="1"/>
  <c r="D5112" i="1" l="1"/>
  <c r="D5111" i="1"/>
  <c r="D5110" i="1"/>
  <c r="D5109" i="1"/>
  <c r="D5108" i="1"/>
  <c r="D5106" i="1"/>
  <c r="D5105" i="1"/>
  <c r="D5104" i="1"/>
  <c r="D5103" i="1"/>
  <c r="D5102" i="1"/>
  <c r="D5101" i="1"/>
  <c r="D5100" i="1"/>
  <c r="D5099" i="1"/>
  <c r="D5098" i="1"/>
  <c r="D5097" i="1"/>
  <c r="D5096" i="1"/>
  <c r="D5095" i="1"/>
  <c r="D5094" i="1"/>
  <c r="D5093" i="1"/>
  <c r="D5092" i="1"/>
  <c r="D5091" i="1"/>
  <c r="D5090" i="1"/>
  <c r="D5089" i="1"/>
  <c r="D5088" i="1"/>
  <c r="D5087" i="1"/>
  <c r="D5086" i="1"/>
  <c r="D5085" i="1"/>
  <c r="D5084" i="1"/>
  <c r="D5083" i="1"/>
  <c r="D5082" i="1"/>
  <c r="D5081" i="1"/>
  <c r="D5080" i="1"/>
  <c r="D5079" i="1"/>
  <c r="D5078" i="1"/>
  <c r="D5077" i="1"/>
  <c r="D5076" i="1"/>
  <c r="D5075" i="1"/>
  <c r="D5074" i="1"/>
  <c r="D5073" i="1"/>
  <c r="D5072" i="1"/>
  <c r="D5071" i="1"/>
  <c r="D5070" i="1"/>
  <c r="D5069" i="1"/>
  <c r="D5068" i="1"/>
  <c r="D5067" i="1"/>
  <c r="D5066" i="1"/>
  <c r="D5065" i="1"/>
  <c r="D5064" i="1"/>
  <c r="D5063" i="1"/>
  <c r="D5062" i="1"/>
  <c r="D5061" i="1"/>
  <c r="D5060" i="1"/>
  <c r="D5059" i="1"/>
  <c r="D5058" i="1"/>
  <c r="D5057" i="1"/>
  <c r="D5056" i="1"/>
  <c r="D5055" i="1"/>
  <c r="D5054" i="1"/>
  <c r="D5053" i="1"/>
  <c r="D5052" i="1"/>
  <c r="D5051" i="1"/>
  <c r="D5050" i="1"/>
  <c r="D5049" i="1"/>
  <c r="D5048" i="1"/>
  <c r="D5047" i="1"/>
  <c r="D5046" i="1"/>
  <c r="D5045" i="1"/>
  <c r="D5044" i="1"/>
  <c r="D5043" i="1"/>
  <c r="D5042" i="1"/>
  <c r="D5041" i="1"/>
  <c r="D5040" i="1"/>
  <c r="D5039" i="1"/>
  <c r="D5038" i="1"/>
  <c r="D5037" i="1"/>
  <c r="D5036" i="1"/>
  <c r="D5035" i="1"/>
  <c r="D5034" i="1"/>
  <c r="D5033" i="1"/>
  <c r="D5032" i="1"/>
  <c r="D5031" i="1"/>
  <c r="D5030" i="1"/>
  <c r="D5029" i="1"/>
  <c r="D5028" i="1"/>
  <c r="D5027" i="1"/>
  <c r="D5026" i="1"/>
  <c r="D5025" i="1"/>
  <c r="D5024" i="1"/>
  <c r="D5023" i="1"/>
  <c r="D5022" i="1"/>
  <c r="D5021" i="1"/>
  <c r="D5020" i="1"/>
  <c r="D5019" i="1"/>
  <c r="D5018" i="1"/>
  <c r="D5017" i="1"/>
  <c r="D5016" i="1"/>
  <c r="D5015" i="1"/>
  <c r="D5014" i="1"/>
  <c r="D5013" i="1"/>
  <c r="D5012" i="1"/>
  <c r="D5011" i="1"/>
  <c r="D5010" i="1"/>
  <c r="D5009" i="1"/>
  <c r="D5008" i="1"/>
  <c r="D5007" i="1"/>
  <c r="D5006" i="1"/>
  <c r="D5005" i="1"/>
  <c r="D5004" i="1"/>
  <c r="D5003" i="1"/>
  <c r="D5002" i="1"/>
  <c r="D5001" i="1"/>
  <c r="D5000" i="1"/>
  <c r="D4999" i="1"/>
  <c r="D4998" i="1"/>
  <c r="D4997" i="1"/>
  <c r="D4996" i="1"/>
  <c r="D4995" i="1"/>
  <c r="D4994" i="1"/>
  <c r="D4993" i="1"/>
  <c r="D4992" i="1"/>
  <c r="D4991" i="1"/>
  <c r="D4990" i="1"/>
  <c r="D4989" i="1"/>
  <c r="D4988" i="1"/>
  <c r="D4987" i="1"/>
  <c r="D4986" i="1"/>
  <c r="D4985" i="1"/>
  <c r="D4984" i="1"/>
  <c r="D4983" i="1"/>
  <c r="D4982" i="1"/>
  <c r="D4981" i="1"/>
  <c r="D4980" i="1"/>
  <c r="D4979" i="1"/>
  <c r="D4978" i="1"/>
  <c r="D4977" i="1"/>
  <c r="D4976" i="1"/>
  <c r="D4975" i="1"/>
  <c r="D4974" i="1"/>
  <c r="D4973" i="1"/>
  <c r="D4972" i="1"/>
  <c r="D4971" i="1"/>
  <c r="D4970" i="1"/>
  <c r="D4969" i="1"/>
  <c r="D4968" i="1"/>
  <c r="D4967" i="1"/>
  <c r="D4966" i="1"/>
  <c r="D4965" i="1"/>
  <c r="D4964" i="1"/>
  <c r="D4963" i="1"/>
  <c r="D4962" i="1"/>
  <c r="D4961" i="1"/>
  <c r="D4960" i="1"/>
  <c r="D4958" i="1"/>
  <c r="D4956" i="1"/>
  <c r="D4954" i="1"/>
  <c r="D4953" i="1"/>
  <c r="D4952" i="1"/>
  <c r="D4951" i="1"/>
  <c r="D4950" i="1"/>
  <c r="D4949" i="1"/>
  <c r="D4948" i="1"/>
  <c r="D4947" i="1"/>
  <c r="D4946" i="1"/>
  <c r="D4945" i="1"/>
  <c r="D4944" i="1"/>
  <c r="D4943" i="1"/>
  <c r="D4942" i="1"/>
  <c r="D4941" i="1"/>
  <c r="D4940" i="1"/>
  <c r="D4939" i="1"/>
  <c r="D4938" i="1"/>
  <c r="D4937" i="1"/>
  <c r="D4936" i="1"/>
  <c r="D4935" i="1"/>
  <c r="D4934" i="1"/>
  <c r="D4933" i="1"/>
  <c r="D4932" i="1"/>
  <c r="D4931" i="1"/>
  <c r="D4930" i="1"/>
  <c r="D4929" i="1"/>
  <c r="D4928" i="1"/>
  <c r="D4927" i="1"/>
  <c r="D4926" i="1"/>
  <c r="D4925" i="1"/>
  <c r="D4924" i="1"/>
  <c r="D4923" i="1"/>
  <c r="D4922" i="1"/>
  <c r="D4921" i="1"/>
  <c r="D4920" i="1"/>
  <c r="D4919" i="1"/>
  <c r="D4918" i="1"/>
  <c r="D4917" i="1"/>
  <c r="D4916" i="1"/>
  <c r="D4915" i="1"/>
  <c r="D4914" i="1"/>
  <c r="D4913" i="1"/>
  <c r="D4912" i="1"/>
  <c r="D4911" i="1"/>
  <c r="D4910" i="1"/>
  <c r="D4909" i="1"/>
  <c r="D4908" i="1"/>
  <c r="D4907" i="1"/>
  <c r="D4906" i="1"/>
  <c r="D4905" i="1"/>
  <c r="D4904" i="1"/>
  <c r="D4903" i="1"/>
  <c r="D4902" i="1"/>
  <c r="D4901" i="1"/>
  <c r="D4900" i="1"/>
  <c r="D4899" i="1"/>
  <c r="D4897" i="1"/>
  <c r="D4896" i="1"/>
  <c r="D4895" i="1"/>
  <c r="D4894" i="1"/>
  <c r="D4893" i="1"/>
  <c r="D4892" i="1"/>
  <c r="D4891" i="1"/>
  <c r="D4890" i="1"/>
  <c r="D4888" i="1"/>
  <c r="D4887" i="1"/>
  <c r="D4886" i="1"/>
  <c r="D4885" i="1"/>
  <c r="D4884" i="1"/>
  <c r="D4883" i="1"/>
  <c r="D4882" i="1"/>
  <c r="D4881" i="1"/>
  <c r="D4880" i="1"/>
  <c r="D4879" i="1"/>
  <c r="D4878" i="1"/>
  <c r="D4877" i="1"/>
  <c r="D4876" i="1"/>
  <c r="D4875" i="1"/>
  <c r="D4874" i="1"/>
  <c r="D4873" i="1"/>
  <c r="D4872" i="1"/>
  <c r="D4871" i="1"/>
  <c r="D4870" i="1"/>
  <c r="D4869" i="1"/>
  <c r="D4868" i="1"/>
  <c r="D4867" i="1"/>
  <c r="D4866" i="1"/>
  <c r="D4865" i="1"/>
  <c r="D4864" i="1"/>
  <c r="D4863" i="1"/>
  <c r="D4862" i="1"/>
  <c r="D4861" i="1"/>
  <c r="D4860" i="1"/>
  <c r="D4859" i="1"/>
  <c r="D4858" i="1"/>
  <c r="D4857" i="1"/>
  <c r="D4856" i="1"/>
  <c r="D4855" i="1"/>
  <c r="D4854" i="1"/>
  <c r="D4853" i="1"/>
  <c r="D4852" i="1"/>
  <c r="D4851" i="1"/>
  <c r="D4850" i="1"/>
  <c r="D4849" i="1"/>
  <c r="D4848" i="1"/>
  <c r="D4847" i="1"/>
  <c r="D4846" i="1"/>
  <c r="D4845" i="1"/>
  <c r="D4844" i="1"/>
  <c r="D4843" i="1"/>
  <c r="D4842" i="1"/>
  <c r="D4841" i="1"/>
  <c r="D4840" i="1"/>
  <c r="D4839" i="1"/>
  <c r="D4838" i="1"/>
  <c r="D4837" i="1"/>
  <c r="D4836" i="1"/>
  <c r="D4835" i="1"/>
  <c r="D4834" i="1"/>
  <c r="D4833" i="1"/>
  <c r="D4832" i="1"/>
  <c r="D4831" i="1"/>
  <c r="D4830" i="1"/>
  <c r="D4829" i="1"/>
  <c r="D4828" i="1"/>
  <c r="D4827" i="1"/>
  <c r="D4826" i="1"/>
  <c r="D4825" i="1"/>
  <c r="D4824" i="1"/>
  <c r="D4823" i="1"/>
  <c r="D4822" i="1"/>
  <c r="D4821" i="1"/>
  <c r="D4820" i="1"/>
  <c r="D4818" i="1"/>
  <c r="D4817" i="1"/>
  <c r="D4816" i="1"/>
  <c r="D4814" i="1"/>
  <c r="D4811" i="1"/>
  <c r="D4810" i="1"/>
  <c r="D4809" i="1"/>
  <c r="D4808" i="1"/>
  <c r="D4806" i="1"/>
  <c r="D4805" i="1"/>
  <c r="D4804" i="1"/>
  <c r="D4803" i="1"/>
  <c r="D4802" i="1"/>
  <c r="D4801" i="1"/>
  <c r="D4800" i="1"/>
  <c r="D4799" i="1"/>
  <c r="D4798" i="1"/>
  <c r="D4797" i="1"/>
  <c r="D4796" i="1"/>
  <c r="D4795" i="1"/>
  <c r="D4794" i="1"/>
  <c r="D4793" i="1"/>
  <c r="D4792" i="1"/>
  <c r="D4791" i="1"/>
  <c r="D4790" i="1"/>
  <c r="D4789" i="1"/>
  <c r="D4788" i="1"/>
  <c r="D4787" i="1"/>
  <c r="D4786" i="1"/>
  <c r="D4785" i="1"/>
  <c r="D4784" i="1"/>
  <c r="D4783" i="1"/>
  <c r="D4782" i="1"/>
  <c r="D4781" i="1"/>
  <c r="D4780" i="1"/>
  <c r="D4779" i="1"/>
  <c r="D4778" i="1"/>
  <c r="D4777" i="1"/>
  <c r="D4776" i="1"/>
  <c r="D4775" i="1"/>
  <c r="D4774" i="1"/>
  <c r="D4773" i="1"/>
  <c r="D4772" i="1"/>
  <c r="D4771" i="1"/>
  <c r="D4770" i="1"/>
  <c r="D4769" i="1"/>
  <c r="D4766" i="1"/>
  <c r="D4765" i="1"/>
  <c r="D4763" i="1" l="1"/>
  <c r="D4762" i="1"/>
  <c r="D4761" i="1"/>
  <c r="D4758" i="1"/>
  <c r="D4757" i="1"/>
  <c r="D4756" i="1"/>
  <c r="D4755" i="1"/>
  <c r="D4754" i="1"/>
  <c r="D4753" i="1"/>
  <c r="D4752" i="1"/>
  <c r="D4751" i="1"/>
  <c r="D4750" i="1"/>
  <c r="D4749" i="1"/>
  <c r="D4748" i="1"/>
  <c r="D4747" i="1"/>
  <c r="D4746" i="1"/>
  <c r="D4745" i="1"/>
  <c r="D4744" i="1"/>
  <c r="D4743" i="1"/>
  <c r="D4742" i="1"/>
  <c r="D4741" i="1"/>
  <c r="D4740" i="1"/>
  <c r="D4738" i="1"/>
  <c r="D4737" i="1"/>
  <c r="D4736" i="1"/>
  <c r="D4735" i="1"/>
  <c r="D4734" i="1"/>
  <c r="D4733" i="1"/>
  <c r="D4732" i="1"/>
  <c r="D4731" i="1"/>
  <c r="D4730" i="1"/>
  <c r="D4729" i="1"/>
  <c r="D4728" i="1"/>
  <c r="D4727" i="1"/>
  <c r="D4726" i="1"/>
  <c r="D4725" i="1"/>
  <c r="D4724" i="1"/>
  <c r="D4723" i="1"/>
  <c r="D4722" i="1"/>
  <c r="D4721" i="1"/>
  <c r="D4720" i="1"/>
  <c r="D4719" i="1"/>
  <c r="D4718" i="1"/>
  <c r="D4717" i="1"/>
  <c r="D4716" i="1"/>
  <c r="D4715" i="1"/>
  <c r="D4714" i="1"/>
  <c r="D4713" i="1"/>
  <c r="D4712" i="1"/>
  <c r="D4711" i="1"/>
  <c r="D4710" i="1"/>
  <c r="D4709" i="1"/>
  <c r="D4708" i="1"/>
  <c r="D4707" i="1"/>
  <c r="D4706" i="1"/>
  <c r="D4705" i="1"/>
  <c r="D4704" i="1"/>
  <c r="D4703" i="1"/>
  <c r="D4702" i="1"/>
  <c r="D4701" i="1"/>
  <c r="D4700" i="1"/>
  <c r="D4699" i="1"/>
  <c r="D4698" i="1"/>
  <c r="D4697" i="1"/>
  <c r="D4696" i="1"/>
  <c r="D4695" i="1"/>
  <c r="D4694" i="1"/>
  <c r="D4693" i="1"/>
  <c r="D4692" i="1"/>
  <c r="D4691" i="1"/>
  <c r="D4690" i="1"/>
  <c r="D4689" i="1"/>
  <c r="D4688" i="1"/>
  <c r="D4687" i="1"/>
  <c r="D4686" i="1"/>
  <c r="D4685" i="1"/>
  <c r="D4684" i="1"/>
  <c r="D4683" i="1"/>
  <c r="D4682" i="1"/>
  <c r="D4681" i="1"/>
  <c r="D4680" i="1"/>
  <c r="D4679" i="1"/>
  <c r="D4678" i="1"/>
  <c r="D4677" i="1"/>
  <c r="D4676" i="1"/>
  <c r="D4675" i="1"/>
  <c r="D4674" i="1"/>
  <c r="D4673" i="1"/>
  <c r="D4672" i="1"/>
  <c r="D4671" i="1"/>
  <c r="D4670" i="1"/>
  <c r="D4669" i="1"/>
  <c r="D4668" i="1"/>
  <c r="D4667" i="1"/>
  <c r="D4666" i="1"/>
  <c r="D4665" i="1"/>
  <c r="D4664" i="1"/>
  <c r="D4663" i="1"/>
  <c r="D4662" i="1"/>
  <c r="D4661" i="1"/>
  <c r="D4660" i="1"/>
  <c r="D4659" i="1"/>
  <c r="D4658" i="1"/>
  <c r="D4657" i="1"/>
  <c r="D4656" i="1"/>
  <c r="D4655" i="1"/>
  <c r="D4654" i="1"/>
  <c r="D4653" i="1"/>
  <c r="D4652" i="1"/>
  <c r="D4651" i="1"/>
  <c r="D4650" i="1"/>
  <c r="D4649" i="1"/>
  <c r="D4648" i="1"/>
  <c r="D4647" i="1"/>
  <c r="D4646" i="1"/>
  <c r="D4645" i="1"/>
  <c r="D4644" i="1"/>
  <c r="D4643" i="1"/>
  <c r="D4642" i="1"/>
  <c r="D4641" i="1"/>
  <c r="D4640" i="1"/>
  <c r="D4639" i="1"/>
  <c r="D4638" i="1"/>
  <c r="D4637" i="1"/>
  <c r="D4636" i="1"/>
  <c r="D4635" i="1"/>
  <c r="D4634" i="1"/>
  <c r="D4633" i="1"/>
  <c r="D4632" i="1"/>
  <c r="D4631" i="1"/>
  <c r="D4630" i="1"/>
  <c r="D4629" i="1"/>
  <c r="D4628" i="1"/>
  <c r="D4627" i="1"/>
  <c r="D4626" i="1"/>
  <c r="D4625" i="1"/>
  <c r="D4624" i="1"/>
  <c r="D4623" i="1"/>
  <c r="D4622" i="1"/>
  <c r="D4621" i="1"/>
  <c r="D4620" i="1"/>
  <c r="D4619" i="1"/>
  <c r="D4618" i="1"/>
  <c r="D4617" i="1"/>
  <c r="D4616" i="1"/>
  <c r="D4615" i="1"/>
  <c r="D4614" i="1"/>
  <c r="D4613" i="1"/>
  <c r="D4612" i="1"/>
  <c r="D4611" i="1"/>
  <c r="D4610" i="1"/>
  <c r="D4609" i="1"/>
  <c r="D4608" i="1"/>
  <c r="D4607" i="1"/>
  <c r="D4606" i="1"/>
  <c r="D4605" i="1"/>
  <c r="D4604" i="1"/>
  <c r="D4603" i="1"/>
  <c r="D4602" i="1"/>
  <c r="D4601" i="1"/>
  <c r="D4600" i="1"/>
  <c r="D4599" i="1"/>
  <c r="D4598" i="1"/>
  <c r="D4597" i="1"/>
  <c r="D4596" i="1"/>
  <c r="D4595" i="1"/>
  <c r="D4593" i="1"/>
  <c r="D4592" i="1"/>
  <c r="D4591" i="1"/>
  <c r="D4590" i="1"/>
  <c r="D4589" i="1"/>
  <c r="D4588" i="1"/>
  <c r="D4586" i="1"/>
  <c r="D4585" i="1"/>
  <c r="D4584" i="1"/>
  <c r="D4583" i="1"/>
  <c r="D4582" i="1"/>
  <c r="D4581" i="1"/>
  <c r="D4580" i="1"/>
  <c r="D4579" i="1"/>
  <c r="D4578" i="1"/>
  <c r="D4577" i="1"/>
  <c r="D4576" i="1"/>
  <c r="D4575" i="1"/>
  <c r="D4574" i="1"/>
  <c r="D4573" i="1"/>
  <c r="D4572" i="1"/>
  <c r="D4571" i="1"/>
  <c r="D4570" i="1"/>
  <c r="D4569" i="1"/>
  <c r="D4568" i="1"/>
  <c r="D4567" i="1"/>
  <c r="D4566" i="1"/>
  <c r="D4565" i="1"/>
  <c r="D4564" i="1"/>
  <c r="D4563" i="1"/>
  <c r="D4562" i="1"/>
  <c r="D4561" i="1"/>
  <c r="D4560" i="1"/>
  <c r="D4559" i="1"/>
  <c r="D4558" i="1"/>
  <c r="D4557" i="1"/>
  <c r="D4556" i="1"/>
  <c r="D4555" i="1"/>
  <c r="D4554" i="1"/>
  <c r="D4553" i="1"/>
  <c r="D4552" i="1"/>
  <c r="D4551" i="1"/>
  <c r="D4550" i="1"/>
  <c r="D4549" i="1"/>
  <c r="D4548" i="1"/>
  <c r="D4547" i="1"/>
  <c r="D4546" i="1"/>
  <c r="D4545" i="1"/>
  <c r="D4544" i="1"/>
  <c r="D4543" i="1"/>
  <c r="D4542" i="1"/>
  <c r="D4541" i="1"/>
  <c r="D4540" i="1"/>
  <c r="D4539" i="1"/>
  <c r="D4538" i="1"/>
  <c r="D4537" i="1"/>
  <c r="D4536" i="1"/>
  <c r="D4535" i="1"/>
  <c r="D4534" i="1"/>
  <c r="D4533" i="1"/>
  <c r="D4532" i="1"/>
  <c r="D4531" i="1"/>
  <c r="D4530" i="1"/>
  <c r="D4529" i="1"/>
  <c r="D4528" i="1"/>
  <c r="D4527" i="1"/>
  <c r="D4526" i="1"/>
  <c r="D4525" i="1"/>
  <c r="D4524" i="1"/>
  <c r="D4523" i="1"/>
  <c r="D4522" i="1"/>
  <c r="D4521" i="1"/>
  <c r="D4519" i="1"/>
  <c r="D4518" i="1"/>
  <c r="D4517" i="1"/>
  <c r="D4516" i="1"/>
  <c r="D4515" i="1"/>
  <c r="D4514" i="1"/>
  <c r="D4513" i="1"/>
  <c r="D4512" i="1"/>
  <c r="D4511" i="1"/>
  <c r="D4510" i="1"/>
  <c r="D4509" i="1"/>
  <c r="D4508" i="1"/>
  <c r="D4507" i="1"/>
  <c r="D4506" i="1"/>
  <c r="D4505" i="1"/>
  <c r="D4504" i="1"/>
  <c r="D4503" i="1"/>
  <c r="D4502" i="1"/>
  <c r="D4501" i="1"/>
  <c r="D4500" i="1"/>
  <c r="D4499" i="1"/>
  <c r="D4498" i="1"/>
  <c r="D4497" i="1"/>
  <c r="D4496" i="1"/>
  <c r="D4495" i="1"/>
  <c r="D4494" i="1"/>
  <c r="D4493" i="1"/>
  <c r="D4492" i="1"/>
  <c r="D4491" i="1"/>
  <c r="D4490" i="1"/>
  <c r="D4489" i="1"/>
  <c r="D4488" i="1"/>
  <c r="D4487" i="1"/>
  <c r="D4486" i="1"/>
  <c r="D4485" i="1"/>
  <c r="D4484" i="1"/>
  <c r="D4483" i="1"/>
  <c r="D4482" i="1"/>
  <c r="D4481" i="1"/>
  <c r="D4480" i="1"/>
  <c r="D4479" i="1"/>
  <c r="D4478" i="1"/>
  <c r="D4477" i="1"/>
  <c r="D4476" i="1"/>
  <c r="D4475" i="1"/>
  <c r="D4474" i="1"/>
  <c r="D4473" i="1"/>
  <c r="D4472" i="1"/>
  <c r="D4471" i="1"/>
  <c r="D4470" i="1"/>
  <c r="D4468" i="1"/>
  <c r="D4467" i="1"/>
  <c r="D4466" i="1"/>
  <c r="D4465" i="1"/>
  <c r="D4464" i="1"/>
  <c r="D4463" i="1"/>
  <c r="D4462" i="1"/>
  <c r="D4460" i="1"/>
  <c r="D4459" i="1"/>
  <c r="D4458" i="1"/>
  <c r="D4457" i="1"/>
  <c r="D4456" i="1"/>
  <c r="D4455" i="1"/>
  <c r="D4454" i="1"/>
  <c r="D4453" i="1"/>
  <c r="D4452" i="1"/>
  <c r="D4451" i="1"/>
  <c r="D4450" i="1"/>
  <c r="D4449" i="1"/>
  <c r="D4448" i="1"/>
  <c r="D4447" i="1"/>
  <c r="D4446" i="1"/>
  <c r="D4445" i="1"/>
  <c r="D4444" i="1"/>
  <c r="D4443" i="1"/>
  <c r="D4442" i="1"/>
  <c r="D4441" i="1"/>
  <c r="D4440" i="1"/>
  <c r="D4439" i="1"/>
  <c r="D4438" i="1"/>
  <c r="D4437" i="1"/>
  <c r="D4436" i="1"/>
  <c r="D4435" i="1"/>
  <c r="D4434" i="1"/>
  <c r="D4433" i="1"/>
  <c r="D4432" i="1"/>
  <c r="D4431" i="1"/>
  <c r="D4430" i="1"/>
  <c r="D4429" i="1"/>
  <c r="D4428" i="1"/>
  <c r="D4427" i="1"/>
  <c r="D4426" i="1"/>
  <c r="D4425" i="1"/>
  <c r="D4424" i="1"/>
  <c r="D4423" i="1"/>
  <c r="D4422" i="1"/>
  <c r="D4421" i="1"/>
  <c r="D4420" i="1"/>
  <c r="D4419" i="1"/>
  <c r="D4418" i="1"/>
  <c r="D4417" i="1"/>
  <c r="D4416" i="1"/>
  <c r="D4415" i="1"/>
  <c r="D4414" i="1"/>
  <c r="D4413" i="1"/>
  <c r="D4412" i="1"/>
  <c r="D4411" i="1"/>
  <c r="D4410" i="1"/>
  <c r="D4409" i="1"/>
  <c r="D4408" i="1"/>
  <c r="D4407" i="1"/>
  <c r="D4406" i="1"/>
  <c r="D4405" i="1"/>
  <c r="D4404" i="1"/>
  <c r="D4403" i="1"/>
  <c r="D4402" i="1"/>
  <c r="D4401" i="1"/>
  <c r="D4400" i="1"/>
  <c r="D4399" i="1"/>
  <c r="D4398" i="1"/>
  <c r="D4397" i="1"/>
  <c r="D4396" i="1"/>
  <c r="D4395" i="1"/>
  <c r="D4394" i="1"/>
  <c r="D4393" i="1"/>
  <c r="D4392" i="1"/>
  <c r="D4391" i="1"/>
  <c r="D4390" i="1"/>
  <c r="D4389" i="1"/>
  <c r="D4388" i="1"/>
  <c r="D4387" i="1"/>
  <c r="D4386" i="1"/>
  <c r="D4385" i="1"/>
  <c r="D4384" i="1"/>
  <c r="D4383" i="1"/>
  <c r="D4382" i="1"/>
  <c r="D4381" i="1"/>
  <c r="D4380" i="1"/>
  <c r="D4379" i="1"/>
  <c r="D4378" i="1"/>
  <c r="D4377" i="1"/>
  <c r="D4376" i="1"/>
  <c r="D4375" i="1"/>
  <c r="D4374" i="1"/>
  <c r="D4373" i="1"/>
  <c r="D4372" i="1"/>
  <c r="D4371" i="1"/>
  <c r="D4370" i="1"/>
  <c r="D4369" i="1"/>
  <c r="D4368" i="1"/>
  <c r="D4367" i="1"/>
  <c r="D4366" i="1"/>
  <c r="D4365" i="1"/>
  <c r="D4364" i="1"/>
  <c r="D4362" i="1"/>
  <c r="D4361" i="1"/>
  <c r="D4360" i="1"/>
  <c r="D4359" i="1"/>
  <c r="D4357" i="1"/>
  <c r="D4356" i="1"/>
  <c r="D4354" i="1"/>
  <c r="D4353" i="1"/>
  <c r="D4352" i="1"/>
  <c r="D4351" i="1"/>
  <c r="D4350" i="1"/>
  <c r="D4349" i="1"/>
  <c r="D4348" i="1"/>
  <c r="D4347" i="1"/>
  <c r="D4346" i="1"/>
  <c r="D4345" i="1"/>
  <c r="D4344" i="1"/>
  <c r="D4343" i="1"/>
  <c r="D4342" i="1"/>
  <c r="D4341" i="1"/>
  <c r="D4340" i="1"/>
  <c r="D4339" i="1"/>
  <c r="D4338" i="1"/>
  <c r="D4337" i="1"/>
  <c r="D4336" i="1"/>
  <c r="D4335" i="1"/>
  <c r="D4334" i="1"/>
  <c r="D4333" i="1"/>
  <c r="D4332" i="1"/>
  <c r="D4331" i="1"/>
  <c r="D4330" i="1"/>
  <c r="D4329" i="1"/>
  <c r="D4328" i="1"/>
  <c r="D4327" i="1"/>
  <c r="D4326" i="1"/>
  <c r="D4325" i="1"/>
  <c r="D4324" i="1"/>
  <c r="D4323" i="1"/>
  <c r="D4322" i="1"/>
  <c r="D4319" i="1"/>
  <c r="D4317" i="1"/>
  <c r="D4313" i="1"/>
  <c r="D4310" i="1" l="1"/>
  <c r="D4309" i="1"/>
  <c r="D4308" i="1"/>
  <c r="D4306" i="1"/>
  <c r="D4303" i="1"/>
  <c r="D4302" i="1"/>
  <c r="D4301" i="1"/>
  <c r="D4300" i="1"/>
  <c r="D4299" i="1"/>
  <c r="D4298" i="1"/>
  <c r="D4297" i="1"/>
  <c r="D4296" i="1"/>
  <c r="D4295" i="1"/>
  <c r="D4294" i="1"/>
  <c r="D4292" i="1"/>
  <c r="D4291" i="1"/>
  <c r="D4290" i="1"/>
  <c r="D4289" i="1"/>
  <c r="D4288" i="1"/>
  <c r="D4287" i="1"/>
  <c r="D4286" i="1"/>
  <c r="D4285" i="1"/>
  <c r="D4284" i="1"/>
  <c r="D4283" i="1"/>
  <c r="D4282" i="1"/>
  <c r="D4281" i="1"/>
  <c r="D4280" i="1"/>
  <c r="D4279" i="1"/>
  <c r="D4278" i="1"/>
  <c r="D4277" i="1"/>
  <c r="D4276" i="1"/>
  <c r="D4275" i="1"/>
  <c r="D4274" i="1"/>
  <c r="D4273" i="1"/>
  <c r="D4272" i="1"/>
  <c r="D4271" i="1"/>
  <c r="D4270" i="1"/>
  <c r="D4269" i="1"/>
  <c r="D4268" i="1"/>
  <c r="D4267" i="1"/>
  <c r="D4266" i="1"/>
  <c r="D4265" i="1"/>
  <c r="D4264" i="1"/>
  <c r="D4263" i="1"/>
  <c r="D4262" i="1"/>
  <c r="D4261" i="1"/>
  <c r="D4260" i="1"/>
  <c r="D4259" i="1"/>
  <c r="D4258" i="1"/>
  <c r="D4257" i="1"/>
  <c r="D4256" i="1"/>
  <c r="D4255" i="1"/>
  <c r="D4254" i="1"/>
  <c r="D4253" i="1"/>
  <c r="D4252" i="1"/>
  <c r="D4251" i="1"/>
  <c r="D4250" i="1"/>
  <c r="D4249" i="1"/>
  <c r="D4248" i="1"/>
  <c r="D4247" i="1"/>
  <c r="D4246" i="1"/>
  <c r="D4245" i="1"/>
  <c r="D4244" i="1"/>
  <c r="D4243" i="1"/>
  <c r="D4242" i="1"/>
  <c r="D4241" i="1"/>
  <c r="D4240" i="1"/>
  <c r="D4239" i="1"/>
  <c r="D4238" i="1"/>
  <c r="D4237" i="1"/>
  <c r="D4236" i="1"/>
  <c r="D4235" i="1"/>
  <c r="D4234" i="1"/>
  <c r="D4233" i="1"/>
  <c r="D4232" i="1"/>
  <c r="D4231" i="1"/>
  <c r="D4230" i="1"/>
  <c r="D4229" i="1"/>
  <c r="D4228" i="1"/>
  <c r="D4227" i="1"/>
  <c r="D4226" i="1"/>
  <c r="D4225" i="1"/>
  <c r="D4224" i="1"/>
  <c r="D4223" i="1"/>
  <c r="D4222" i="1"/>
  <c r="D4221" i="1"/>
  <c r="D4220" i="1"/>
  <c r="D4219" i="1"/>
  <c r="D4218" i="1"/>
  <c r="D4217" i="1"/>
  <c r="D4216" i="1"/>
  <c r="D4215" i="1"/>
  <c r="D4214" i="1"/>
  <c r="D4213" i="1"/>
  <c r="D4212" i="1"/>
  <c r="D4211" i="1"/>
  <c r="D4209" i="1"/>
  <c r="D4208" i="1"/>
  <c r="D4207" i="1"/>
  <c r="D4206" i="1"/>
  <c r="D4205" i="1"/>
  <c r="D4204" i="1"/>
  <c r="D4203" i="1"/>
  <c r="D4202" i="1"/>
  <c r="D4201" i="1"/>
  <c r="D4200" i="1"/>
  <c r="D4199" i="1"/>
  <c r="D4198" i="1"/>
  <c r="D4197" i="1"/>
  <c r="D4196" i="1"/>
  <c r="D4195" i="1"/>
  <c r="D4194" i="1"/>
  <c r="D4193" i="1"/>
  <c r="D4192" i="1"/>
  <c r="D4191" i="1"/>
  <c r="D4190" i="1"/>
  <c r="D4189" i="1"/>
  <c r="D4188" i="1"/>
  <c r="D4187" i="1"/>
  <c r="D4186" i="1"/>
  <c r="D4185" i="1"/>
  <c r="D4184" i="1"/>
  <c r="D4183" i="1"/>
  <c r="D4182" i="1"/>
  <c r="D4181" i="1"/>
  <c r="D4180" i="1"/>
  <c r="D4179" i="1"/>
  <c r="D4178" i="1"/>
  <c r="D4177" i="1"/>
  <c r="D4176" i="1"/>
  <c r="D4174" i="1"/>
  <c r="D4173" i="1"/>
  <c r="D4172" i="1"/>
  <c r="D4171" i="1"/>
  <c r="D4170" i="1"/>
  <c r="D4169" i="1"/>
  <c r="D4168" i="1"/>
  <c r="D4167" i="1"/>
  <c r="D4165" i="1"/>
  <c r="D4164" i="1"/>
  <c r="D4163" i="1"/>
  <c r="D4162" i="1"/>
  <c r="D4161" i="1"/>
  <c r="D4160" i="1"/>
  <c r="D4159" i="1"/>
  <c r="D4158" i="1"/>
  <c r="D4157" i="1"/>
  <c r="D4156" i="1"/>
  <c r="D4155" i="1"/>
  <c r="D4154" i="1"/>
  <c r="D4153" i="1"/>
  <c r="D4152" i="1"/>
  <c r="D4151" i="1"/>
  <c r="D4150" i="1"/>
  <c r="D4149" i="1"/>
  <c r="D4148" i="1"/>
  <c r="D4147" i="1"/>
  <c r="D4146" i="1"/>
  <c r="D4145" i="1"/>
  <c r="D4144" i="1"/>
  <c r="D4143" i="1"/>
  <c r="D4142" i="1"/>
  <c r="D4141" i="1"/>
  <c r="D4140" i="1"/>
  <c r="D4139" i="1"/>
  <c r="D4138" i="1"/>
  <c r="D4137" i="1"/>
  <c r="D4136" i="1"/>
  <c r="D4135" i="1"/>
  <c r="D4134" i="1"/>
  <c r="D4133" i="1"/>
  <c r="D4131" i="1"/>
  <c r="D4130" i="1"/>
  <c r="D4129" i="1"/>
  <c r="D4128" i="1"/>
  <c r="D4127" i="1"/>
  <c r="D4126" i="1"/>
  <c r="D4125" i="1"/>
  <c r="D4124" i="1"/>
  <c r="D4123" i="1"/>
  <c r="D4122" i="1"/>
  <c r="D4121" i="1"/>
  <c r="D4120" i="1"/>
  <c r="D4119" i="1"/>
  <c r="D4118" i="1"/>
  <c r="D4117" i="1"/>
  <c r="D4116" i="1"/>
  <c r="D4115" i="1"/>
  <c r="D4114" i="1"/>
  <c r="D4113" i="1"/>
  <c r="D4112" i="1"/>
  <c r="D4111" i="1"/>
  <c r="D4110" i="1"/>
  <c r="D4109" i="1"/>
  <c r="D4108" i="1"/>
  <c r="D4107" i="1"/>
  <c r="D4105" i="1"/>
  <c r="D4104" i="1"/>
  <c r="D4103" i="1"/>
  <c r="D4102" i="1"/>
  <c r="D4101" i="1"/>
  <c r="D4100" i="1"/>
  <c r="D4099" i="1"/>
  <c r="D4098" i="1"/>
  <c r="D4097" i="1"/>
  <c r="D4096" i="1"/>
  <c r="D4094" i="1"/>
  <c r="D4093" i="1"/>
  <c r="D4092" i="1"/>
  <c r="D4091" i="1"/>
  <c r="D4090" i="1"/>
  <c r="D4089" i="1"/>
  <c r="D4088" i="1"/>
  <c r="D4087" i="1"/>
  <c r="D4086" i="1"/>
  <c r="D4085" i="1"/>
  <c r="D4084" i="1"/>
  <c r="D4083" i="1"/>
  <c r="D4082" i="1"/>
  <c r="D4081" i="1"/>
  <c r="D4080" i="1"/>
  <c r="D4079" i="1"/>
  <c r="D4078" i="1"/>
  <c r="D4077" i="1"/>
  <c r="D4076" i="1"/>
  <c r="D4075" i="1"/>
  <c r="D4074" i="1"/>
  <c r="D4073" i="1"/>
  <c r="D4072" i="1"/>
  <c r="D4071" i="1"/>
  <c r="D4070" i="1"/>
  <c r="D4069" i="1"/>
  <c r="D4068" i="1"/>
  <c r="D4067" i="1"/>
  <c r="D4066" i="1"/>
  <c r="D4065" i="1"/>
  <c r="D4064" i="1"/>
  <c r="D4063" i="1"/>
  <c r="D4062" i="1"/>
  <c r="D4061" i="1"/>
  <c r="D4060" i="1"/>
  <c r="D4059" i="1"/>
  <c r="D4058" i="1"/>
  <c r="D4057" i="1"/>
  <c r="D4056" i="1"/>
  <c r="D4055" i="1"/>
  <c r="D4054" i="1"/>
  <c r="D4053" i="1"/>
  <c r="D4052" i="1"/>
  <c r="D4051" i="1"/>
  <c r="D4050" i="1"/>
  <c r="D4049" i="1"/>
  <c r="D4048" i="1"/>
  <c r="D4047" i="1"/>
  <c r="D4046" i="1"/>
  <c r="D4045" i="1"/>
  <c r="D4044" i="1"/>
  <c r="D4043" i="1"/>
  <c r="D4042" i="1"/>
  <c r="D4041" i="1"/>
  <c r="D4040" i="1"/>
  <c r="D4039" i="1"/>
  <c r="D4038" i="1"/>
  <c r="D4037" i="1"/>
  <c r="D4036" i="1"/>
  <c r="D4035" i="1"/>
  <c r="D4034" i="1"/>
  <c r="D4033" i="1"/>
  <c r="D4032" i="1"/>
  <c r="D4031" i="1"/>
  <c r="D4030" i="1"/>
  <c r="D4029" i="1"/>
  <c r="D4028" i="1"/>
  <c r="D4027" i="1"/>
  <c r="D4026" i="1"/>
  <c r="D4025" i="1"/>
  <c r="D4024" i="1"/>
  <c r="D4023" i="1"/>
  <c r="D4022" i="1"/>
  <c r="D4021" i="1"/>
  <c r="D4020" i="1"/>
  <c r="D4019" i="1"/>
  <c r="D4018" i="1"/>
  <c r="D4017" i="1"/>
  <c r="D4016" i="1"/>
  <c r="D4015" i="1"/>
  <c r="D4014" i="1"/>
  <c r="D4013" i="1"/>
  <c r="D4012" i="1"/>
  <c r="D4011" i="1"/>
  <c r="D4010" i="1"/>
  <c r="D4009" i="1"/>
  <c r="D4008" i="1"/>
  <c r="D4007" i="1"/>
  <c r="D4006" i="1"/>
  <c r="D4005" i="1"/>
  <c r="D4004" i="1"/>
  <c r="D4002" i="1"/>
  <c r="D4001" i="1"/>
  <c r="D4000" i="1"/>
  <c r="D3999" i="1"/>
  <c r="D3997" i="1"/>
  <c r="D3996" i="1"/>
  <c r="D3995" i="1"/>
  <c r="D3994" i="1"/>
  <c r="D3993" i="1"/>
  <c r="D3992" i="1"/>
  <c r="D3990" i="1"/>
  <c r="D3989" i="1"/>
  <c r="D3988" i="1"/>
  <c r="D3987" i="1"/>
  <c r="D3986" i="1"/>
  <c r="D3985" i="1"/>
  <c r="D3984" i="1"/>
  <c r="D3983" i="1"/>
  <c r="D3982" i="1"/>
  <c r="D3981" i="1"/>
  <c r="D3980" i="1"/>
  <c r="D3979" i="1"/>
  <c r="D3978" i="1"/>
  <c r="D3977" i="1"/>
  <c r="D3976" i="1"/>
  <c r="D3975" i="1"/>
  <c r="D3974" i="1"/>
  <c r="D3973" i="1"/>
  <c r="D3972" i="1"/>
  <c r="D3971" i="1"/>
  <c r="D3970" i="1"/>
  <c r="D3969" i="1"/>
  <c r="D3968" i="1"/>
  <c r="D3967" i="1"/>
  <c r="D3966" i="1"/>
  <c r="D3965" i="1"/>
  <c r="D3963" i="1"/>
  <c r="D3962" i="1"/>
  <c r="D3961" i="1"/>
  <c r="D3960" i="1"/>
  <c r="D3959" i="1"/>
  <c r="D3958" i="1"/>
  <c r="D3957" i="1"/>
  <c r="D3956" i="1"/>
  <c r="D3955" i="1"/>
  <c r="D3954" i="1"/>
  <c r="D3953" i="1"/>
  <c r="D3950" i="1"/>
  <c r="D3946" i="1"/>
  <c r="D1117" i="1" l="1"/>
  <c r="D1113" i="1"/>
  <c r="D1112" i="1"/>
  <c r="D1111" i="1"/>
  <c r="D1110" i="1"/>
  <c r="D1109" i="1"/>
  <c r="D1108" i="1"/>
  <c r="D1107" i="1"/>
  <c r="D1106" i="1"/>
  <c r="D1105" i="1"/>
  <c r="D1104" i="1"/>
  <c r="D1103" i="1"/>
  <c r="D1102" i="1"/>
  <c r="D1101" i="1"/>
  <c r="D1100" i="1"/>
  <c r="D1099" i="1"/>
  <c r="D1098" i="1"/>
  <c r="D1097" i="1"/>
  <c r="D1096" i="1"/>
  <c r="D1095" i="1"/>
  <c r="D1094" i="1"/>
  <c r="D1093" i="1"/>
  <c r="D1092" i="1"/>
  <c r="D1091" i="1"/>
  <c r="D1090" i="1"/>
  <c r="D1089" i="1"/>
  <c r="D1088" i="1"/>
  <c r="D1087" i="1"/>
  <c r="D1086" i="1"/>
  <c r="D1085" i="1"/>
  <c r="D1084" i="1"/>
  <c r="D1083" i="1"/>
  <c r="D1082" i="1"/>
  <c r="D1081" i="1"/>
  <c r="D1080" i="1"/>
  <c r="D1079" i="1"/>
  <c r="D1078" i="1"/>
  <c r="D1077" i="1"/>
  <c r="D1076" i="1"/>
  <c r="D1075" i="1"/>
  <c r="D1074" i="1"/>
  <c r="D1073" i="1"/>
  <c r="D1072" i="1"/>
  <c r="D1071" i="1"/>
  <c r="D1070" i="1"/>
  <c r="D1069" i="1"/>
  <c r="D1068" i="1"/>
  <c r="D1067" i="1"/>
  <c r="D1066" i="1"/>
  <c r="D1065" i="1"/>
  <c r="D1064" i="1"/>
  <c r="D1063" i="1"/>
  <c r="D1062" i="1"/>
  <c r="D1061" i="1"/>
  <c r="D1060" i="1"/>
  <c r="D1059" i="1"/>
  <c r="D1058" i="1"/>
  <c r="D1057" i="1"/>
  <c r="D1056" i="1"/>
  <c r="D1055" i="1"/>
  <c r="D1054" i="1"/>
  <c r="D1053" i="1"/>
  <c r="D1052" i="1"/>
  <c r="D1051" i="1"/>
  <c r="D1050" i="1"/>
  <c r="D1049" i="1"/>
  <c r="D1048" i="1"/>
  <c r="D1047" i="1"/>
  <c r="D1046" i="1"/>
  <c r="D1045" i="1"/>
  <c r="D1044" i="1"/>
  <c r="D1043" i="1"/>
  <c r="D1042" i="1"/>
  <c r="D1041" i="1"/>
  <c r="D1040" i="1"/>
  <c r="D1039" i="1"/>
  <c r="D1038" i="1"/>
  <c r="D1037" i="1"/>
  <c r="D1036" i="1"/>
  <c r="D1035" i="1"/>
  <c r="D1034" i="1"/>
  <c r="D1033" i="1"/>
  <c r="D1032" i="1"/>
  <c r="D1031" i="1"/>
  <c r="D1030" i="1"/>
  <c r="D1029" i="1"/>
  <c r="D1028" i="1"/>
  <c r="D1027" i="1"/>
  <c r="D1026" i="1"/>
  <c r="D1025" i="1"/>
  <c r="D1024" i="1"/>
  <c r="D1023" i="1"/>
  <c r="D1022" i="1"/>
  <c r="D1021" i="1"/>
  <c r="D1020" i="1"/>
  <c r="D1019" i="1"/>
  <c r="D1018" i="1"/>
  <c r="D1017" i="1"/>
  <c r="D1016" i="1"/>
  <c r="D1015" i="1"/>
  <c r="D1014" i="1"/>
  <c r="D1013" i="1"/>
  <c r="D1012" i="1"/>
  <c r="D1011" i="1"/>
  <c r="D1010" i="1"/>
  <c r="D1009" i="1"/>
  <c r="D1008" i="1"/>
  <c r="D1007" i="1"/>
  <c r="D1006" i="1"/>
  <c r="D1005" i="1"/>
  <c r="D1004" i="1"/>
  <c r="D1003" i="1"/>
  <c r="D1002" i="1"/>
  <c r="D1001" i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6" i="1"/>
  <c r="D985" i="1"/>
  <c r="D984" i="1"/>
  <c r="D983" i="1"/>
  <c r="D982" i="1"/>
  <c r="D981" i="1"/>
  <c r="D980" i="1"/>
  <c r="D979" i="1"/>
  <c r="D978" i="1"/>
  <c r="D977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4" i="1"/>
  <c r="D963" i="1"/>
  <c r="D962" i="1"/>
  <c r="D961" i="1"/>
  <c r="D960" i="1"/>
  <c r="D959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4" i="1"/>
  <c r="D923" i="1"/>
  <c r="D922" i="1"/>
  <c r="D921" i="1"/>
  <c r="D920" i="1"/>
  <c r="D919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8" i="1"/>
  <c r="D877" i="1"/>
  <c r="D876" i="1"/>
  <c r="D875" i="1"/>
  <c r="D874" i="1"/>
  <c r="D873" i="1"/>
  <c r="D872" i="1"/>
  <c r="D871" i="1"/>
  <c r="D870" i="1"/>
  <c r="D869" i="1"/>
  <c r="D868" i="1"/>
  <c r="D867" i="1"/>
  <c r="D866" i="1"/>
  <c r="D865" i="1"/>
  <c r="D864" i="1"/>
  <c r="D863" i="1"/>
  <c r="D861" i="1"/>
  <c r="D860" i="1"/>
  <c r="D859" i="1"/>
  <c r="D858" i="1"/>
  <c r="D857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4" i="1"/>
  <c r="D753" i="1"/>
  <c r="D752" i="1"/>
  <c r="D751" i="1"/>
  <c r="D750" i="1"/>
  <c r="D749" i="1"/>
  <c r="D747" i="1"/>
  <c r="D746" i="1"/>
  <c r="D745" i="1"/>
  <c r="D744" i="1"/>
  <c r="D743" i="1"/>
  <c r="D742" i="1"/>
  <c r="D741" i="1"/>
  <c r="D740" i="1"/>
  <c r="D739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6" i="1"/>
  <c r="D615" i="1"/>
  <c r="D614" i="1"/>
  <c r="D613" i="1"/>
  <c r="D612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0" i="1"/>
  <c r="D589" i="1"/>
  <c r="D585" i="1"/>
  <c r="D584" i="1"/>
  <c r="D583" i="1"/>
  <c r="D582" i="1"/>
  <c r="D581" i="1"/>
  <c r="D580" i="1"/>
  <c r="D579" i="1"/>
  <c r="D577" i="1"/>
  <c r="D576" i="1"/>
  <c r="D575" i="1"/>
  <c r="D574" i="1"/>
  <c r="D573" i="1"/>
  <c r="D572" i="1"/>
  <c r="D571" i="1"/>
  <c r="D570" i="1"/>
  <c r="D569" i="1"/>
  <c r="D567" i="1"/>
  <c r="D566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89" i="1"/>
  <c r="D385" i="1"/>
  <c r="D383" i="1"/>
  <c r="D382" i="1"/>
  <c r="D379" i="1"/>
  <c r="D378" i="1"/>
  <c r="D377" i="1"/>
  <c r="D376" i="1"/>
  <c r="D375" i="1"/>
  <c r="D372" i="1"/>
  <c r="D371" i="1"/>
  <c r="D370" i="1"/>
  <c r="D369" i="1"/>
  <c r="D368" i="1"/>
  <c r="D367" i="1"/>
  <c r="D3943" i="1" l="1"/>
  <c r="D3942" i="1"/>
  <c r="D3940" i="1"/>
  <c r="D3936" i="1"/>
  <c r="D3932" i="1"/>
  <c r="D3931" i="1"/>
  <c r="D3930" i="1"/>
  <c r="D3929" i="1"/>
  <c r="D3928" i="1"/>
  <c r="D3927" i="1"/>
  <c r="D3926" i="1"/>
  <c r="D3925" i="1"/>
  <c r="D3924" i="1"/>
  <c r="D3923" i="1"/>
  <c r="D3922" i="1"/>
  <c r="D3921" i="1"/>
  <c r="D3920" i="1"/>
  <c r="D3919" i="1"/>
  <c r="D3918" i="1"/>
  <c r="D3917" i="1"/>
  <c r="D3916" i="1"/>
  <c r="D3915" i="1"/>
  <c r="D3914" i="1"/>
  <c r="D3913" i="1"/>
  <c r="D3912" i="1"/>
  <c r="D3911" i="1"/>
  <c r="D3910" i="1"/>
  <c r="D3909" i="1"/>
  <c r="D3908" i="1"/>
  <c r="D3907" i="1"/>
  <c r="D3906" i="1"/>
  <c r="D3905" i="1"/>
  <c r="D3904" i="1"/>
  <c r="D3903" i="1"/>
  <c r="D3902" i="1"/>
  <c r="D3901" i="1"/>
  <c r="D3900" i="1"/>
  <c r="D3899" i="1"/>
  <c r="D3898" i="1"/>
  <c r="D3897" i="1"/>
  <c r="D3896" i="1"/>
  <c r="D3895" i="1"/>
  <c r="D3894" i="1"/>
  <c r="D3893" i="1"/>
  <c r="D3892" i="1"/>
  <c r="D3891" i="1"/>
  <c r="D3890" i="1"/>
  <c r="D3889" i="1"/>
  <c r="D3888" i="1"/>
  <c r="D3887" i="1"/>
  <c r="D3886" i="1"/>
  <c r="D3885" i="1"/>
  <c r="D3884" i="1"/>
  <c r="D3883" i="1"/>
  <c r="D3882" i="1"/>
  <c r="D3881" i="1"/>
  <c r="D3880" i="1"/>
  <c r="D3879" i="1"/>
  <c r="D3878" i="1"/>
  <c r="D3877" i="1"/>
  <c r="D3876" i="1"/>
  <c r="D3875" i="1"/>
  <c r="D3874" i="1"/>
  <c r="D3873" i="1"/>
  <c r="D3872" i="1"/>
  <c r="D3871" i="1"/>
  <c r="D3870" i="1"/>
  <c r="D3869" i="1"/>
  <c r="D3868" i="1"/>
  <c r="D3867" i="1"/>
  <c r="D3866" i="1"/>
  <c r="D3865" i="1"/>
  <c r="D3864" i="1"/>
  <c r="D3863" i="1"/>
  <c r="D3862" i="1"/>
  <c r="D3861" i="1"/>
  <c r="D3860" i="1"/>
  <c r="D3859" i="1"/>
  <c r="D3858" i="1"/>
  <c r="D3857" i="1"/>
  <c r="D3856" i="1"/>
  <c r="D3855" i="1"/>
  <c r="D3854" i="1"/>
  <c r="D3852" i="1"/>
  <c r="D3851" i="1"/>
  <c r="D3850" i="1"/>
  <c r="D3849" i="1"/>
  <c r="D3848" i="1"/>
  <c r="D3847" i="1"/>
  <c r="D3846" i="1"/>
  <c r="D3845" i="1"/>
  <c r="D3844" i="1"/>
  <c r="D3843" i="1"/>
  <c r="D3842" i="1"/>
  <c r="D3841" i="1"/>
  <c r="D3840" i="1"/>
  <c r="D3839" i="1"/>
  <c r="D3838" i="1"/>
  <c r="D3837" i="1"/>
  <c r="D3836" i="1"/>
  <c r="D3835" i="1"/>
  <c r="D3834" i="1"/>
  <c r="D3833" i="1"/>
  <c r="D3832" i="1"/>
  <c r="D3831" i="1"/>
  <c r="D3830" i="1"/>
  <c r="D3829" i="1"/>
  <c r="D3828" i="1"/>
  <c r="D3827" i="1"/>
  <c r="D3826" i="1"/>
  <c r="D3825" i="1"/>
  <c r="D3824" i="1"/>
  <c r="D3823" i="1"/>
  <c r="D3822" i="1"/>
  <c r="D3821" i="1"/>
  <c r="D3820" i="1"/>
  <c r="D3819" i="1"/>
  <c r="D3818" i="1"/>
  <c r="D3817" i="1"/>
  <c r="D3816" i="1"/>
  <c r="D3815" i="1"/>
  <c r="D3814" i="1"/>
  <c r="D3813" i="1"/>
  <c r="D3812" i="1"/>
  <c r="D3811" i="1"/>
  <c r="D3810" i="1"/>
  <c r="D3809" i="1"/>
  <c r="D3808" i="1"/>
  <c r="D3807" i="1"/>
  <c r="D3806" i="1"/>
  <c r="D3805" i="1"/>
  <c r="D3804" i="1"/>
  <c r="D3803" i="1"/>
  <c r="D3802" i="1"/>
  <c r="D3801" i="1"/>
  <c r="D3800" i="1"/>
  <c r="D3799" i="1"/>
  <c r="D3798" i="1"/>
  <c r="D3797" i="1"/>
  <c r="D3796" i="1"/>
  <c r="D3795" i="1"/>
  <c r="D3794" i="1"/>
  <c r="D3793" i="1"/>
  <c r="D3792" i="1"/>
  <c r="D3791" i="1"/>
  <c r="D3790" i="1"/>
  <c r="D3789" i="1"/>
  <c r="D3788" i="1"/>
  <c r="D3787" i="1"/>
  <c r="D3786" i="1"/>
  <c r="D3785" i="1"/>
  <c r="D3784" i="1"/>
  <c r="D3783" i="1"/>
  <c r="D3782" i="1"/>
  <c r="D3781" i="1"/>
  <c r="D3780" i="1"/>
  <c r="D3779" i="1"/>
  <c r="D3778" i="1"/>
  <c r="D3777" i="1"/>
  <c r="D3776" i="1"/>
  <c r="D3775" i="1"/>
  <c r="D3774" i="1"/>
  <c r="D3773" i="1"/>
  <c r="D3772" i="1"/>
  <c r="D3771" i="1"/>
  <c r="D3770" i="1"/>
  <c r="D3769" i="1"/>
  <c r="D3768" i="1"/>
  <c r="D3767" i="1"/>
  <c r="D3766" i="1"/>
  <c r="D3765" i="1"/>
  <c r="D3764" i="1"/>
  <c r="D3763" i="1"/>
  <c r="D3762" i="1"/>
  <c r="D3761" i="1"/>
  <c r="D3760" i="1"/>
  <c r="D3759" i="1"/>
  <c r="D3758" i="1"/>
  <c r="D3757" i="1"/>
  <c r="D3756" i="1"/>
  <c r="D3755" i="1"/>
  <c r="D3754" i="1"/>
  <c r="D3753" i="1"/>
  <c r="D3752" i="1"/>
  <c r="D3751" i="1"/>
  <c r="D3750" i="1"/>
  <c r="D3749" i="1"/>
  <c r="D3748" i="1"/>
  <c r="D3747" i="1"/>
  <c r="D3746" i="1"/>
  <c r="D3745" i="1"/>
  <c r="D3744" i="1"/>
  <c r="D3743" i="1"/>
  <c r="D3742" i="1"/>
  <c r="D3741" i="1"/>
  <c r="D3740" i="1"/>
  <c r="D3739" i="1"/>
  <c r="D3738" i="1"/>
  <c r="D3737" i="1"/>
  <c r="D3736" i="1"/>
  <c r="D3735" i="1"/>
  <c r="D3734" i="1"/>
  <c r="D3733" i="1"/>
  <c r="D3732" i="1"/>
  <c r="D3731" i="1"/>
  <c r="D3730" i="1"/>
  <c r="D3729" i="1"/>
  <c r="D3728" i="1"/>
  <c r="D3727" i="1"/>
  <c r="D3726" i="1"/>
  <c r="D3725" i="1"/>
  <c r="D3724" i="1"/>
  <c r="D3723" i="1"/>
  <c r="D3722" i="1"/>
  <c r="D3721" i="1"/>
  <c r="D3720" i="1"/>
  <c r="D3719" i="1"/>
  <c r="D3718" i="1"/>
  <c r="D3717" i="1"/>
  <c r="D3716" i="1"/>
  <c r="D3715" i="1"/>
  <c r="D3714" i="1"/>
  <c r="D3713" i="1"/>
  <c r="D3712" i="1"/>
  <c r="D3711" i="1"/>
  <c r="D3710" i="1"/>
  <c r="D3709" i="1"/>
  <c r="D3708" i="1"/>
  <c r="D3707" i="1"/>
  <c r="D3706" i="1"/>
  <c r="D3705" i="1"/>
  <c r="D3704" i="1"/>
  <c r="D3703" i="1"/>
  <c r="D3702" i="1"/>
  <c r="D3701" i="1"/>
  <c r="D3700" i="1"/>
  <c r="D3699" i="1"/>
  <c r="D3698" i="1"/>
  <c r="D3697" i="1"/>
  <c r="D3696" i="1"/>
  <c r="D3695" i="1"/>
  <c r="D3694" i="1"/>
  <c r="D3693" i="1"/>
  <c r="D3692" i="1"/>
  <c r="D3691" i="1"/>
  <c r="D3690" i="1"/>
  <c r="D3689" i="1"/>
  <c r="D3688" i="1"/>
  <c r="D3687" i="1"/>
  <c r="D3686" i="1"/>
  <c r="D3685" i="1"/>
  <c r="D3684" i="1"/>
  <c r="D3682" i="1"/>
  <c r="D3681" i="1"/>
  <c r="D3680" i="1"/>
  <c r="D3678" i="1"/>
  <c r="D3677" i="1"/>
  <c r="D3676" i="1"/>
  <c r="D3674" i="1"/>
  <c r="D3673" i="1"/>
  <c r="D3672" i="1"/>
  <c r="D3671" i="1"/>
  <c r="D3670" i="1"/>
  <c r="D3669" i="1"/>
  <c r="D3668" i="1"/>
  <c r="D3667" i="1"/>
  <c r="D3666" i="1"/>
  <c r="D3665" i="1"/>
  <c r="D3664" i="1"/>
  <c r="D3663" i="1"/>
  <c r="D3662" i="1"/>
  <c r="D3661" i="1"/>
  <c r="D3660" i="1"/>
  <c r="D3659" i="1"/>
  <c r="D3658" i="1"/>
  <c r="D3657" i="1"/>
  <c r="D3656" i="1"/>
  <c r="D3655" i="1"/>
  <c r="D3654" i="1"/>
  <c r="D3653" i="1"/>
  <c r="D3652" i="1"/>
  <c r="D3651" i="1"/>
  <c r="D3650" i="1"/>
  <c r="D3649" i="1"/>
  <c r="D3648" i="1"/>
  <c r="D3647" i="1"/>
  <c r="D3646" i="1"/>
  <c r="D3645" i="1"/>
  <c r="D3644" i="1"/>
  <c r="D3643" i="1"/>
  <c r="D3642" i="1"/>
  <c r="D3641" i="1"/>
  <c r="D3640" i="1"/>
  <c r="D3639" i="1"/>
  <c r="D3638" i="1"/>
  <c r="D3637" i="1"/>
  <c r="D3636" i="1"/>
  <c r="D3635" i="1"/>
  <c r="D3634" i="1"/>
  <c r="D3633" i="1"/>
  <c r="D3632" i="1"/>
  <c r="D3631" i="1"/>
  <c r="D3630" i="1"/>
  <c r="D3629" i="1"/>
  <c r="D3628" i="1"/>
  <c r="D3627" i="1"/>
  <c r="D3626" i="1"/>
  <c r="D3625" i="1"/>
  <c r="D3624" i="1"/>
  <c r="D3623" i="1"/>
  <c r="D3622" i="1"/>
  <c r="D3621" i="1"/>
  <c r="D3620" i="1"/>
  <c r="D3619" i="1"/>
  <c r="D3618" i="1"/>
  <c r="D3617" i="1"/>
  <c r="D3616" i="1"/>
  <c r="D3615" i="1"/>
  <c r="D3614" i="1"/>
  <c r="D3613" i="1"/>
  <c r="D3612" i="1"/>
  <c r="D3611" i="1"/>
  <c r="D3610" i="1"/>
  <c r="D3609" i="1"/>
  <c r="D3608" i="1"/>
  <c r="D3607" i="1"/>
  <c r="D3606" i="1"/>
  <c r="D3605" i="1"/>
  <c r="D3604" i="1"/>
  <c r="D3603" i="1"/>
  <c r="D3602" i="1"/>
  <c r="D3601" i="1"/>
  <c r="D3600" i="1"/>
  <c r="D3599" i="1"/>
  <c r="D3598" i="1"/>
  <c r="D3597" i="1"/>
  <c r="D3596" i="1"/>
  <c r="D3595" i="1"/>
  <c r="D3594" i="1"/>
  <c r="D3593" i="1"/>
  <c r="D3592" i="1"/>
  <c r="D3591" i="1"/>
  <c r="D3590" i="1"/>
  <c r="D3589" i="1"/>
  <c r="D3588" i="1"/>
  <c r="D3587" i="1"/>
  <c r="D3586" i="1"/>
  <c r="D3585" i="1"/>
  <c r="D3584" i="1"/>
  <c r="D3583" i="1"/>
  <c r="D3581" i="1"/>
  <c r="D3580" i="1"/>
  <c r="D3579" i="1"/>
  <c r="D3578" i="1"/>
  <c r="D3577" i="1"/>
  <c r="D3576" i="1"/>
  <c r="D3575" i="1"/>
  <c r="D3574" i="1"/>
  <c r="D3573" i="1"/>
  <c r="D3571" i="1"/>
  <c r="D3570" i="1"/>
  <c r="D3569" i="1"/>
  <c r="D3568" i="1"/>
  <c r="D3567" i="1"/>
  <c r="D3566" i="1"/>
  <c r="D3565" i="1"/>
  <c r="D3564" i="1"/>
  <c r="D3563" i="1"/>
  <c r="D3562" i="1"/>
  <c r="D3561" i="1"/>
  <c r="D3560" i="1"/>
  <c r="D3559" i="1"/>
  <c r="D3558" i="1"/>
  <c r="D3557" i="1"/>
  <c r="D3556" i="1"/>
  <c r="D3555" i="1"/>
  <c r="D3554" i="1"/>
  <c r="D3553" i="1"/>
  <c r="D3552" i="1"/>
  <c r="D3551" i="1"/>
  <c r="D3550" i="1"/>
  <c r="D3549" i="1"/>
  <c r="D3548" i="1"/>
  <c r="D3547" i="1"/>
  <c r="D3546" i="1"/>
  <c r="D3545" i="1"/>
  <c r="D3544" i="1"/>
  <c r="D3543" i="1"/>
  <c r="D3542" i="1"/>
  <c r="D3541" i="1"/>
  <c r="D3540" i="1"/>
  <c r="D3539" i="1"/>
  <c r="D3538" i="1"/>
  <c r="D3537" i="1"/>
  <c r="D3536" i="1"/>
  <c r="D3535" i="1"/>
  <c r="D3534" i="1"/>
  <c r="D3533" i="1"/>
  <c r="D3532" i="1"/>
  <c r="D3531" i="1"/>
  <c r="D3530" i="1"/>
  <c r="D3529" i="1"/>
  <c r="D3528" i="1"/>
  <c r="D3527" i="1"/>
  <c r="D3526" i="1"/>
  <c r="D3525" i="1"/>
  <c r="D3524" i="1"/>
  <c r="D3523" i="1"/>
  <c r="D3522" i="1"/>
  <c r="D3521" i="1"/>
  <c r="D3520" i="1"/>
  <c r="D3519" i="1"/>
  <c r="D3518" i="1"/>
  <c r="D3517" i="1"/>
  <c r="D3516" i="1"/>
  <c r="D3515" i="1"/>
  <c r="D3514" i="1"/>
  <c r="D3513" i="1"/>
  <c r="D3512" i="1"/>
  <c r="D3511" i="1"/>
  <c r="D3510" i="1"/>
  <c r="D3509" i="1"/>
  <c r="D3508" i="1"/>
  <c r="D3507" i="1"/>
  <c r="D3506" i="1"/>
  <c r="D3505" i="1"/>
  <c r="D3504" i="1"/>
  <c r="D3503" i="1"/>
  <c r="D3502" i="1"/>
  <c r="D3501" i="1"/>
  <c r="D3500" i="1"/>
  <c r="D3499" i="1"/>
  <c r="D3498" i="1"/>
  <c r="D3497" i="1"/>
  <c r="D3496" i="1"/>
  <c r="D3495" i="1"/>
  <c r="D3494" i="1"/>
  <c r="D3493" i="1"/>
  <c r="D3492" i="1"/>
  <c r="D3491" i="1"/>
  <c r="D3490" i="1"/>
  <c r="D3489" i="1"/>
  <c r="D3488" i="1"/>
  <c r="D3487" i="1"/>
  <c r="D3486" i="1"/>
  <c r="D3485" i="1"/>
  <c r="D3484" i="1"/>
  <c r="D3483" i="1"/>
  <c r="D3482" i="1"/>
  <c r="D3481" i="1"/>
  <c r="D3480" i="1"/>
  <c r="D3478" i="1"/>
  <c r="D3477" i="1"/>
  <c r="D3476" i="1"/>
  <c r="D3475" i="1"/>
  <c r="D3474" i="1"/>
  <c r="D3473" i="1"/>
  <c r="D3472" i="1"/>
  <c r="D3471" i="1"/>
  <c r="D3469" i="1"/>
  <c r="D3468" i="1"/>
  <c r="D3467" i="1"/>
  <c r="D3466" i="1"/>
  <c r="D3465" i="1"/>
  <c r="D3464" i="1"/>
  <c r="D3463" i="1"/>
  <c r="D3462" i="1"/>
  <c r="D3461" i="1"/>
  <c r="D3460" i="1"/>
  <c r="D3459" i="1"/>
  <c r="D3458" i="1"/>
  <c r="D3457" i="1"/>
  <c r="D3456" i="1"/>
  <c r="D3455" i="1"/>
  <c r="D3454" i="1"/>
  <c r="D3453" i="1"/>
  <c r="D3451" i="1"/>
  <c r="D3450" i="1"/>
  <c r="D3449" i="1"/>
  <c r="D3448" i="1"/>
  <c r="D3447" i="1"/>
  <c r="D3446" i="1"/>
  <c r="D3445" i="1"/>
  <c r="D3444" i="1"/>
  <c r="D3442" i="1"/>
  <c r="D3441" i="1"/>
  <c r="D3439" i="1"/>
  <c r="D3438" i="1"/>
  <c r="D3437" i="1"/>
  <c r="D3436" i="1"/>
  <c r="D3435" i="1"/>
  <c r="D3433" i="1"/>
  <c r="D3432" i="1"/>
  <c r="D3431" i="1"/>
  <c r="D3430" i="1"/>
  <c r="D3429" i="1"/>
  <c r="D3428" i="1"/>
  <c r="D3427" i="1"/>
  <c r="D3425" i="1"/>
  <c r="D3423" i="1"/>
  <c r="D3422" i="1"/>
  <c r="D3421" i="1"/>
  <c r="D3419" i="1"/>
  <c r="D3418" i="1"/>
  <c r="D3417" i="1"/>
  <c r="D3415" i="1"/>
  <c r="D3414" i="1"/>
  <c r="D3413" i="1"/>
  <c r="D3412" i="1"/>
  <c r="D3411" i="1"/>
  <c r="D3410" i="1"/>
  <c r="D3409" i="1"/>
  <c r="D3408" i="1"/>
  <c r="D3407" i="1"/>
  <c r="D3406" i="1"/>
  <c r="D3405" i="1"/>
  <c r="D3404" i="1"/>
  <c r="D3403" i="1"/>
  <c r="D3402" i="1"/>
  <c r="D3401" i="1"/>
  <c r="D3400" i="1"/>
  <c r="D3399" i="1"/>
  <c r="D3398" i="1"/>
  <c r="D3397" i="1"/>
  <c r="D3396" i="1"/>
  <c r="D3395" i="1"/>
  <c r="D3394" i="1"/>
  <c r="D3393" i="1"/>
  <c r="D3392" i="1"/>
  <c r="D3391" i="1"/>
  <c r="D3390" i="1"/>
  <c r="D3389" i="1"/>
  <c r="D3388" i="1"/>
  <c r="D3387" i="1"/>
  <c r="D3386" i="1"/>
  <c r="D3385" i="1"/>
  <c r="D3384" i="1"/>
  <c r="D3383" i="1"/>
  <c r="D3382" i="1"/>
  <c r="D3381" i="1"/>
  <c r="D3380" i="1"/>
  <c r="D3379" i="1"/>
  <c r="D3378" i="1"/>
  <c r="D3377" i="1"/>
  <c r="D3376" i="1"/>
  <c r="D3375" i="1"/>
  <c r="D3374" i="1"/>
  <c r="D3373" i="1"/>
  <c r="D3372" i="1"/>
  <c r="D3371" i="1"/>
  <c r="D3370" i="1"/>
  <c r="D3369" i="1"/>
  <c r="D3368" i="1"/>
  <c r="D3367" i="1"/>
  <c r="D3366" i="1"/>
  <c r="D3365" i="1"/>
  <c r="D3364" i="1"/>
  <c r="D3363" i="1"/>
  <c r="D3362" i="1"/>
  <c r="D3361" i="1"/>
  <c r="D3360" i="1"/>
  <c r="D3359" i="1"/>
  <c r="D3358" i="1"/>
  <c r="D3357" i="1"/>
  <c r="D3356" i="1"/>
  <c r="D3355" i="1"/>
  <c r="D3354" i="1"/>
  <c r="D3353" i="1"/>
  <c r="D3352" i="1"/>
  <c r="D3351" i="1"/>
  <c r="D3350" i="1"/>
  <c r="D3349" i="1"/>
  <c r="D3348" i="1"/>
  <c r="D3347" i="1"/>
  <c r="D3346" i="1"/>
  <c r="D3345" i="1"/>
  <c r="D3344" i="1"/>
  <c r="D3343" i="1"/>
  <c r="D3342" i="1"/>
  <c r="D3341" i="1"/>
  <c r="D3340" i="1"/>
  <c r="D3339" i="1"/>
  <c r="D3338" i="1"/>
  <c r="D3337" i="1"/>
  <c r="D3336" i="1"/>
  <c r="D3335" i="1"/>
  <c r="D3334" i="1"/>
  <c r="D3333" i="1"/>
  <c r="D3332" i="1"/>
  <c r="D3331" i="1"/>
  <c r="D3330" i="1"/>
  <c r="D3329" i="1"/>
  <c r="D3328" i="1"/>
  <c r="D3327" i="1"/>
  <c r="D3326" i="1"/>
  <c r="D3325" i="1"/>
  <c r="D3324" i="1"/>
  <c r="D3323" i="1"/>
  <c r="D3322" i="1"/>
  <c r="D3321" i="1"/>
  <c r="D3320" i="1"/>
  <c r="D3319" i="1"/>
  <c r="D3318" i="1"/>
  <c r="D3317" i="1"/>
  <c r="D3316" i="1"/>
  <c r="D3315" i="1"/>
  <c r="D3314" i="1"/>
  <c r="D3313" i="1"/>
  <c r="D3312" i="1"/>
  <c r="D3311" i="1"/>
  <c r="D3310" i="1"/>
  <c r="D3308" i="1"/>
  <c r="D3307" i="1"/>
  <c r="D3306" i="1"/>
  <c r="D3305" i="1"/>
  <c r="D3304" i="1"/>
  <c r="D3303" i="1"/>
  <c r="D3302" i="1"/>
  <c r="D3301" i="1"/>
  <c r="D3300" i="1"/>
  <c r="D3299" i="1"/>
  <c r="D3298" i="1"/>
  <c r="D3297" i="1"/>
  <c r="D3296" i="1"/>
  <c r="D3295" i="1"/>
  <c r="D3294" i="1"/>
  <c r="D3293" i="1"/>
  <c r="D3292" i="1"/>
  <c r="D3291" i="1"/>
  <c r="D3290" i="1"/>
  <c r="D3289" i="1"/>
  <c r="D3288" i="1"/>
  <c r="D3287" i="1"/>
  <c r="D3286" i="1"/>
  <c r="D3285" i="1"/>
  <c r="D3284" i="1"/>
  <c r="D3283" i="1"/>
  <c r="D3282" i="1"/>
  <c r="D3281" i="1"/>
  <c r="D3280" i="1"/>
  <c r="D3279" i="1"/>
  <c r="D3278" i="1"/>
  <c r="D3277" i="1"/>
  <c r="D3275" i="1"/>
  <c r="D3274" i="1"/>
  <c r="D3273" i="1"/>
  <c r="D3272" i="1"/>
  <c r="D3270" i="1"/>
  <c r="D3269" i="1"/>
  <c r="D3265" i="1"/>
  <c r="D3262" i="1"/>
  <c r="D3259" i="1"/>
  <c r="D3257" i="1"/>
  <c r="D3256" i="1"/>
  <c r="D3255" i="1"/>
  <c r="D3254" i="1"/>
  <c r="D3253" i="1"/>
  <c r="D3252" i="1"/>
  <c r="D3249" i="1" l="1"/>
  <c r="D3248" i="1"/>
  <c r="D3247" i="1"/>
  <c r="D3246" i="1"/>
  <c r="D3245" i="1"/>
  <c r="D3244" i="1"/>
  <c r="D3243" i="1"/>
  <c r="D3242" i="1"/>
  <c r="D3241" i="1"/>
  <c r="D3240" i="1"/>
  <c r="D3239" i="1"/>
  <c r="D3238" i="1"/>
  <c r="D3237" i="1"/>
  <c r="D3236" i="1"/>
  <c r="D3235" i="1"/>
  <c r="D3234" i="1"/>
  <c r="D3233" i="1"/>
  <c r="D3232" i="1"/>
  <c r="D3231" i="1"/>
  <c r="D3230" i="1"/>
  <c r="D3229" i="1"/>
  <c r="D3228" i="1"/>
  <c r="D3227" i="1"/>
  <c r="D3226" i="1"/>
  <c r="D3225" i="1"/>
  <c r="D3224" i="1"/>
  <c r="D3223" i="1"/>
  <c r="D3222" i="1"/>
  <c r="D3221" i="1"/>
  <c r="D3220" i="1"/>
  <c r="D3219" i="1"/>
  <c r="D3218" i="1"/>
  <c r="D3217" i="1"/>
  <c r="D3216" i="1"/>
  <c r="D3215" i="1"/>
  <c r="D3214" i="1"/>
  <c r="D3213" i="1"/>
  <c r="D3212" i="1"/>
  <c r="D3211" i="1"/>
  <c r="D3210" i="1"/>
  <c r="D3209" i="1"/>
  <c r="D3208" i="1"/>
  <c r="D3207" i="1"/>
  <c r="D3206" i="1"/>
  <c r="D3205" i="1"/>
  <c r="D3204" i="1"/>
  <c r="D3203" i="1"/>
  <c r="D3202" i="1"/>
  <c r="D3201" i="1"/>
  <c r="D3200" i="1"/>
  <c r="D3199" i="1"/>
  <c r="D3198" i="1"/>
  <c r="D3197" i="1"/>
  <c r="D3196" i="1"/>
  <c r="D3195" i="1"/>
  <c r="D3194" i="1"/>
  <c r="D3193" i="1"/>
  <c r="D3192" i="1"/>
  <c r="D3191" i="1"/>
  <c r="D3190" i="1"/>
  <c r="D3189" i="1"/>
  <c r="D3188" i="1"/>
  <c r="D3187" i="1"/>
  <c r="D3186" i="1"/>
  <c r="D3185" i="1"/>
  <c r="D3184" i="1"/>
  <c r="D3183" i="1"/>
  <c r="D3182" i="1"/>
  <c r="D3181" i="1"/>
  <c r="D3180" i="1"/>
  <c r="D3179" i="1"/>
  <c r="D3178" i="1"/>
  <c r="D3177" i="1"/>
  <c r="D3176" i="1"/>
  <c r="D3175" i="1"/>
  <c r="D3174" i="1"/>
  <c r="D3173" i="1"/>
  <c r="D3172" i="1"/>
  <c r="D3171" i="1"/>
  <c r="D3170" i="1"/>
  <c r="D3169" i="1"/>
  <c r="D3168" i="1"/>
  <c r="D3167" i="1"/>
  <c r="D3166" i="1"/>
  <c r="D3165" i="1"/>
  <c r="D3164" i="1"/>
  <c r="D3163" i="1"/>
  <c r="D3162" i="1"/>
  <c r="D3161" i="1"/>
  <c r="D3160" i="1"/>
  <c r="D3159" i="1"/>
  <c r="D3158" i="1"/>
  <c r="D3157" i="1"/>
  <c r="D3156" i="1"/>
  <c r="D3155" i="1"/>
  <c r="D3154" i="1"/>
  <c r="D3153" i="1"/>
  <c r="D3152" i="1"/>
  <c r="D3151" i="1"/>
  <c r="D3150" i="1"/>
  <c r="D3149" i="1"/>
  <c r="D3148" i="1"/>
  <c r="D3147" i="1"/>
  <c r="D3146" i="1"/>
  <c r="D3145" i="1"/>
  <c r="D3144" i="1"/>
  <c r="D3142" i="1"/>
  <c r="D3141" i="1"/>
  <c r="D3140" i="1"/>
  <c r="D3139" i="1"/>
  <c r="D3138" i="1"/>
  <c r="D3137" i="1"/>
  <c r="D3136" i="1"/>
  <c r="D3135" i="1"/>
  <c r="D3134" i="1"/>
  <c r="D3133" i="1"/>
  <c r="D3132" i="1"/>
  <c r="D3131" i="1"/>
  <c r="D3130" i="1"/>
  <c r="D3129" i="1"/>
  <c r="D3128" i="1"/>
  <c r="D3127" i="1"/>
  <c r="D3126" i="1"/>
  <c r="D3125" i="1"/>
  <c r="D3124" i="1"/>
  <c r="D3123" i="1"/>
  <c r="D3122" i="1"/>
  <c r="D3121" i="1"/>
  <c r="D3120" i="1"/>
  <c r="D3119" i="1"/>
  <c r="D3118" i="1"/>
  <c r="D3117" i="1"/>
  <c r="D3116" i="1"/>
  <c r="D3115" i="1"/>
  <c r="D3114" i="1"/>
  <c r="D3113" i="1"/>
  <c r="D3112" i="1"/>
  <c r="D3111" i="1"/>
  <c r="D3110" i="1"/>
  <c r="D3109" i="1"/>
  <c r="D3108" i="1"/>
  <c r="D3107" i="1"/>
  <c r="D3106" i="1"/>
  <c r="D3105" i="1"/>
  <c r="D3104" i="1"/>
  <c r="D3103" i="1"/>
  <c r="D3102" i="1"/>
  <c r="D3101" i="1"/>
  <c r="D3100" i="1"/>
  <c r="D3099" i="1"/>
  <c r="D3098" i="1"/>
  <c r="D3096" i="1"/>
  <c r="D3095" i="1"/>
  <c r="D3094" i="1"/>
  <c r="D3092" i="1"/>
  <c r="D3091" i="1"/>
  <c r="D3090" i="1"/>
  <c r="D3089" i="1"/>
  <c r="D3087" i="1"/>
  <c r="D3086" i="1"/>
  <c r="D3085" i="1"/>
  <c r="D3084" i="1"/>
  <c r="D3083" i="1"/>
  <c r="D3082" i="1"/>
  <c r="D3081" i="1"/>
  <c r="D3080" i="1"/>
  <c r="D3079" i="1"/>
  <c r="D3078" i="1"/>
  <c r="D3077" i="1"/>
  <c r="D3076" i="1"/>
  <c r="D3075" i="1"/>
  <c r="D3074" i="1"/>
  <c r="D3073" i="1"/>
  <c r="D3072" i="1"/>
  <c r="D3071" i="1"/>
  <c r="D3070" i="1"/>
  <c r="D3069" i="1"/>
  <c r="D3068" i="1"/>
  <c r="D3067" i="1"/>
  <c r="D3066" i="1"/>
  <c r="D3065" i="1"/>
  <c r="D3064" i="1"/>
  <c r="D3063" i="1"/>
  <c r="D3062" i="1"/>
  <c r="D3061" i="1"/>
  <c r="D3060" i="1"/>
  <c r="D3059" i="1"/>
  <c r="D3058" i="1"/>
  <c r="D3057" i="1"/>
  <c r="D3056" i="1"/>
  <c r="D3055" i="1"/>
  <c r="D3054" i="1"/>
  <c r="D3053" i="1"/>
  <c r="D3052" i="1"/>
  <c r="D3051" i="1"/>
  <c r="D3050" i="1"/>
  <c r="D3049" i="1"/>
  <c r="D3048" i="1"/>
  <c r="D3047" i="1"/>
  <c r="D3046" i="1"/>
  <c r="D3045" i="1"/>
  <c r="D3044" i="1"/>
  <c r="D3043" i="1"/>
  <c r="D3042" i="1"/>
  <c r="D3041" i="1"/>
  <c r="D3040" i="1"/>
  <c r="D3039" i="1"/>
  <c r="D3038" i="1"/>
  <c r="D3037" i="1"/>
  <c r="D3036" i="1"/>
  <c r="D3035" i="1"/>
  <c r="D3034" i="1"/>
  <c r="D3032" i="1"/>
  <c r="D3031" i="1"/>
  <c r="D3030" i="1"/>
  <c r="D3029" i="1"/>
  <c r="D3028" i="1"/>
  <c r="D3027" i="1"/>
  <c r="D3026" i="1"/>
  <c r="D3025" i="1"/>
  <c r="D3024" i="1"/>
  <c r="D3023" i="1"/>
  <c r="D3022" i="1"/>
  <c r="D3021" i="1"/>
  <c r="D3020" i="1"/>
  <c r="D3019" i="1"/>
  <c r="D3018" i="1"/>
  <c r="D3017" i="1"/>
  <c r="D3016" i="1"/>
  <c r="D3015" i="1"/>
  <c r="D3014" i="1"/>
  <c r="D3013" i="1"/>
  <c r="D3012" i="1"/>
  <c r="D3011" i="1"/>
  <c r="D3010" i="1"/>
  <c r="D3009" i="1"/>
  <c r="D3008" i="1"/>
  <c r="D3007" i="1"/>
  <c r="D3006" i="1"/>
  <c r="D3005" i="1"/>
  <c r="D3004" i="1"/>
  <c r="D3003" i="1"/>
  <c r="D3001" i="1"/>
  <c r="D3000" i="1"/>
  <c r="D2999" i="1"/>
  <c r="D2998" i="1"/>
  <c r="D2997" i="1"/>
  <c r="D2996" i="1"/>
  <c r="D2995" i="1"/>
  <c r="D2994" i="1"/>
  <c r="D2992" i="1"/>
  <c r="D2991" i="1"/>
  <c r="D2990" i="1"/>
  <c r="D2988" i="1"/>
  <c r="D2987" i="1"/>
  <c r="D2986" i="1"/>
  <c r="D2985" i="1"/>
  <c r="D2984" i="1"/>
  <c r="D2983" i="1"/>
  <c r="D2982" i="1"/>
  <c r="D2981" i="1"/>
  <c r="D2980" i="1"/>
  <c r="D2979" i="1"/>
  <c r="D2978" i="1"/>
  <c r="D2977" i="1"/>
  <c r="D2976" i="1"/>
  <c r="D2975" i="1"/>
  <c r="D2974" i="1"/>
  <c r="D2973" i="1"/>
  <c r="D2972" i="1"/>
  <c r="D2971" i="1"/>
  <c r="D2970" i="1"/>
  <c r="D2969" i="1"/>
  <c r="D2968" i="1"/>
  <c r="D2967" i="1"/>
  <c r="D2966" i="1"/>
  <c r="D2965" i="1"/>
  <c r="D2964" i="1"/>
  <c r="D2963" i="1"/>
  <c r="D2962" i="1"/>
  <c r="D2960" i="1"/>
  <c r="D2959" i="1"/>
  <c r="D2958" i="1"/>
  <c r="D2957" i="1"/>
  <c r="D2956" i="1"/>
  <c r="D2955" i="1"/>
  <c r="D2954" i="1"/>
  <c r="D2953" i="1"/>
  <c r="D2952" i="1"/>
  <c r="D2951" i="1"/>
  <c r="D2950" i="1"/>
  <c r="D2949" i="1"/>
  <c r="D2948" i="1"/>
  <c r="D2947" i="1"/>
  <c r="D2946" i="1"/>
  <c r="D2945" i="1"/>
  <c r="D2944" i="1"/>
  <c r="D2943" i="1"/>
  <c r="D2942" i="1"/>
  <c r="D2941" i="1"/>
  <c r="D2940" i="1"/>
  <c r="D2939" i="1"/>
  <c r="D2938" i="1"/>
  <c r="D2937" i="1"/>
  <c r="D2936" i="1"/>
  <c r="D2935" i="1"/>
  <c r="D2934" i="1"/>
  <c r="D2933" i="1"/>
  <c r="D2932" i="1"/>
  <c r="D2931" i="1"/>
  <c r="D2930" i="1"/>
  <c r="D2929" i="1"/>
  <c r="D2928" i="1"/>
  <c r="D2927" i="1"/>
  <c r="D2926" i="1"/>
  <c r="D2925" i="1"/>
  <c r="D2924" i="1"/>
  <c r="D2923" i="1"/>
  <c r="D2922" i="1"/>
  <c r="D2921" i="1"/>
  <c r="D2920" i="1"/>
  <c r="D2919" i="1"/>
  <c r="D2918" i="1"/>
  <c r="D2917" i="1"/>
  <c r="D2916" i="1"/>
  <c r="D2915" i="1"/>
  <c r="D2914" i="1"/>
  <c r="D2913" i="1"/>
  <c r="D2912" i="1"/>
  <c r="D2911" i="1"/>
  <c r="D2910" i="1"/>
  <c r="D2909" i="1"/>
  <c r="D2908" i="1"/>
  <c r="D2907" i="1"/>
  <c r="D2906" i="1"/>
  <c r="D2905" i="1"/>
  <c r="D2904" i="1"/>
  <c r="D2903" i="1"/>
  <c r="D2902" i="1"/>
  <c r="D2901" i="1"/>
  <c r="D2900" i="1"/>
  <c r="D2899" i="1"/>
  <c r="D2898" i="1"/>
  <c r="D2897" i="1"/>
  <c r="D2896" i="1"/>
  <c r="D2895" i="1"/>
  <c r="D2894" i="1"/>
  <c r="D2893" i="1"/>
  <c r="D2892" i="1"/>
  <c r="D2891" i="1"/>
  <c r="D2890" i="1"/>
  <c r="D2889" i="1"/>
  <c r="D2888" i="1"/>
  <c r="D2887" i="1"/>
  <c r="D2886" i="1"/>
  <c r="D2885" i="1"/>
  <c r="D2884" i="1"/>
  <c r="D2883" i="1"/>
  <c r="D2882" i="1"/>
  <c r="D2881" i="1"/>
  <c r="D2879" i="1"/>
  <c r="D2878" i="1"/>
  <c r="D2877" i="1"/>
  <c r="D2876" i="1"/>
  <c r="D2875" i="1"/>
  <c r="D2874" i="1"/>
  <c r="D2873" i="1"/>
  <c r="D2872" i="1"/>
  <c r="D2871" i="1"/>
  <c r="D2870" i="1"/>
  <c r="D2868" i="1"/>
  <c r="D2867" i="1"/>
  <c r="D2864" i="1"/>
  <c r="D2863" i="1"/>
  <c r="D2862" i="1"/>
  <c r="D2861" i="1"/>
  <c r="D2860" i="1"/>
  <c r="D2859" i="1"/>
  <c r="D2857" i="1"/>
  <c r="D2856" i="1"/>
  <c r="D2855" i="1"/>
  <c r="D2854" i="1"/>
  <c r="D2853" i="1"/>
  <c r="D2852" i="1"/>
  <c r="D2851" i="1"/>
  <c r="D2850" i="1"/>
  <c r="D2849" i="1"/>
  <c r="D2848" i="1"/>
  <c r="D2847" i="1"/>
  <c r="D2846" i="1"/>
  <c r="D2845" i="1"/>
  <c r="D2844" i="1"/>
  <c r="D2843" i="1"/>
  <c r="D2842" i="1"/>
  <c r="D2841" i="1"/>
  <c r="D2840" i="1"/>
  <c r="D2839" i="1"/>
  <c r="D2838" i="1"/>
  <c r="D2837" i="1"/>
  <c r="D2836" i="1"/>
  <c r="D2835" i="1"/>
  <c r="D2834" i="1"/>
  <c r="D2832" i="1"/>
  <c r="D2831" i="1"/>
  <c r="D2830" i="1"/>
  <c r="D2829" i="1"/>
  <c r="D2828" i="1"/>
  <c r="D2827" i="1"/>
  <c r="D2826" i="1"/>
  <c r="D2825" i="1"/>
  <c r="D2824" i="1"/>
  <c r="D2822" i="1"/>
  <c r="D2821" i="1"/>
  <c r="D2819" i="1"/>
  <c r="D2817" i="1"/>
  <c r="D2813" i="1"/>
  <c r="D2811" i="1"/>
  <c r="D2810" i="1"/>
  <c r="D2809" i="1"/>
  <c r="D2808" i="1"/>
  <c r="D2807" i="1"/>
  <c r="D2806" i="1"/>
  <c r="D2803" i="1"/>
  <c r="D2800" i="1" l="1"/>
  <c r="D2799" i="1"/>
  <c r="D2798" i="1"/>
  <c r="D2797" i="1"/>
  <c r="D2796" i="1"/>
  <c r="D2795" i="1"/>
  <c r="D2794" i="1"/>
  <c r="D2793" i="1"/>
  <c r="D2792" i="1"/>
  <c r="D2791" i="1"/>
  <c r="D2790" i="1"/>
  <c r="D2789" i="1"/>
  <c r="D2788" i="1"/>
  <c r="D2787" i="1"/>
  <c r="D2786" i="1"/>
  <c r="D2785" i="1"/>
  <c r="D2784" i="1"/>
  <c r="D2783" i="1"/>
  <c r="D2782" i="1"/>
  <c r="D2781" i="1"/>
  <c r="D2780" i="1"/>
  <c r="D2779" i="1"/>
  <c r="D2778" i="1"/>
  <c r="D2777" i="1"/>
  <c r="D2776" i="1"/>
  <c r="D2775" i="1"/>
  <c r="D2774" i="1"/>
  <c r="D2773" i="1"/>
  <c r="D2772" i="1"/>
  <c r="D2771" i="1"/>
  <c r="D2770" i="1"/>
  <c r="D2769" i="1"/>
  <c r="D2768" i="1"/>
  <c r="D2767" i="1"/>
  <c r="D2766" i="1"/>
  <c r="D2765" i="1"/>
  <c r="D2764" i="1"/>
  <c r="D2763" i="1"/>
  <c r="D2762" i="1"/>
  <c r="D2761" i="1"/>
  <c r="D2760" i="1"/>
  <c r="D2759" i="1"/>
  <c r="D2758" i="1"/>
  <c r="D2757" i="1"/>
  <c r="D2756" i="1"/>
  <c r="D2755" i="1"/>
  <c r="D2754" i="1"/>
  <c r="D2753" i="1"/>
  <c r="D2752" i="1"/>
  <c r="D2751" i="1"/>
  <c r="D2750" i="1"/>
  <c r="D2749" i="1"/>
  <c r="D2748" i="1"/>
  <c r="D2747" i="1"/>
  <c r="D2746" i="1"/>
  <c r="D2745" i="1"/>
  <c r="D2744" i="1"/>
  <c r="D2743" i="1"/>
  <c r="D2742" i="1"/>
  <c r="D2741" i="1"/>
  <c r="D2740" i="1"/>
  <c r="D2739" i="1"/>
  <c r="D2738" i="1"/>
  <c r="D2737" i="1"/>
  <c r="D2736" i="1"/>
  <c r="D2735" i="1"/>
  <c r="D2734" i="1"/>
  <c r="D2733" i="1"/>
  <c r="D2732" i="1"/>
  <c r="D2731" i="1"/>
  <c r="D2730" i="1"/>
  <c r="D2729" i="1"/>
  <c r="D2728" i="1"/>
  <c r="D2727" i="1"/>
  <c r="D2726" i="1"/>
  <c r="D2725" i="1"/>
  <c r="D2724" i="1"/>
  <c r="D2723" i="1"/>
  <c r="D2722" i="1"/>
  <c r="D2721" i="1"/>
  <c r="D2720" i="1"/>
  <c r="D2719" i="1"/>
  <c r="D2718" i="1"/>
  <c r="D2717" i="1"/>
  <c r="D2716" i="1"/>
  <c r="D2715" i="1"/>
  <c r="D2714" i="1"/>
  <c r="D2713" i="1"/>
  <c r="D2712" i="1"/>
  <c r="D2711" i="1"/>
  <c r="D2710" i="1"/>
  <c r="D2709" i="1"/>
  <c r="D2708" i="1"/>
  <c r="D2707" i="1"/>
  <c r="D2706" i="1"/>
  <c r="D2705" i="1"/>
  <c r="D2704" i="1"/>
  <c r="D2703" i="1"/>
  <c r="D2702" i="1"/>
  <c r="D2701" i="1"/>
  <c r="D2700" i="1"/>
  <c r="D2699" i="1"/>
  <c r="D2698" i="1"/>
  <c r="D2697" i="1"/>
  <c r="D2696" i="1"/>
  <c r="D2695" i="1"/>
  <c r="D2694" i="1"/>
  <c r="D2693" i="1"/>
  <c r="D2692" i="1"/>
  <c r="D2691" i="1"/>
  <c r="D2690" i="1"/>
  <c r="D2689" i="1"/>
  <c r="D2688" i="1"/>
  <c r="D2687" i="1"/>
  <c r="D2686" i="1"/>
  <c r="D2685" i="1"/>
  <c r="D2684" i="1"/>
  <c r="D2683" i="1"/>
  <c r="D2682" i="1"/>
  <c r="D2681" i="1"/>
  <c r="D2680" i="1"/>
  <c r="D2679" i="1"/>
  <c r="D2678" i="1"/>
  <c r="D2677" i="1"/>
  <c r="D2676" i="1"/>
  <c r="D2675" i="1"/>
  <c r="D2674" i="1"/>
  <c r="D2673" i="1"/>
  <c r="D2672" i="1"/>
  <c r="D2671" i="1"/>
  <c r="D2670" i="1"/>
  <c r="D2669" i="1"/>
  <c r="D2668" i="1"/>
  <c r="D2667" i="1"/>
  <c r="D2666" i="1"/>
  <c r="D2665" i="1"/>
  <c r="D2664" i="1"/>
  <c r="D2663" i="1"/>
  <c r="D2662" i="1"/>
  <c r="D2661" i="1"/>
  <c r="D2660" i="1"/>
  <c r="D2659" i="1"/>
  <c r="D2658" i="1"/>
  <c r="D2657" i="1"/>
  <c r="D2656" i="1"/>
  <c r="D2655" i="1"/>
  <c r="D2654" i="1"/>
  <c r="D2653" i="1"/>
  <c r="D2652" i="1"/>
  <c r="D2651" i="1"/>
  <c r="D2650" i="1"/>
  <c r="D2649" i="1"/>
  <c r="D2648" i="1"/>
  <c r="D2647" i="1"/>
  <c r="D2646" i="1"/>
  <c r="D2645" i="1"/>
  <c r="D2643" i="1"/>
  <c r="D2642" i="1"/>
  <c r="D2640" i="1"/>
  <c r="D2639" i="1"/>
  <c r="D2638" i="1"/>
  <c r="D2637" i="1"/>
  <c r="D2636" i="1"/>
  <c r="D2635" i="1"/>
  <c r="D2634" i="1"/>
  <c r="D2632" i="1"/>
  <c r="D2631" i="1"/>
  <c r="D2630" i="1"/>
  <c r="D2629" i="1"/>
  <c r="D2628" i="1"/>
  <c r="D2627" i="1"/>
  <c r="D2626" i="1"/>
  <c r="D2625" i="1"/>
  <c r="D2624" i="1"/>
  <c r="D2623" i="1"/>
  <c r="D2622" i="1"/>
  <c r="D2621" i="1"/>
  <c r="D2620" i="1"/>
  <c r="D2619" i="1"/>
  <c r="D2618" i="1"/>
  <c r="D2617" i="1"/>
  <c r="D2616" i="1"/>
  <c r="D2615" i="1"/>
  <c r="D2614" i="1"/>
  <c r="D2613" i="1"/>
  <c r="D2612" i="1"/>
  <c r="D2611" i="1"/>
  <c r="D2610" i="1"/>
  <c r="D2609" i="1"/>
  <c r="D2608" i="1"/>
  <c r="D2607" i="1"/>
  <c r="D2606" i="1"/>
  <c r="D2605" i="1"/>
  <c r="D2604" i="1"/>
  <c r="D2603" i="1"/>
  <c r="D2602" i="1"/>
  <c r="D2601" i="1"/>
  <c r="D2600" i="1"/>
  <c r="D2599" i="1"/>
  <c r="D2598" i="1"/>
  <c r="D2597" i="1"/>
  <c r="D2596" i="1"/>
  <c r="D2595" i="1"/>
  <c r="D2594" i="1"/>
  <c r="D2593" i="1"/>
  <c r="D2592" i="1"/>
  <c r="D2591" i="1"/>
  <c r="D2590" i="1"/>
  <c r="D2589" i="1"/>
  <c r="D2588" i="1"/>
  <c r="D2587" i="1"/>
  <c r="D2586" i="1"/>
  <c r="D2585" i="1"/>
  <c r="D2584" i="1"/>
  <c r="D2583" i="1"/>
  <c r="D2582" i="1"/>
  <c r="D2581" i="1"/>
  <c r="D2580" i="1"/>
  <c r="D2578" i="1"/>
  <c r="D2577" i="1"/>
  <c r="D2576" i="1"/>
  <c r="D2575" i="1"/>
  <c r="D2574" i="1"/>
  <c r="D2573" i="1"/>
  <c r="D2572" i="1"/>
  <c r="D2571" i="1"/>
  <c r="D2570" i="1"/>
  <c r="D2569" i="1"/>
  <c r="D2568" i="1"/>
  <c r="D2567" i="1"/>
  <c r="D2566" i="1"/>
  <c r="D2565" i="1"/>
  <c r="D2564" i="1"/>
  <c r="D2563" i="1"/>
  <c r="D2562" i="1"/>
  <c r="D2561" i="1"/>
  <c r="D2560" i="1"/>
  <c r="D2559" i="1"/>
  <c r="D2558" i="1"/>
  <c r="D2557" i="1"/>
  <c r="D2556" i="1"/>
  <c r="D2555" i="1"/>
  <c r="D2554" i="1"/>
  <c r="D2553" i="1"/>
  <c r="D2552" i="1"/>
  <c r="D2551" i="1"/>
  <c r="D2550" i="1"/>
  <c r="D2548" i="1"/>
  <c r="D2547" i="1"/>
  <c r="D2546" i="1"/>
  <c r="D2545" i="1"/>
  <c r="D2544" i="1"/>
  <c r="D2543" i="1"/>
  <c r="D2542" i="1"/>
  <c r="D2541" i="1"/>
  <c r="D2540" i="1"/>
  <c r="D2539" i="1"/>
  <c r="D2538" i="1"/>
  <c r="D2537" i="1"/>
  <c r="D2536" i="1"/>
  <c r="D2535" i="1"/>
  <c r="D2534" i="1"/>
  <c r="D2533" i="1"/>
  <c r="D2532" i="1"/>
  <c r="D2530" i="1"/>
  <c r="D2528" i="1"/>
  <c r="D2527" i="1"/>
  <c r="D2526" i="1"/>
  <c r="D2525" i="1"/>
  <c r="D2524" i="1"/>
  <c r="D2523" i="1"/>
  <c r="D2522" i="1"/>
  <c r="D2521" i="1"/>
  <c r="D2520" i="1"/>
  <c r="D2519" i="1"/>
  <c r="D2518" i="1"/>
  <c r="D2517" i="1"/>
  <c r="D2516" i="1"/>
  <c r="D2515" i="1"/>
  <c r="D2514" i="1"/>
  <c r="D2513" i="1"/>
  <c r="D2512" i="1"/>
  <c r="D2511" i="1"/>
  <c r="D2510" i="1"/>
  <c r="D2509" i="1"/>
  <c r="D2508" i="1"/>
  <c r="D2507" i="1"/>
  <c r="D2506" i="1"/>
  <c r="D2505" i="1"/>
  <c r="D2504" i="1"/>
  <c r="D2503" i="1"/>
  <c r="D2502" i="1"/>
  <c r="D2501" i="1"/>
  <c r="D2500" i="1"/>
  <c r="D2499" i="1"/>
  <c r="D2498" i="1"/>
  <c r="D2497" i="1"/>
  <c r="D2496" i="1"/>
  <c r="D2495" i="1"/>
  <c r="D2494" i="1"/>
  <c r="D2493" i="1"/>
  <c r="D2492" i="1"/>
  <c r="D2491" i="1"/>
  <c r="D2490" i="1"/>
  <c r="D2489" i="1"/>
  <c r="D2488" i="1"/>
  <c r="D2487" i="1"/>
  <c r="D2486" i="1"/>
  <c r="D2485" i="1"/>
  <c r="D2484" i="1"/>
  <c r="D2483" i="1"/>
  <c r="D2482" i="1"/>
  <c r="D2481" i="1"/>
  <c r="D2480" i="1"/>
  <c r="D2479" i="1"/>
  <c r="D2478" i="1"/>
  <c r="D2477" i="1"/>
  <c r="D2476" i="1"/>
  <c r="D2475" i="1"/>
  <c r="D2474" i="1"/>
  <c r="D2473" i="1"/>
  <c r="D2472" i="1"/>
  <c r="D2471" i="1"/>
  <c r="D2470" i="1"/>
  <c r="D2469" i="1"/>
  <c r="D2468" i="1"/>
  <c r="D2467" i="1"/>
  <c r="D2466" i="1"/>
  <c r="D2465" i="1"/>
  <c r="D2464" i="1"/>
  <c r="D2463" i="1"/>
  <c r="D2462" i="1"/>
  <c r="D2461" i="1"/>
  <c r="D2460" i="1"/>
  <c r="D2459" i="1"/>
  <c r="D2458" i="1"/>
  <c r="D2457" i="1"/>
  <c r="D2456" i="1"/>
  <c r="D2455" i="1"/>
  <c r="D2454" i="1"/>
  <c r="D2453" i="1"/>
  <c r="D2452" i="1"/>
  <c r="D2451" i="1"/>
  <c r="D2450" i="1"/>
  <c r="D2449" i="1"/>
  <c r="D2448" i="1"/>
  <c r="D2447" i="1"/>
  <c r="D2446" i="1"/>
  <c r="D2445" i="1"/>
  <c r="D2444" i="1"/>
  <c r="D2443" i="1"/>
  <c r="D2442" i="1"/>
  <c r="D2441" i="1"/>
  <c r="D2440" i="1"/>
  <c r="D2439" i="1"/>
  <c r="D2438" i="1"/>
  <c r="D2437" i="1"/>
  <c r="D2436" i="1"/>
  <c r="D2435" i="1"/>
  <c r="D2434" i="1"/>
  <c r="D2432" i="1"/>
  <c r="D2431" i="1"/>
  <c r="D2430" i="1"/>
  <c r="D2428" i="1"/>
  <c r="D2427" i="1"/>
  <c r="D2426" i="1"/>
  <c r="D2424" i="1"/>
  <c r="D2423" i="1"/>
  <c r="D2422" i="1"/>
  <c r="D2421" i="1"/>
  <c r="D2420" i="1"/>
  <c r="D2419" i="1"/>
  <c r="D2417" i="1"/>
  <c r="D2416" i="1"/>
  <c r="D2415" i="1"/>
  <c r="D2414" i="1"/>
  <c r="D2413" i="1"/>
  <c r="D2412" i="1"/>
  <c r="D2411" i="1"/>
  <c r="D2410" i="1"/>
  <c r="D2409" i="1"/>
  <c r="D2408" i="1"/>
  <c r="D2407" i="1"/>
  <c r="D2406" i="1"/>
  <c r="D2405" i="1"/>
  <c r="D2404" i="1"/>
  <c r="D2403" i="1"/>
  <c r="D2402" i="1"/>
  <c r="D2401" i="1"/>
  <c r="D2400" i="1"/>
  <c r="D2399" i="1"/>
  <c r="D2398" i="1"/>
  <c r="D2395" i="1"/>
  <c r="D2394" i="1"/>
  <c r="D2392" i="1"/>
  <c r="D2391" i="1"/>
  <c r="D2387" i="1"/>
  <c r="D2384" i="1" l="1"/>
  <c r="D2381" i="1"/>
  <c r="D2380" i="1"/>
  <c r="D2379" i="1"/>
  <c r="D2378" i="1"/>
  <c r="D2377" i="1"/>
  <c r="D2376" i="1"/>
  <c r="D2375" i="1"/>
  <c r="D2374" i="1"/>
  <c r="D2373" i="1"/>
  <c r="D2372" i="1"/>
  <c r="D2371" i="1"/>
  <c r="D2370" i="1"/>
  <c r="D2369" i="1"/>
  <c r="D2368" i="1"/>
  <c r="D2367" i="1"/>
  <c r="D2366" i="1"/>
  <c r="D2365" i="1"/>
  <c r="D2364" i="1"/>
  <c r="D2361" i="1"/>
  <c r="D2360" i="1"/>
  <c r="D2359" i="1"/>
  <c r="D2358" i="1"/>
  <c r="D2357" i="1"/>
  <c r="D2356" i="1"/>
  <c r="D2355" i="1"/>
  <c r="D2354" i="1"/>
  <c r="D2353" i="1"/>
  <c r="D2352" i="1"/>
  <c r="D2351" i="1"/>
  <c r="D2350" i="1"/>
  <c r="D2349" i="1"/>
  <c r="D2348" i="1"/>
  <c r="D2347" i="1"/>
  <c r="D2346" i="1"/>
  <c r="D2345" i="1"/>
  <c r="D2344" i="1"/>
  <c r="D2343" i="1"/>
  <c r="D2342" i="1"/>
  <c r="D2341" i="1"/>
  <c r="D2340" i="1"/>
  <c r="D2339" i="1"/>
  <c r="D2338" i="1"/>
  <c r="D2337" i="1"/>
  <c r="D2336" i="1"/>
  <c r="D2335" i="1"/>
  <c r="D2334" i="1"/>
  <c r="D2333" i="1"/>
  <c r="D2332" i="1"/>
  <c r="D2331" i="1"/>
  <c r="D2330" i="1"/>
  <c r="D2329" i="1"/>
  <c r="D2328" i="1"/>
  <c r="D2327" i="1"/>
  <c r="D2326" i="1"/>
  <c r="D2325" i="1"/>
  <c r="D2324" i="1"/>
  <c r="D2323" i="1"/>
  <c r="D2322" i="1"/>
  <c r="D2321" i="1"/>
  <c r="D2320" i="1"/>
  <c r="D2319" i="1"/>
  <c r="D2318" i="1"/>
  <c r="D2317" i="1"/>
  <c r="D2316" i="1"/>
  <c r="D2315" i="1"/>
  <c r="D2314" i="1"/>
  <c r="D2313" i="1"/>
  <c r="D2312" i="1"/>
  <c r="D2311" i="1"/>
  <c r="D2310" i="1"/>
  <c r="D2309" i="1"/>
  <c r="D2308" i="1"/>
  <c r="D2307" i="1"/>
  <c r="D2306" i="1"/>
  <c r="D2305" i="1"/>
  <c r="D2304" i="1"/>
  <c r="D2303" i="1"/>
  <c r="D2302" i="1"/>
  <c r="D2301" i="1"/>
  <c r="D2300" i="1"/>
  <c r="D2299" i="1"/>
  <c r="D2298" i="1"/>
  <c r="D2297" i="1"/>
  <c r="D2296" i="1"/>
  <c r="D2295" i="1"/>
  <c r="D2294" i="1"/>
  <c r="D2293" i="1"/>
  <c r="D2292" i="1"/>
  <c r="D2291" i="1"/>
  <c r="D2290" i="1"/>
  <c r="D2289" i="1"/>
  <c r="D2288" i="1"/>
  <c r="D2287" i="1"/>
  <c r="D2286" i="1"/>
  <c r="D2285" i="1"/>
  <c r="D2284" i="1"/>
  <c r="D2283" i="1"/>
  <c r="D2282" i="1"/>
  <c r="D2281" i="1"/>
  <c r="D2280" i="1"/>
  <c r="D2279" i="1"/>
  <c r="D2278" i="1"/>
  <c r="D2277" i="1"/>
  <c r="D2276" i="1"/>
  <c r="D2275" i="1"/>
  <c r="D2274" i="1"/>
  <c r="D2273" i="1"/>
  <c r="D2272" i="1"/>
  <c r="D2271" i="1"/>
  <c r="D2270" i="1"/>
  <c r="D2269" i="1"/>
  <c r="D2268" i="1"/>
  <c r="D2267" i="1"/>
  <c r="D2266" i="1"/>
  <c r="D2265" i="1"/>
  <c r="D2264" i="1"/>
  <c r="D2263" i="1"/>
  <c r="D2262" i="1"/>
  <c r="D2261" i="1"/>
  <c r="D2260" i="1"/>
  <c r="D2259" i="1"/>
  <c r="D2258" i="1"/>
  <c r="D2257" i="1"/>
  <c r="D2256" i="1"/>
  <c r="D2255" i="1"/>
  <c r="D2254" i="1"/>
  <c r="D2253" i="1"/>
  <c r="D2252" i="1"/>
  <c r="D2251" i="1"/>
  <c r="D2250" i="1"/>
  <c r="D2249" i="1"/>
  <c r="D2248" i="1"/>
  <c r="D2247" i="1"/>
  <c r="D2246" i="1"/>
  <c r="D2245" i="1"/>
  <c r="D2244" i="1"/>
  <c r="D2243" i="1"/>
  <c r="D2242" i="1"/>
  <c r="D2241" i="1"/>
  <c r="D2239" i="1"/>
  <c r="D2238" i="1"/>
  <c r="D2236" i="1"/>
  <c r="D2235" i="1"/>
  <c r="D2234" i="1"/>
  <c r="D2232" i="1"/>
  <c r="D2231" i="1"/>
  <c r="D2230" i="1"/>
  <c r="D2229" i="1"/>
  <c r="D2228" i="1"/>
  <c r="D2227" i="1"/>
  <c r="D2226" i="1"/>
  <c r="D2225" i="1"/>
  <c r="D2224" i="1"/>
  <c r="D2223" i="1"/>
  <c r="D2222" i="1"/>
  <c r="D2221" i="1"/>
  <c r="D2220" i="1"/>
  <c r="D2219" i="1"/>
  <c r="D2218" i="1"/>
  <c r="D2217" i="1"/>
  <c r="D2216" i="1"/>
  <c r="D2215" i="1"/>
  <c r="D2214" i="1"/>
  <c r="D2213" i="1"/>
  <c r="D2212" i="1"/>
  <c r="D2211" i="1"/>
  <c r="D2210" i="1"/>
  <c r="D2209" i="1"/>
  <c r="D2208" i="1"/>
  <c r="D2207" i="1"/>
  <c r="D2206" i="1"/>
  <c r="D2205" i="1"/>
  <c r="D2204" i="1"/>
  <c r="D2203" i="1"/>
  <c r="D2202" i="1"/>
  <c r="D2201" i="1"/>
  <c r="D2200" i="1"/>
  <c r="D2199" i="1"/>
  <c r="D2198" i="1"/>
  <c r="D2197" i="1"/>
  <c r="D2196" i="1"/>
  <c r="D2195" i="1"/>
  <c r="D2194" i="1"/>
  <c r="D2193" i="1"/>
  <c r="D2192" i="1"/>
  <c r="D2191" i="1"/>
  <c r="D2190" i="1"/>
  <c r="D2189" i="1"/>
  <c r="D2188" i="1"/>
  <c r="D2187" i="1"/>
  <c r="D2186" i="1"/>
  <c r="D2185" i="1"/>
  <c r="D2184" i="1"/>
  <c r="D2183" i="1"/>
  <c r="D2182" i="1"/>
  <c r="D2181" i="1"/>
  <c r="D2180" i="1"/>
  <c r="D2179" i="1"/>
  <c r="D2178" i="1"/>
  <c r="D2177" i="1"/>
  <c r="D2176" i="1"/>
  <c r="D2175" i="1"/>
  <c r="D2174" i="1"/>
  <c r="D2173" i="1"/>
  <c r="D2172" i="1"/>
  <c r="D2171" i="1"/>
  <c r="D2170" i="1"/>
  <c r="D2169" i="1"/>
  <c r="D2168" i="1"/>
  <c r="D2167" i="1"/>
  <c r="D2166" i="1"/>
  <c r="D2165" i="1"/>
  <c r="D2164" i="1"/>
  <c r="D2163" i="1"/>
  <c r="D2162" i="1"/>
  <c r="D2161" i="1"/>
  <c r="D2159" i="1"/>
  <c r="D2158" i="1"/>
  <c r="D2157" i="1"/>
  <c r="D2156" i="1"/>
  <c r="D2155" i="1"/>
  <c r="D2154" i="1"/>
  <c r="D2153" i="1"/>
  <c r="D2152" i="1"/>
  <c r="D2151" i="1"/>
  <c r="D2150" i="1"/>
  <c r="D2149" i="1"/>
  <c r="D2148" i="1"/>
  <c r="D2147" i="1"/>
  <c r="D2146" i="1"/>
  <c r="D2145" i="1"/>
  <c r="D2144" i="1"/>
  <c r="D2143" i="1"/>
  <c r="D2142" i="1"/>
  <c r="D2141" i="1"/>
  <c r="D2140" i="1"/>
  <c r="D2139" i="1"/>
  <c r="D2138" i="1"/>
  <c r="D2137" i="1"/>
  <c r="D2136" i="1"/>
  <c r="D2135" i="1"/>
  <c r="D2134" i="1"/>
  <c r="D2133" i="1"/>
  <c r="D2132" i="1"/>
  <c r="D2131" i="1"/>
  <c r="D2130" i="1"/>
  <c r="D2129" i="1"/>
  <c r="D2128" i="1"/>
  <c r="D2127" i="1"/>
  <c r="D2126" i="1"/>
  <c r="D2125" i="1"/>
  <c r="D2124" i="1"/>
  <c r="D2123" i="1"/>
  <c r="D2122" i="1"/>
  <c r="D2121" i="1"/>
  <c r="D2120" i="1"/>
  <c r="D2119" i="1"/>
  <c r="D2118" i="1"/>
  <c r="D2117" i="1"/>
  <c r="D2116" i="1"/>
  <c r="D2115" i="1"/>
  <c r="D2114" i="1"/>
  <c r="D2112" i="1"/>
  <c r="D2111" i="1"/>
  <c r="D2110" i="1"/>
  <c r="D2109" i="1"/>
  <c r="D2108" i="1"/>
  <c r="D2107" i="1"/>
  <c r="D2106" i="1"/>
  <c r="D2105" i="1"/>
  <c r="D2104" i="1"/>
  <c r="D2103" i="1"/>
  <c r="D2102" i="1"/>
  <c r="D2100" i="1"/>
  <c r="D2099" i="1"/>
  <c r="D2098" i="1"/>
  <c r="D2097" i="1"/>
  <c r="D2096" i="1"/>
  <c r="D2095" i="1"/>
  <c r="D2093" i="1"/>
  <c r="D2092" i="1"/>
  <c r="D2091" i="1"/>
  <c r="D2090" i="1"/>
  <c r="D2089" i="1"/>
  <c r="D2088" i="1"/>
  <c r="D2087" i="1"/>
  <c r="D2086" i="1"/>
  <c r="D2085" i="1"/>
  <c r="D2084" i="1"/>
  <c r="D2083" i="1"/>
  <c r="D2082" i="1"/>
  <c r="D2081" i="1"/>
  <c r="D2080" i="1"/>
  <c r="D2079" i="1"/>
  <c r="D2078" i="1"/>
  <c r="D2077" i="1"/>
  <c r="D2076" i="1"/>
  <c r="D2075" i="1"/>
  <c r="D2074" i="1"/>
  <c r="D2073" i="1"/>
  <c r="D2072" i="1"/>
  <c r="D2071" i="1"/>
  <c r="D2070" i="1"/>
  <c r="D2069" i="1"/>
  <c r="D2068" i="1"/>
  <c r="D2067" i="1"/>
  <c r="D2066" i="1"/>
  <c r="D2065" i="1"/>
  <c r="D2064" i="1"/>
  <c r="D2063" i="1"/>
  <c r="D2062" i="1"/>
  <c r="D2061" i="1"/>
  <c r="D2060" i="1"/>
  <c r="D2059" i="1"/>
  <c r="D2058" i="1"/>
  <c r="D2057" i="1"/>
  <c r="D2056" i="1"/>
  <c r="D2055" i="1"/>
  <c r="D2054" i="1"/>
  <c r="D2053" i="1"/>
  <c r="D2052" i="1"/>
  <c r="D2051" i="1"/>
  <c r="D2050" i="1"/>
  <c r="D2049" i="1"/>
  <c r="D2048" i="1"/>
  <c r="D2047" i="1"/>
  <c r="D2046" i="1"/>
  <c r="D2045" i="1"/>
  <c r="D2044" i="1"/>
  <c r="D2043" i="1"/>
  <c r="D2042" i="1"/>
  <c r="D2041" i="1"/>
  <c r="D2040" i="1"/>
  <c r="D2039" i="1"/>
  <c r="D2038" i="1"/>
  <c r="D2037" i="1"/>
  <c r="D2036" i="1"/>
  <c r="D2035" i="1"/>
  <c r="D2034" i="1"/>
  <c r="D2033" i="1"/>
  <c r="D2032" i="1"/>
  <c r="D2031" i="1"/>
  <c r="D2030" i="1"/>
  <c r="D2029" i="1"/>
  <c r="D2028" i="1"/>
  <c r="D2027" i="1"/>
  <c r="D2026" i="1"/>
  <c r="D2025" i="1"/>
  <c r="D2024" i="1"/>
  <c r="D2023" i="1"/>
  <c r="D2022" i="1"/>
  <c r="D2021" i="1"/>
  <c r="D2020" i="1"/>
  <c r="D2019" i="1"/>
  <c r="D2018" i="1"/>
  <c r="D2017" i="1"/>
  <c r="D2016" i="1"/>
  <c r="D2015" i="1"/>
  <c r="D2014" i="1"/>
  <c r="D2013" i="1"/>
  <c r="D2012" i="1"/>
  <c r="D2011" i="1"/>
  <c r="D2010" i="1"/>
  <c r="D2009" i="1"/>
  <c r="D2008" i="1"/>
  <c r="D2007" i="1"/>
  <c r="D2006" i="1"/>
  <c r="D2005" i="1"/>
  <c r="D2004" i="1"/>
  <c r="D2003" i="1"/>
  <c r="D2002" i="1"/>
  <c r="D2001" i="1"/>
  <c r="D2000" i="1"/>
  <c r="D1999" i="1"/>
  <c r="D1997" i="1"/>
  <c r="D1994" i="1"/>
  <c r="D1993" i="1"/>
  <c r="D1992" i="1"/>
  <c r="D1991" i="1"/>
  <c r="D1990" i="1"/>
  <c r="D1989" i="1"/>
  <c r="D1987" i="1"/>
  <c r="D1986" i="1"/>
  <c r="D1985" i="1"/>
  <c r="D1984" i="1"/>
  <c r="D1983" i="1"/>
  <c r="D1982" i="1"/>
  <c r="D1981" i="1"/>
  <c r="D1980" i="1"/>
  <c r="D1979" i="1"/>
  <c r="D1978" i="1"/>
  <c r="D1977" i="1"/>
  <c r="D1976" i="1"/>
  <c r="D1975" i="1"/>
  <c r="D1974" i="1"/>
  <c r="D1973" i="1"/>
  <c r="D1972" i="1"/>
  <c r="D1971" i="1"/>
  <c r="D1970" i="1"/>
  <c r="D1969" i="1"/>
  <c r="D1968" i="1"/>
  <c r="D1967" i="1"/>
  <c r="D1966" i="1"/>
  <c r="D1965" i="1"/>
  <c r="D1964" i="1"/>
  <c r="D1963" i="1"/>
  <c r="D1962" i="1"/>
  <c r="D1961" i="1"/>
  <c r="D1960" i="1"/>
  <c r="D1959" i="1"/>
  <c r="D1957" i="1"/>
  <c r="D1956" i="1"/>
  <c r="D1955" i="1"/>
  <c r="D1954" i="1"/>
  <c r="D1952" i="1"/>
  <c r="D1950" i="1"/>
  <c r="D1947" i="1"/>
  <c r="D1944" i="1"/>
  <c r="D1941" i="1" l="1"/>
  <c r="D1940" i="1"/>
  <c r="D1939" i="1"/>
  <c r="D1938" i="1"/>
  <c r="D1937" i="1"/>
  <c r="D1936" i="1"/>
  <c r="D1935" i="1"/>
  <c r="D1934" i="1"/>
  <c r="D1933" i="1"/>
  <c r="D1932" i="1"/>
  <c r="D1931" i="1"/>
  <c r="D1930" i="1"/>
  <c r="D1929" i="1"/>
  <c r="D1928" i="1"/>
  <c r="D1927" i="1"/>
  <c r="D1926" i="1"/>
  <c r="D1925" i="1"/>
  <c r="D1924" i="1"/>
  <c r="D1923" i="1"/>
  <c r="D1922" i="1"/>
  <c r="D1921" i="1"/>
  <c r="D1920" i="1"/>
  <c r="D1919" i="1"/>
  <c r="D1917" i="1"/>
  <c r="D1916" i="1"/>
  <c r="D1915" i="1"/>
  <c r="D1914" i="1"/>
  <c r="D1913" i="1"/>
  <c r="D1912" i="1"/>
  <c r="D1911" i="1"/>
  <c r="D1910" i="1"/>
  <c r="D1909" i="1"/>
  <c r="D1908" i="1"/>
  <c r="D1907" i="1"/>
  <c r="D1906" i="1"/>
  <c r="D1905" i="1"/>
  <c r="D1904" i="1"/>
  <c r="D1903" i="1"/>
  <c r="D1902" i="1"/>
  <c r="D1901" i="1"/>
  <c r="D1900" i="1"/>
  <c r="D1899" i="1"/>
  <c r="D1898" i="1"/>
  <c r="D1897" i="1"/>
  <c r="D1896" i="1"/>
  <c r="D1895" i="1"/>
  <c r="D1894" i="1"/>
  <c r="D1893" i="1"/>
  <c r="D1892" i="1"/>
  <c r="D1891" i="1"/>
  <c r="D1890" i="1"/>
  <c r="D1889" i="1"/>
  <c r="D1888" i="1"/>
  <c r="D1887" i="1"/>
  <c r="D1886" i="1"/>
  <c r="D1885" i="1"/>
  <c r="D1884" i="1"/>
  <c r="D1883" i="1"/>
  <c r="D1882" i="1"/>
  <c r="D1881" i="1"/>
  <c r="D1880" i="1"/>
  <c r="D1879" i="1"/>
  <c r="D1878" i="1"/>
  <c r="D1877" i="1"/>
  <c r="D1876" i="1"/>
  <c r="D1875" i="1"/>
  <c r="D1874" i="1"/>
  <c r="D1873" i="1"/>
  <c r="D1872" i="1"/>
  <c r="D1871" i="1"/>
  <c r="D1870" i="1"/>
  <c r="D1869" i="1"/>
  <c r="D1868" i="1"/>
  <c r="D1867" i="1"/>
  <c r="D1866" i="1"/>
  <c r="D1865" i="1"/>
  <c r="D1864" i="1"/>
  <c r="D1863" i="1"/>
  <c r="D1862" i="1"/>
  <c r="D1861" i="1"/>
  <c r="D1860" i="1"/>
  <c r="D1859" i="1"/>
  <c r="D1858" i="1"/>
  <c r="D1857" i="1"/>
  <c r="D1856" i="1"/>
  <c r="D1855" i="1"/>
  <c r="D1854" i="1"/>
  <c r="D1853" i="1"/>
  <c r="D1852" i="1"/>
  <c r="D1851" i="1"/>
  <c r="D1850" i="1"/>
  <c r="D1849" i="1"/>
  <c r="D1848" i="1"/>
  <c r="D1847" i="1"/>
  <c r="D1846" i="1"/>
  <c r="D1845" i="1"/>
  <c r="D1844" i="1"/>
  <c r="D1843" i="1"/>
  <c r="D1842" i="1"/>
  <c r="D1841" i="1"/>
  <c r="D1840" i="1"/>
  <c r="D1839" i="1"/>
  <c r="D1838" i="1"/>
  <c r="D1837" i="1"/>
  <c r="D1836" i="1"/>
  <c r="D1835" i="1"/>
  <c r="D1834" i="1"/>
  <c r="D1833" i="1"/>
  <c r="D1832" i="1"/>
  <c r="D1831" i="1"/>
  <c r="D1830" i="1"/>
  <c r="D1829" i="1"/>
  <c r="D1828" i="1"/>
  <c r="D1827" i="1"/>
  <c r="D1826" i="1"/>
  <c r="D1825" i="1"/>
  <c r="D1824" i="1"/>
  <c r="D1823" i="1"/>
  <c r="D1822" i="1"/>
  <c r="D1821" i="1"/>
  <c r="D1820" i="1"/>
  <c r="D1819" i="1"/>
  <c r="D1818" i="1"/>
  <c r="D1817" i="1"/>
  <c r="D1816" i="1"/>
  <c r="D1815" i="1"/>
  <c r="D1814" i="1"/>
  <c r="D1813" i="1"/>
  <c r="D1812" i="1"/>
  <c r="D1811" i="1"/>
  <c r="D1810" i="1"/>
  <c r="D1809" i="1"/>
  <c r="D1808" i="1"/>
  <c r="D1807" i="1"/>
  <c r="D1806" i="1"/>
  <c r="D1805" i="1"/>
  <c r="D1804" i="1"/>
  <c r="D1803" i="1"/>
  <c r="D1802" i="1"/>
  <c r="D1801" i="1"/>
  <c r="D1800" i="1"/>
  <c r="D1799" i="1"/>
  <c r="D1798" i="1"/>
  <c r="D1797" i="1"/>
  <c r="D1796" i="1"/>
  <c r="D1795" i="1"/>
  <c r="D1794" i="1"/>
  <c r="D1793" i="1"/>
  <c r="D1792" i="1"/>
  <c r="D1791" i="1"/>
  <c r="D1790" i="1"/>
  <c r="D1789" i="1"/>
  <c r="D1788" i="1"/>
  <c r="D1787" i="1"/>
  <c r="D1786" i="1"/>
  <c r="D1785" i="1"/>
  <c r="D1784" i="1"/>
  <c r="D1783" i="1"/>
  <c r="D1782" i="1"/>
  <c r="D1781" i="1"/>
  <c r="D1780" i="1"/>
  <c r="D1779" i="1"/>
  <c r="D1778" i="1"/>
  <c r="D1777" i="1"/>
  <c r="D1776" i="1"/>
  <c r="D1775" i="1"/>
  <c r="D1774" i="1"/>
  <c r="D1773" i="1"/>
  <c r="D1772" i="1"/>
  <c r="D1771" i="1"/>
  <c r="D1770" i="1"/>
  <c r="D1768" i="1"/>
  <c r="D1767" i="1"/>
  <c r="D1766" i="1"/>
  <c r="D1765" i="1"/>
  <c r="D1764" i="1"/>
  <c r="D1763" i="1"/>
  <c r="D1762" i="1"/>
  <c r="D1761" i="1"/>
  <c r="D1760" i="1"/>
  <c r="D1759" i="1"/>
  <c r="D1758" i="1"/>
  <c r="D1757" i="1"/>
  <c r="D1756" i="1"/>
  <c r="D1755" i="1"/>
  <c r="D1754" i="1"/>
  <c r="D1753" i="1"/>
  <c r="D1752" i="1"/>
  <c r="D1751" i="1"/>
  <c r="D1750" i="1"/>
  <c r="D1749" i="1"/>
  <c r="D1748" i="1"/>
  <c r="D1747" i="1"/>
  <c r="D1746" i="1"/>
  <c r="D1745" i="1"/>
  <c r="D1744" i="1"/>
  <c r="D1743" i="1"/>
  <c r="D1741" i="1"/>
  <c r="D1740" i="1"/>
  <c r="D1739" i="1"/>
  <c r="D1738" i="1"/>
  <c r="D1737" i="1"/>
  <c r="D1736" i="1"/>
  <c r="D1735" i="1"/>
  <c r="D1734" i="1"/>
  <c r="D1733" i="1"/>
  <c r="D1732" i="1"/>
  <c r="D1731" i="1"/>
  <c r="D1730" i="1"/>
  <c r="D1729" i="1"/>
  <c r="D1728" i="1"/>
  <c r="D1726" i="1"/>
  <c r="D1724" i="1"/>
  <c r="D1723" i="1"/>
  <c r="D1722" i="1"/>
  <c r="D1721" i="1"/>
  <c r="D1720" i="1"/>
  <c r="D1719" i="1"/>
  <c r="D1718" i="1"/>
  <c r="D1717" i="1"/>
  <c r="D1716" i="1"/>
  <c r="D1715" i="1"/>
  <c r="D1714" i="1"/>
  <c r="D1713" i="1"/>
  <c r="D1712" i="1"/>
  <c r="D1711" i="1"/>
  <c r="D1710" i="1"/>
  <c r="D1709" i="1"/>
  <c r="D1708" i="1"/>
  <c r="D1707" i="1"/>
  <c r="D1706" i="1"/>
  <c r="D1705" i="1"/>
  <c r="D1704" i="1"/>
  <c r="D1703" i="1"/>
  <c r="D1702" i="1"/>
  <c r="D1701" i="1"/>
  <c r="D1700" i="1"/>
  <c r="D1699" i="1"/>
  <c r="D1698" i="1"/>
  <c r="D1697" i="1"/>
  <c r="D1696" i="1"/>
  <c r="D1695" i="1"/>
  <c r="D1694" i="1"/>
  <c r="D1693" i="1"/>
  <c r="D1692" i="1"/>
  <c r="D1691" i="1"/>
  <c r="D1690" i="1"/>
  <c r="D1689" i="1"/>
  <c r="D1688" i="1"/>
  <c r="D1687" i="1"/>
  <c r="D1686" i="1"/>
  <c r="D1685" i="1"/>
  <c r="D1684" i="1"/>
  <c r="D1683" i="1"/>
  <c r="D1682" i="1"/>
  <c r="D1681" i="1"/>
  <c r="D1680" i="1"/>
  <c r="D1679" i="1"/>
  <c r="D1678" i="1"/>
  <c r="D1677" i="1"/>
  <c r="D1676" i="1"/>
  <c r="D1675" i="1"/>
  <c r="D1674" i="1"/>
  <c r="D1672" i="1"/>
  <c r="D1671" i="1"/>
  <c r="D1670" i="1"/>
  <c r="D1669" i="1"/>
  <c r="D1668" i="1"/>
  <c r="D1666" i="1"/>
  <c r="D1665" i="1"/>
  <c r="D1664" i="1"/>
  <c r="D1663" i="1"/>
  <c r="D1662" i="1"/>
  <c r="D1661" i="1"/>
  <c r="D1660" i="1"/>
  <c r="D1659" i="1"/>
  <c r="D1658" i="1"/>
  <c r="D1657" i="1"/>
  <c r="D1656" i="1"/>
  <c r="D1655" i="1"/>
  <c r="D1654" i="1"/>
  <c r="D1653" i="1"/>
  <c r="D1652" i="1"/>
  <c r="D1651" i="1"/>
  <c r="D1650" i="1"/>
  <c r="D1649" i="1"/>
  <c r="D1648" i="1"/>
  <c r="D1647" i="1"/>
  <c r="D1646" i="1"/>
  <c r="D1644" i="1"/>
  <c r="D1641" i="1"/>
  <c r="D1638" i="1"/>
  <c r="D1634" i="1"/>
  <c r="D1631" i="1" l="1"/>
  <c r="D1630" i="1"/>
  <c r="D1629" i="1"/>
  <c r="D1628" i="1"/>
  <c r="D1627" i="1"/>
  <c r="D1626" i="1"/>
  <c r="D1625" i="1"/>
  <c r="D1624" i="1"/>
  <c r="D1623" i="1"/>
  <c r="D1622" i="1"/>
  <c r="D1620" i="1"/>
  <c r="D1619" i="1"/>
  <c r="D1618" i="1"/>
  <c r="D1617" i="1"/>
  <c r="D1616" i="1"/>
  <c r="D1615" i="1"/>
  <c r="D1614" i="1"/>
  <c r="D1613" i="1"/>
  <c r="D1612" i="1"/>
  <c r="D1611" i="1"/>
  <c r="D1610" i="1"/>
  <c r="D1609" i="1"/>
  <c r="D1608" i="1"/>
  <c r="D1607" i="1"/>
  <c r="D1606" i="1"/>
  <c r="D1605" i="1"/>
  <c r="D1604" i="1"/>
  <c r="D1603" i="1"/>
  <c r="D1602" i="1"/>
  <c r="D1601" i="1"/>
  <c r="D1600" i="1"/>
  <c r="D1599" i="1"/>
  <c r="D1598" i="1"/>
  <c r="D1597" i="1"/>
  <c r="D1596" i="1"/>
  <c r="D1595" i="1"/>
  <c r="D1594" i="1"/>
  <c r="D1593" i="1"/>
  <c r="D1592" i="1"/>
  <c r="D1591" i="1"/>
  <c r="D1590" i="1"/>
  <c r="D1589" i="1"/>
  <c r="D1588" i="1"/>
  <c r="D1587" i="1"/>
  <c r="D1586" i="1"/>
  <c r="D1585" i="1"/>
  <c r="D1584" i="1"/>
  <c r="D1583" i="1"/>
  <c r="D1582" i="1"/>
  <c r="D1581" i="1"/>
  <c r="D1580" i="1"/>
  <c r="D1579" i="1"/>
  <c r="D1578" i="1"/>
  <c r="D1577" i="1"/>
  <c r="D1576" i="1"/>
  <c r="D1575" i="1"/>
  <c r="D1574" i="1"/>
  <c r="D1573" i="1"/>
  <c r="D1572" i="1"/>
  <c r="D1571" i="1"/>
  <c r="D1570" i="1"/>
  <c r="D1569" i="1"/>
  <c r="D1568" i="1"/>
  <c r="D1567" i="1"/>
  <c r="D1566" i="1"/>
  <c r="D1565" i="1"/>
  <c r="D1564" i="1"/>
  <c r="D1563" i="1"/>
  <c r="D1562" i="1"/>
  <c r="D1561" i="1"/>
  <c r="D1560" i="1"/>
  <c r="D1559" i="1"/>
  <c r="D1558" i="1"/>
  <c r="D1557" i="1"/>
  <c r="D1556" i="1"/>
  <c r="D1555" i="1"/>
  <c r="D1554" i="1"/>
  <c r="D1553" i="1"/>
  <c r="D1552" i="1"/>
  <c r="D1551" i="1"/>
  <c r="D1550" i="1"/>
  <c r="D1549" i="1"/>
  <c r="D1548" i="1"/>
  <c r="D1547" i="1"/>
  <c r="D1546" i="1"/>
  <c r="D1545" i="1"/>
  <c r="D1544" i="1"/>
  <c r="D1543" i="1"/>
  <c r="D1542" i="1"/>
  <c r="D1541" i="1"/>
  <c r="D1540" i="1"/>
  <c r="D1539" i="1"/>
  <c r="D1538" i="1"/>
  <c r="D1537" i="1"/>
  <c r="D1536" i="1"/>
  <c r="D1535" i="1"/>
  <c r="D1534" i="1"/>
  <c r="D1533" i="1"/>
  <c r="D1532" i="1"/>
  <c r="D1531" i="1"/>
  <c r="D1530" i="1"/>
  <c r="D1529" i="1"/>
  <c r="D1528" i="1"/>
  <c r="D1527" i="1"/>
  <c r="D1526" i="1"/>
  <c r="D1525" i="1"/>
  <c r="D1524" i="1"/>
  <c r="D1523" i="1"/>
  <c r="D1522" i="1"/>
  <c r="D1521" i="1"/>
  <c r="D1520" i="1"/>
  <c r="D1519" i="1"/>
  <c r="D1518" i="1"/>
  <c r="D1517" i="1"/>
  <c r="D1516" i="1"/>
  <c r="D1515" i="1"/>
  <c r="D1514" i="1"/>
  <c r="D1513" i="1"/>
  <c r="D1512" i="1"/>
  <c r="D1511" i="1"/>
  <c r="D1510" i="1"/>
  <c r="D1509" i="1"/>
  <c r="D1508" i="1"/>
  <c r="D1507" i="1"/>
  <c r="D1506" i="1"/>
  <c r="D1505" i="1"/>
  <c r="D1504" i="1"/>
  <c r="D1503" i="1"/>
  <c r="D1502" i="1"/>
  <c r="D1501" i="1"/>
  <c r="D1500" i="1"/>
  <c r="D1499" i="1"/>
  <c r="D1498" i="1"/>
  <c r="D1497" i="1"/>
  <c r="D1496" i="1"/>
  <c r="D1495" i="1"/>
  <c r="D1494" i="1"/>
  <c r="D1492" i="1"/>
  <c r="D1491" i="1"/>
  <c r="D1490" i="1"/>
  <c r="D1489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8" i="1"/>
  <c r="D1467" i="1"/>
  <c r="D1466" i="1"/>
  <c r="D1465" i="1"/>
  <c r="D1464" i="1"/>
  <c r="D1463" i="1"/>
  <c r="D1462" i="1"/>
  <c r="D1461" i="1"/>
  <c r="D1460" i="1"/>
  <c r="D1459" i="1"/>
  <c r="D1458" i="1"/>
  <c r="D1457" i="1"/>
  <c r="D1456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37" i="1"/>
  <c r="D1436" i="1"/>
  <c r="D1435" i="1"/>
  <c r="D1434" i="1"/>
  <c r="D1433" i="1"/>
  <c r="D1432" i="1"/>
  <c r="D1431" i="1"/>
  <c r="D1430" i="1"/>
  <c r="D1429" i="1"/>
  <c r="D1428" i="1"/>
  <c r="D1427" i="1"/>
  <c r="D1426" i="1"/>
  <c r="D1425" i="1"/>
  <c r="D1424" i="1"/>
  <c r="D1423" i="1"/>
  <c r="D1422" i="1"/>
  <c r="D1421" i="1"/>
  <c r="D1420" i="1"/>
  <c r="D1419" i="1"/>
  <c r="D1418" i="1"/>
  <c r="D1417" i="1"/>
  <c r="D1416" i="1"/>
  <c r="D1415" i="1"/>
  <c r="D1414" i="1"/>
  <c r="D1413" i="1"/>
  <c r="D1412" i="1"/>
  <c r="D1411" i="1"/>
  <c r="D1410" i="1"/>
  <c r="D1409" i="1"/>
  <c r="D1408" i="1"/>
  <c r="D1407" i="1"/>
  <c r="D1406" i="1"/>
  <c r="D1405" i="1"/>
  <c r="D1404" i="1"/>
  <c r="D1403" i="1"/>
  <c r="D1402" i="1"/>
  <c r="D1401" i="1"/>
  <c r="D1400" i="1"/>
  <c r="D1399" i="1"/>
  <c r="D1398" i="1"/>
  <c r="D1397" i="1"/>
  <c r="D1396" i="1"/>
  <c r="D1395" i="1"/>
  <c r="D1394" i="1"/>
  <c r="D1393" i="1"/>
  <c r="D1392" i="1"/>
  <c r="D1391" i="1"/>
  <c r="D1389" i="1"/>
  <c r="D1388" i="1"/>
  <c r="D1387" i="1"/>
  <c r="D1386" i="1"/>
  <c r="D1385" i="1"/>
  <c r="D1384" i="1"/>
  <c r="D1383" i="1"/>
  <c r="D1382" i="1"/>
  <c r="D1381" i="1"/>
  <c r="D1380" i="1"/>
  <c r="D1379" i="1"/>
  <c r="D1378" i="1"/>
  <c r="D1377" i="1"/>
  <c r="D1376" i="1"/>
  <c r="D1375" i="1"/>
  <c r="D1374" i="1"/>
  <c r="D1373" i="1"/>
  <c r="D1372" i="1"/>
  <c r="D1371" i="1"/>
  <c r="D1370" i="1"/>
  <c r="D1369" i="1"/>
  <c r="D1368" i="1"/>
  <c r="D1367" i="1"/>
  <c r="D1366" i="1"/>
  <c r="D1365" i="1"/>
  <c r="D1364" i="1"/>
  <c r="D1363" i="1"/>
  <c r="D1362" i="1"/>
  <c r="D1361" i="1"/>
  <c r="D1360" i="1"/>
  <c r="D1359" i="1"/>
  <c r="D1358" i="1"/>
  <c r="D1357" i="1"/>
  <c r="D1356" i="1"/>
  <c r="D1355" i="1"/>
  <c r="D1354" i="1"/>
  <c r="D1353" i="1"/>
  <c r="D1352" i="1"/>
  <c r="D1351" i="1"/>
  <c r="D1350" i="1"/>
  <c r="D1349" i="1"/>
  <c r="D1348" i="1"/>
  <c r="D1347" i="1"/>
  <c r="D1346" i="1"/>
  <c r="D1345" i="1"/>
  <c r="D1344" i="1"/>
  <c r="D1343" i="1"/>
  <c r="D1342" i="1"/>
  <c r="D1341" i="1"/>
  <c r="D1340" i="1"/>
  <c r="D1338" i="1"/>
  <c r="D1337" i="1"/>
  <c r="D1336" i="1"/>
  <c r="D1335" i="1"/>
  <c r="D1334" i="1"/>
  <c r="D1333" i="1"/>
  <c r="D1332" i="1"/>
  <c r="D1331" i="1"/>
  <c r="D1330" i="1"/>
  <c r="D1329" i="1"/>
  <c r="D1328" i="1"/>
  <c r="D1326" i="1"/>
  <c r="D1325" i="1"/>
  <c r="D1324" i="1"/>
  <c r="D1323" i="1"/>
  <c r="D1322" i="1"/>
  <c r="D1321" i="1"/>
  <c r="D1320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2" i="1"/>
  <c r="D1261" i="1"/>
  <c r="D1260" i="1"/>
  <c r="D1259" i="1"/>
  <c r="D1258" i="1"/>
  <c r="D1257" i="1"/>
  <c r="D1256" i="1"/>
  <c r="D1255" i="1"/>
  <c r="D1254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1" i="1"/>
  <c r="D1230" i="1"/>
  <c r="D1229" i="1"/>
  <c r="D1228" i="1"/>
  <c r="D1225" i="1"/>
  <c r="D1222" i="1"/>
  <c r="D1220" i="1"/>
  <c r="D1219" i="1"/>
  <c r="D1218" i="1"/>
  <c r="D1217" i="1"/>
  <c r="D1216" i="1"/>
  <c r="D1215" i="1"/>
  <c r="D1214" i="1"/>
  <c r="D1213" i="1"/>
  <c r="D1212" i="1"/>
  <c r="D1211" i="1"/>
  <c r="D1210" i="1"/>
  <c r="D1209" i="1"/>
  <c r="D1208" i="1"/>
  <c r="D1207" i="1"/>
  <c r="D1206" i="1"/>
  <c r="D1205" i="1"/>
  <c r="D1204" i="1"/>
  <c r="D1203" i="1"/>
  <c r="D1202" i="1"/>
  <c r="D1201" i="1"/>
  <c r="D1200" i="1"/>
  <c r="D1199" i="1"/>
  <c r="D1198" i="1"/>
  <c r="D1197" i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2" i="1"/>
  <c r="D1181" i="1"/>
  <c r="D1178" i="1"/>
  <c r="D1176" i="1"/>
  <c r="D1175" i="1"/>
  <c r="D1172" i="1"/>
  <c r="D1171" i="1"/>
  <c r="D1168" i="1" l="1"/>
  <c r="D1167" i="1"/>
  <c r="D1166" i="1"/>
  <c r="D1165" i="1"/>
  <c r="D1164" i="1"/>
  <c r="D1163" i="1"/>
  <c r="D1162" i="1"/>
  <c r="D1161" i="1"/>
  <c r="D1160" i="1"/>
  <c r="D1159" i="1"/>
  <c r="D1158" i="1"/>
  <c r="D1157" i="1"/>
  <c r="D1156" i="1"/>
  <c r="D1155" i="1"/>
  <c r="D1154" i="1"/>
  <c r="D1152" i="1"/>
  <c r="D1151" i="1"/>
  <c r="D1150" i="1"/>
  <c r="D1149" i="1"/>
  <c r="D1147" i="1"/>
  <c r="D1146" i="1"/>
  <c r="D1144" i="1"/>
  <c r="D1142" i="1"/>
  <c r="D1141" i="1"/>
  <c r="D1140" i="1"/>
  <c r="D1139" i="1"/>
  <c r="D1138" i="1"/>
  <c r="D1137" i="1"/>
  <c r="D1136" i="1"/>
  <c r="D1135" i="1"/>
  <c r="D1134" i="1"/>
  <c r="D1133" i="1"/>
  <c r="D1132" i="1"/>
  <c r="D1131" i="1"/>
  <c r="D1130" i="1"/>
  <c r="D1129" i="1"/>
  <c r="D1128" i="1"/>
  <c r="D1127" i="1"/>
  <c r="D1125" i="1"/>
  <c r="D1124" i="1"/>
  <c r="D1123" i="1"/>
  <c r="D1122" i="1"/>
  <c r="D1121" i="1"/>
  <c r="D1119" i="1"/>
  <c r="D4" i="1" l="1"/>
  <c r="D5" i="1"/>
  <c r="D6" i="1"/>
  <c r="D7" i="1"/>
  <c r="D8" i="1"/>
  <c r="D11" i="1"/>
  <c r="D14" i="1"/>
  <c r="D16" i="1"/>
  <c r="D18" i="1"/>
  <c r="D19" i="1"/>
  <c r="D20" i="1"/>
  <c r="D21" i="1"/>
  <c r="D22" i="1"/>
  <c r="D23" i="1"/>
  <c r="D24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2" i="1"/>
  <c r="D63" i="1"/>
  <c r="D65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40" i="1"/>
  <c r="D141" i="1"/>
  <c r="D142" i="1"/>
  <c r="D143" i="1"/>
  <c r="D145" i="1"/>
  <c r="D146" i="1"/>
  <c r="D147" i="1"/>
  <c r="D148" i="1"/>
  <c r="D149" i="1"/>
  <c r="D150" i="1"/>
  <c r="D151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4" i="1"/>
</calcChain>
</file>

<file path=xl/sharedStrings.xml><?xml version="1.0" encoding="utf-8"?>
<sst xmlns="http://schemas.openxmlformats.org/spreadsheetml/2006/main" count="34318" uniqueCount="8159">
  <si>
    <t>Component</t>
  </si>
  <si>
    <t>Component name</t>
  </si>
  <si>
    <t>Note number</t>
  </si>
  <si>
    <t>Note version</t>
  </si>
  <si>
    <t>Note description</t>
  </si>
  <si>
    <t>BW</t>
  </si>
  <si>
    <t>SAP Business Information Warehouse</t>
  </si>
  <si>
    <t>BW-BCT</t>
  </si>
  <si>
    <t>Business Content and Extractors</t>
  </si>
  <si>
    <t>BW-BCT-LSO</t>
  </si>
  <si>
    <t>SAP-Learning Solution</t>
  </si>
  <si>
    <t>Event costs are not extracted correctly</t>
  </si>
  <si>
    <t>BW-BCT-PA</t>
  </si>
  <si>
    <t>Personnel Management</t>
  </si>
  <si>
    <t>0EMPLOYEE_ATTR: Extraction job times out.</t>
  </si>
  <si>
    <t>0HR_PA_3: HRBAS00_GET_PROFL is implemented</t>
  </si>
  <si>
    <t>0HR_PA_3 DataSource: extraction structure extended</t>
  </si>
  <si>
    <t>BW-BCT-PY</t>
  </si>
  <si>
    <t>Payroll Accounting</t>
  </si>
  <si>
    <t>Payroll extractor 0HR_PY_1_CE with low time limit</t>
  </si>
  <si>
    <t>FI</t>
  </si>
  <si>
    <t>Financial Accounting</t>
  </si>
  <si>
    <t>FI-TV</t>
  </si>
  <si>
    <t>Business Trip Management</t>
  </si>
  <si>
    <t>FI-TV-COS</t>
  </si>
  <si>
    <t>Trip Costs</t>
  </si>
  <si>
    <t>Composite SAP Note for SAP_HR changes for EhP5</t>
  </si>
  <si>
    <t>PA</t>
  </si>
  <si>
    <t>PA-BN</t>
  </si>
  <si>
    <t>Benefits</t>
  </si>
  <si>
    <t>PA-BN-CE</t>
  </si>
  <si>
    <t>Concurrent Employment - Benefits</t>
  </si>
  <si>
    <t>BEN: Error during UGTLI processing for CE scenario.</t>
  </si>
  <si>
    <t>PA-OS</t>
  </si>
  <si>
    <t>Organizational Plan</t>
  </si>
  <si>
    <t>PA-OS-ST</t>
  </si>
  <si>
    <t>Staffing</t>
  </si>
  <si>
    <t>Checkman correction</t>
  </si>
  <si>
    <t>PA-PA</t>
  </si>
  <si>
    <t>Personnel Administration</t>
  </si>
  <si>
    <t>PA-PA-AT</t>
  </si>
  <si>
    <t>Austria</t>
  </si>
  <si>
    <t>RPBARBA0: Fehler im PDF Formular HR_AT_ARBESCH</t>
  </si>
  <si>
    <t>Bescheinigungswesen: #-Zeichen im Formular HR_AT_AUSGTVERST</t>
  </si>
  <si>
    <t>PA-PA-BE</t>
  </si>
  <si>
    <t>Belgium</t>
  </si>
  <si>
    <t>Infotype 3270 - Time constraint 2 not working</t>
  </si>
  <si>
    <t>Improvements for infotype Indemnity definition (3270)</t>
  </si>
  <si>
    <t>PA-PA-CN</t>
  </si>
  <si>
    <t>China</t>
  </si>
  <si>
    <t>CN: dummy note to extend WA_SI-EERAT and WA_SI-ERRAT</t>
  </si>
  <si>
    <t>PA-PA-DE</t>
  </si>
  <si>
    <t>Germany</t>
  </si>
  <si>
    <t>Editorial changes in RPUDESTROY_ABSENCE</t>
  </si>
  <si>
    <t>PA-PA-FI</t>
  </si>
  <si>
    <t>Finland</t>
  </si>
  <si>
    <t>Issue with layout of infotype 0206</t>
  </si>
  <si>
    <t>PA-PA-FR</t>
  </si>
  <si>
    <t>France</t>
  </si>
  <si>
    <t>PA-PA-FR-TNM</t>
  </si>
  <si>
    <t>Training Need Management</t>
  </si>
  <si>
    <t>Copy of Infotypes 1036 and 1685 from object D to E</t>
  </si>
  <si>
    <t>Content of Reporting tabstrip disappearing when navigating</t>
  </si>
  <si>
    <t>2483: Wages outside declaration year also included in G17</t>
  </si>
  <si>
    <t>TNM: Snapshot data incorrect &amp; Reg. compliance validation</t>
  </si>
  <si>
    <t>TN status history log: user not stored, date not modifiable</t>
  </si>
  <si>
    <t>DBIF_RSQL_INVALID_RSQL dump when creating E objects</t>
  </si>
  <si>
    <t>Authorizations checked for determining number of attendees</t>
  </si>
  <si>
    <t>2483: sum fields not equal to sum of corresponding fields</t>
  </si>
  <si>
    <t>TNM: Modifying regulatory compliance entries causes dump</t>
  </si>
  <si>
    <t>PA-PA-ID</t>
  </si>
  <si>
    <t>Indonesia</t>
  </si>
  <si>
    <t>IT0021: Birth date in overview screen not fully displayed</t>
  </si>
  <si>
    <t>PA-PA-IN</t>
  </si>
  <si>
    <t>India</t>
  </si>
  <si>
    <t>Correction for IT declaration</t>
  </si>
  <si>
    <t>PA-PA-IT</t>
  </si>
  <si>
    <t>Italy</t>
  </si>
  <si>
    <t>Checkman corrections</t>
  </si>
  <si>
    <t>PA-PA-JP</t>
  </si>
  <si>
    <t>Japan</t>
  </si>
  <si>
    <t>T511K: Value Changed for Entry 'FLEXP'</t>
  </si>
  <si>
    <t>note for linc&amp;VAN project</t>
  </si>
  <si>
    <t>PA30:IT0142 Residence tax Popup Error When Creating Entry</t>
  </si>
  <si>
    <t>IT0021: Chang Field Label for Ded.for dependent</t>
  </si>
  <si>
    <t>Dummy note for EhP6 project</t>
  </si>
  <si>
    <t>PA-PA-KR</t>
  </si>
  <si>
    <t>South Korea</t>
  </si>
  <si>
    <t>IT0718:Unlock Record and Correct Family Member Saved Value</t>
  </si>
  <si>
    <t>PA-PA-MY</t>
  </si>
  <si>
    <t>Malaysia</t>
  </si>
  <si>
    <t>Legal Change:CP22 form bilingual layout</t>
  </si>
  <si>
    <t>PA-PA-RU</t>
  </si>
  <si>
    <t>HR master data: Russia</t>
  </si>
  <si>
    <t>UI BADI for infotype 2001 (screen 2033)</t>
  </si>
  <si>
    <t>T7RUP0:Error Occurs When Copying or Deleting Personn Subarea</t>
  </si>
  <si>
    <t>HR-RU: Empty time table in form T-13</t>
  </si>
  <si>
    <t>HR-RU: Runtime error BCD_FIELD_OVERFLOW in IT0292</t>
  </si>
  <si>
    <t>HR-RU: Empty Employee personnel number</t>
  </si>
  <si>
    <t>Errors on archiving HR-RU orders</t>
  </si>
  <si>
    <t>HR-RU: Checkman corrections</t>
  </si>
  <si>
    <t>HRULP4: Processing of wage types, customized as 'For-period'</t>
  </si>
  <si>
    <t>ADV-1, ADV-2, ADV-3 layout issues</t>
  </si>
  <si>
    <t>PA-PA-TH</t>
  </si>
  <si>
    <t>Thailand</t>
  </si>
  <si>
    <t>Disabled dependent field(s) enhanced in BAPI: BAPIP0364</t>
  </si>
  <si>
    <t>PZ51: Fields missing in Thai Tax Screen</t>
  </si>
  <si>
    <t>PA-PA-US</t>
  </si>
  <si>
    <t>USA</t>
  </si>
  <si>
    <t>New Hire Reporting for State of NY</t>
  </si>
  <si>
    <t>Short dump in PZ10 transaction</t>
  </si>
  <si>
    <t>PA-PA-US-BN</t>
  </si>
  <si>
    <t>Benefits USA</t>
  </si>
  <si>
    <t>BEN: Note 1090430 makes this Note retract Note 964457.</t>
  </si>
  <si>
    <t>PA-PA-US-FML</t>
  </si>
  <si>
    <t>FMLA (Family Medical Leave Act)</t>
  </si>
  <si>
    <t>FMLA: Cannot link absences to FMLA requests.</t>
  </si>
  <si>
    <t>FMLA: Eligibility determination in FMLA Workbench</t>
  </si>
  <si>
    <t>PA-PF</t>
  </si>
  <si>
    <t>Pension Schemes</t>
  </si>
  <si>
    <t>PA-PF-CH</t>
  </si>
  <si>
    <t>Pension Fund Switzerland</t>
  </si>
  <si>
    <t>Singel payments: Error message for IBAN without bank account</t>
  </si>
  <si>
    <t>PA-PF-DE</t>
  </si>
  <si>
    <t>Company Pension Scheme Germany</t>
  </si>
  <si>
    <t>Pension rcpt notification: Appl. server file name truncated</t>
  </si>
  <si>
    <t>PE</t>
  </si>
  <si>
    <t>Training and Event Management</t>
  </si>
  <si>
    <t>PE-OF</t>
  </si>
  <si>
    <t>Business Event Catalog</t>
  </si>
  <si>
    <t>Incorrect availability indicator in ITS (PV7I) transaction</t>
  </si>
  <si>
    <t>PY</t>
  </si>
  <si>
    <t>Payroll</t>
  </si>
  <si>
    <t>PY-AR</t>
  </si>
  <si>
    <t>Argentina</t>
  </si>
  <si>
    <t>Res. 135/09 - Base Remun. Social Ins. Withholdings-HARCLPD0</t>
  </si>
  <si>
    <t>Dump on HARUTAX0 when more than 101 employees are selected</t>
  </si>
  <si>
    <t>SICOSS - Res. 36/09 reports different maternity leave</t>
  </si>
  <si>
    <t>SICOSS is duplicating review situations</t>
  </si>
  <si>
    <t>Error SICOSS when there is Maternity License</t>
  </si>
  <si>
    <t>Incorrect search for constant SESTD for vacation limit</t>
  </si>
  <si>
    <t>PY-AT</t>
  </si>
  <si>
    <t>RPTNSHA0: BerÃ¼cksichtigung von Zeitauswertungsergebnissen</t>
  </si>
  <si>
    <t>PfÃ¤ndung: Verdopplung des Anzahlfeldes der Lohnart /PU0</t>
  </si>
  <si>
    <t>PfÃ¤ndung: Abbruch der Massenermittlung bei RR-Vorjahr</t>
  </si>
  <si>
    <t>Lohnart /9VA im Austrittsmonat falsch ausgewiesen</t>
  </si>
  <si>
    <t>ELDA: Warnung 650 TAMO (Tabakmonopolgesetz) ist zu befuellen</t>
  </si>
  <si>
    <t>Beitragsnachweisung: Verrechnungsgruppe N25a fehlerhaft</t>
  </si>
  <si>
    <t>PCALZ: PDF Formular HR_AT_LZ_GLZ_02 hat nur zwei Seiten</t>
  </si>
  <si>
    <t>Doku ErgÃ¤nzungen AT</t>
  </si>
  <si>
    <t>SV-Berechnung bei Urlaubsersatzleistung fehlerhaft</t>
  </si>
  <si>
    <t>PCALZ: Lohnzettelkategorie beim Austritt</t>
  </si>
  <si>
    <t>PY-AT-PS</t>
  </si>
  <si>
    <t>Public Sector</t>
  </si>
  <si>
    <t>RPCSVBA2PBS: Fehlerhafte LKU wegen falscher Region</t>
  </si>
  <si>
    <t>PY-AU</t>
  </si>
  <si>
    <t>Australia</t>
  </si>
  <si>
    <t>general usability enhancements</t>
  </si>
  <si>
    <t>Cents ignored from back payment across fiscal year.</t>
  </si>
  <si>
    <t>Payment Summary enhanced with option 'Spool Generation'</t>
  </si>
  <si>
    <t>TFN Report: Changes for SFSS status field</t>
  </si>
  <si>
    <t>Payment summary corrections for workplace Giving &gt;=1000</t>
  </si>
  <si>
    <t>ATO report corrections for BDC update</t>
  </si>
  <si>
    <t>Lump Sum D payments based on prev year's threshold</t>
  </si>
  <si>
    <t>Payment summary does not have tax free component</t>
  </si>
  <si>
    <t>Corrections provided for access to subtypes of IT0105.</t>
  </si>
  <si>
    <t>SFSS flag displayed incorrect in TFN report.</t>
  </si>
  <si>
    <t>ATO TFN Declaration report generates date incorrectly.</t>
  </si>
  <si>
    <t>PY-AU-CE</t>
  </si>
  <si>
    <t>Concurrent Employment - Payroll Australia</t>
  </si>
  <si>
    <t>PS rejects CE employee with 1 assignment in different fin yr</t>
  </si>
  <si>
    <t>PY-AU-PS</t>
  </si>
  <si>
    <t>Tax incorrect for vol.redundancy payments with Emp aged &gt;65</t>
  </si>
  <si>
    <t>PY-BE</t>
  </si>
  <si>
    <t>Function BPF00: Dump when Net for garnishment &gt; 99999,99</t>
  </si>
  <si>
    <t>Legal Changes for DmfA/DmfAPPL, Quarter 3 2010</t>
  </si>
  <si>
    <t>Tax calc: Performance issue in payroll functions BST00/BALLW</t>
  </si>
  <si>
    <t>Infotype 3270 - Field FPAGE not updated in any case</t>
  </si>
  <si>
    <t>Dimona 2010 - Preparation and notification management</t>
  </si>
  <si>
    <t>Tax base for tax reduction not correct</t>
  </si>
  <si>
    <t>Dimona 2010 - Not Relevant Cancel Declaration generated</t>
  </si>
  <si>
    <t>DmfA Update Declaration:Incorrect worker record when deleted</t>
  </si>
  <si>
    <t>Dimona: Disablement of split XML download</t>
  </si>
  <si>
    <t>DeCavaA/DmfA Update Declaration: Wrong SI source built (CI)</t>
  </si>
  <si>
    <t>Dimona 2010: Notification - Changes release 2010/3 (2)</t>
  </si>
  <si>
    <t>Dimona 2010 : Populate Employment Key when Cancel</t>
  </si>
  <si>
    <t>DeCava: Contrib. type 2 incompatible with contribution 295</t>
  </si>
  <si>
    <t>DeCava/DmfA: Wrong Resumption of work measure value</t>
  </si>
  <si>
    <t>DeCava/DmfA: Not all CI contributions declared</t>
  </si>
  <si>
    <t>PY-BE-PS</t>
  </si>
  <si>
    <t>HR-BE: Quality Improvements</t>
  </si>
  <si>
    <t>PY-BR</t>
  </si>
  <si>
    <t>Brazil</t>
  </si>
  <si>
    <t>Adjustment of Checkman errors (BR) (don't release it)</t>
  </si>
  <si>
    <t>Port. 1510-Report to indicate reason for deleted time events</t>
  </si>
  <si>
    <t>HR-BR: Documentation for electronic time clock record</t>
  </si>
  <si>
    <t>Time Statement Form (Espelho do Ponto) - Corrections</t>
  </si>
  <si>
    <t>Import AFD file - PERNR (HBRTMIF0)</t>
  </si>
  <si>
    <t>Portaria 1510 AFDT - Only Intervals are being displayed</t>
  </si>
  <si>
    <t>Ordinance 1510 - Adjustments to Standard Solution</t>
  </si>
  <si>
    <t>HBRCGRH0: Transaction to access the report</t>
  </si>
  <si>
    <t>PY-CA</t>
  </si>
  <si>
    <t>Canada</t>
  </si>
  <si>
    <t>Checkman Errors - Payroll Canada</t>
  </si>
  <si>
    <t>XML: Quality improvements to CA Reports</t>
  </si>
  <si>
    <t>CSST :  Legislative change to CSST remittance</t>
  </si>
  <si>
    <t>TAX : Corrections to bonus calculations</t>
  </si>
  <si>
    <t>PY-CH</t>
  </si>
  <si>
    <t>Switzerland</t>
  </si>
  <si>
    <t>Checkman</t>
  </si>
  <si>
    <t>FamZReg: Problems when importing TemSe file in B2A Manager</t>
  </si>
  <si>
    <t>Customer insurance (CUS1,2,3): Incorr. basis w/ retro. acctg</t>
  </si>
  <si>
    <t>Documentation enhancement for family-related bonus register</t>
  </si>
  <si>
    <t>PY-CL</t>
  </si>
  <si>
    <t>Chile</t>
  </si>
  <si>
    <t>PY-CL: Reliquidation over Legacy Data report</t>
  </si>
  <si>
    <t>PY-CL: Wrong IT3213 Instutions name in Payslip</t>
  </si>
  <si>
    <t>PY-CL: Enhancements and Corrections in Previred report</t>
  </si>
  <si>
    <t>PY-CL: Pension Plan limits changes</t>
  </si>
  <si>
    <t>PY-CL: Retroactive payments and salary changes</t>
  </si>
  <si>
    <t>PY-CL: Garnishments general enhancements/corrections</t>
  </si>
  <si>
    <t>PY-CL: New constant for Vacation Provision</t>
  </si>
  <si>
    <t>PY-CL: Table view V_T7CL15 authorization group change</t>
  </si>
  <si>
    <t>PY-CN</t>
  </si>
  <si>
    <t>DUMMY Note for EHP 6 Project China Corporate Pension</t>
  </si>
  <si>
    <t>Individual Tax Report (CN) Enhancement</t>
  </si>
  <si>
    <t>PY-DE</t>
  </si>
  <si>
    <t>PY-DE-BA</t>
  </si>
  <si>
    <t>Business to Administration</t>
  </si>
  <si>
    <t>SI: Monitors of PSEs for SI - SSF_ALERT_CERTEXPIRE</t>
  </si>
  <si>
    <t>ETNotif./ETStmt: Advance delivery for schemas ELSTER 2011</t>
  </si>
  <si>
    <t>SI: Changes to the sending of e-mails in a test system</t>
  </si>
  <si>
    <t>PY-DE-CI</t>
  </si>
  <si>
    <t>Construction Industry</t>
  </si>
  <si>
    <t>Season reduced working hours: Constants for 2011/2012</t>
  </si>
  <si>
    <t>PY-DE-FP</t>
  </si>
  <si>
    <t>Final Payroll Processing</t>
  </si>
  <si>
    <t>PY-DE-FP-DU</t>
  </si>
  <si>
    <t>DEUEV/Miners' DEUEV</t>
  </si>
  <si>
    <t>DEUEV(UVMG): Corrections VIII</t>
  </si>
  <si>
    <t>DEUEV: Incorrect sorting of notification file for reversals</t>
  </si>
  <si>
    <t>DEUEV: Rejection of DEUEV notifications with error DBME 070</t>
  </si>
  <si>
    <t>PY-DE-FP-EL</t>
  </si>
  <si>
    <t>ELENA</t>
  </si>
  <si>
    <t>ELENA: No assignment of unassigned notifications</t>
  </si>
  <si>
    <t>ELENA: Duplicate Reversal Notifications</t>
  </si>
  <si>
    <t>PY-DE-FP-PJ</t>
  </si>
  <si>
    <t>Remuneration Statement, Payroll Account, Payroll Journal</t>
  </si>
  <si>
    <t>Imputed income for family trips home (wage type /429)</t>
  </si>
  <si>
    <t>Cumulation missing for total gross amount + net amount (II)</t>
  </si>
  <si>
    <t>PY-DE-NT</t>
  </si>
  <si>
    <t>Net</t>
  </si>
  <si>
    <t>PY-DE-NT-CI</t>
  </si>
  <si>
    <t>Company Insurance</t>
  </si>
  <si>
    <t>Mapping BVV in German Pension Reform</t>
  </si>
  <si>
    <t>PY-DE-NT-GR</t>
  </si>
  <si>
    <t>Garnishment/Cession</t>
  </si>
  <si>
    <t>Garn acc to gross method: Distribution of statutory deductns</t>
  </si>
  <si>
    <t>PY-DE-NT-NI</t>
  </si>
  <si>
    <t>Social Insurance</t>
  </si>
  <si>
    <t>Using SHI communications server for paying offices</t>
  </si>
  <si>
    <t>SI Reporting: Setting the Start Date in P01SV_MLDAUFR</t>
  </si>
  <si>
    <t>Paying office procedure: Err confirmtn w/ incorr case number</t>
  </si>
  <si>
    <t>Paying Office Procedure: Importing HI Fund Notifications</t>
  </si>
  <si>
    <t>PY-DE-NT-TX</t>
  </si>
  <si>
    <t>Tax</t>
  </si>
  <si>
    <t>BI to restrict basic rates for private HI and CI</t>
  </si>
  <si>
    <t>ELSTER II - Query the Tax ID: Overseas Addresses</t>
  </si>
  <si>
    <t>ETStmt: Changes 11/2010</t>
  </si>
  <si>
    <t>Error in the Tax Calculation</t>
  </si>
  <si>
    <t>Correction Adjustment RPIJSTD0 for Year Change 2010/2011</t>
  </si>
  <si>
    <t>Dump in Test Report RPUTX5D0</t>
  </si>
  <si>
    <t>Elster II - adjustments (2) RPUTXED0 and RPUTXCD0 Nov. 2010</t>
  </si>
  <si>
    <t>PY-DE-PS</t>
  </si>
  <si>
    <t>Overtime for part-time public sector employees</t>
  </si>
  <si>
    <t>ZfA/RBM: New methods for application server</t>
  </si>
  <si>
    <t>New values for non-monetary remuneration as of 2011</t>
  </si>
  <si>
    <t>ZfA: Application server file name is truncated (part II)</t>
  </si>
  <si>
    <t>ZfA: Messages contain untranslated character strings</t>
  </si>
  <si>
    <t>Classification of Pay Scale Groups: Unwanted Change</t>
  </si>
  <si>
    <t>A Maximum of 21 Wage Types Can Be Entered in Infotype 0008</t>
  </si>
  <si>
    <t>PY-DE-PS-NV</t>
  </si>
  <si>
    <t>Retroactive Pension Insurance</t>
  </si>
  <si>
    <t>Posting Run Cannot Be Reversed</t>
  </si>
  <si>
    <t>PY-DE-PS-VA</t>
  </si>
  <si>
    <t>Pension Administration</t>
  </si>
  <si>
    <t>Susp. Rule S.54 BeamtVG in Con. with S.55 and S.14.5 (II)</t>
  </si>
  <si>
    <t>Public Services regulatn, state of Bavaria: Phase 3, part 1</t>
  </si>
  <si>
    <t>Missing Consideration of Adjustment S.69e for Reduction S.57</t>
  </si>
  <si>
    <t>Display of Incorrect Results in Attachment Bonuses Sec. 50</t>
  </si>
  <si>
    <t>Susp. Rule S.54 BeamtVG in Con. with S.55 and S.14.5 (III)</t>
  </si>
  <si>
    <t>Termination of payroll due to missing infotype 0001</t>
  </si>
  <si>
    <t>Eighth adjustment according to section 69e BeamtVG III</t>
  </si>
  <si>
    <t>PY-DE-PS-ZV</t>
  </si>
  <si>
    <t>Supplemental Pension</t>
  </si>
  <si>
    <t>Check for birth of child too strict</t>
  </si>
  <si>
    <t>Distributed Data Medium Generation Terminates with Error</t>
  </si>
  <si>
    <t>Problems with DOZV KONT for Work Center Split</t>
  </si>
  <si>
    <t>PY-DE-RP</t>
  </si>
  <si>
    <t>Reporting</t>
  </si>
  <si>
    <t>PY-DE-RP-ST</t>
  </si>
  <si>
    <t>Statements</t>
  </si>
  <si>
    <t>Corrections to Statements 11/2010</t>
  </si>
  <si>
    <t>Error for new version of stmnt of earnings for sick pay</t>
  </si>
  <si>
    <t>PY-ES</t>
  </si>
  <si>
    <t>Spain</t>
  </si>
  <si>
    <t>Massive IRPF Generation EHp6</t>
  </si>
  <si>
    <t>Garnishment: Priority changes when copying a garnishment</t>
  </si>
  <si>
    <t>TC: Incorrect qualificator for Return of allowances</t>
  </si>
  <si>
    <t>FDI: Wrong CCC in FDI file</t>
  </si>
  <si>
    <t>Functionality to discover the PERNR from NIF</t>
  </si>
  <si>
    <t>Contrat@ - new contract schemas of Real Decreto-Ley 10/2010</t>
  </si>
  <si>
    <t>CALC: 1 cent rounding error in ILT and IMS quotas</t>
  </si>
  <si>
    <t>RPCTC0E0 L13 complementary without days in DAT segment</t>
  </si>
  <si>
    <t>Contrat@: Problems updating the errors list of infotype 0480</t>
  </si>
  <si>
    <t>RDL 10/2010: End of bonification 0077 for contract 109</t>
  </si>
  <si>
    <t>FDI: Error en PA0768-FECON por registro bloqueado en 2001</t>
  </si>
  <si>
    <t>Error in limited bonifications (RDL 2010/10)</t>
  </si>
  <si>
    <t>Correction in the texts of form TC1</t>
  </si>
  <si>
    <t>IRPF: Wrong accumulation of data from infotype 0006</t>
  </si>
  <si>
    <t>CALC: Invalid ILT and IMS contributions when no IT entrance</t>
  </si>
  <si>
    <t>RPCTC0E0 negative complementary without basis diff.</t>
  </si>
  <si>
    <t>RPCTC0E0 BA01 without BA02 in L00</t>
  </si>
  <si>
    <t>Certific@2: Corrections IV - missing customizing entries</t>
  </si>
  <si>
    <t>PY-FI</t>
  </si>
  <si>
    <t>HFILTAX0 Incorrect reporting of Tax code 111 and 325</t>
  </si>
  <si>
    <t>FIVAC Retro runs of off cycle payrolls are not processed</t>
  </si>
  <si>
    <t>Garnishment Legal change 2010</t>
  </si>
  <si>
    <t>PY-FR</t>
  </si>
  <si>
    <t>Wage type /269 used for two Reductions (Fillon and TEPA)</t>
  </si>
  <si>
    <t>RPLDH3F0: Legal evolution</t>
  </si>
  <si>
    <t>Absences spanning non-working days are split on payslip</t>
  </si>
  <si>
    <t>DADS-U contrÃ´le: redesign (2)</t>
  </si>
  <si>
    <t>RPLANCF1: errors in field "Part dans l'effectif"</t>
  </si>
  <si>
    <t>Standard entries for IJMAX in T511K with wrong periods</t>
  </si>
  <si>
    <t>DADS-U: S45 "ElÃ©ments de rÃ©munÃ©ration" not filled</t>
  </si>
  <si>
    <t>Useless SV splits autom. generated; no SV split by add. cont</t>
  </si>
  <si>
    <t>RPCEDTF0: Wrong display of Infotype0217 data in payroll-slip</t>
  </si>
  <si>
    <t>PY-FR: T5F5P Texts are missing or in a wrong language</t>
  </si>
  <si>
    <t>Hiring declaration (RPLDUEF0) - error when getting contribut</t>
  </si>
  <si>
    <t>Employee Register (RPLRPSF1) - professionalContract</t>
  </si>
  <si>
    <t>DADS-U: wrong table assigned to customizing activity</t>
  </si>
  <si>
    <t>DADS-U S51 section not generated if a SIRET is selected</t>
  </si>
  <si>
    <t>PY-GB</t>
  </si>
  <si>
    <t>United Kingdom</t>
  </si>
  <si>
    <t>GB : Usability Note</t>
  </si>
  <si>
    <t>HRGB: Quality improvements to GB Reports</t>
  </si>
  <si>
    <t>PY-GB-PS</t>
  </si>
  <si>
    <t>Report RPUCLSG0 shows incorrect birth date format</t>
  </si>
  <si>
    <t>PY-GB-RP</t>
  </si>
  <si>
    <t>PY-GB-RP-SR</t>
  </si>
  <si>
    <t>Statutory reporting</t>
  </si>
  <si>
    <t>Resetting Inyear Movements Notification Status</t>
  </si>
  <si>
    <t>PY-HK</t>
  </si>
  <si>
    <t>Hong Kong</t>
  </si>
  <si>
    <t>IR56 Form 2010 Format Adjustment</t>
  </si>
  <si>
    <t>PY-ID</t>
  </si>
  <si>
    <t>Incorrect tax reporting in Annual/Monthly Report Indonesia</t>
  </si>
  <si>
    <t>PY-IE</t>
  </si>
  <si>
    <t>Ireland</t>
  </si>
  <si>
    <t>Ireland Test Note</t>
  </si>
  <si>
    <t>PY IE: Pension related Deduction</t>
  </si>
  <si>
    <t>Incorrect Income Levy Annualisation for AHP scenario</t>
  </si>
  <si>
    <t>PY-IN</t>
  </si>
  <si>
    <t>Madhya pradesh Profession tax calculated incorrectly</t>
  </si>
  <si>
    <t>ESS: Form 16 not displayed based on company code</t>
  </si>
  <si>
    <t>Form 16 reports displays runtime error in release ECC 6.04</t>
  </si>
  <si>
    <t>Inconsistent in VPF contribution if more than 1 EPF split</t>
  </si>
  <si>
    <t>Madhya Pradesh PTax-Inconsistent in case of mid year leaving</t>
  </si>
  <si>
    <t>Key fields unavailable in BADI for address, marginal tax cal</t>
  </si>
  <si>
    <t>Legal Changes: Form 24Q changes in validation utility</t>
  </si>
  <si>
    <t>PY-IN-PS</t>
  </si>
  <si>
    <t>INDIA PUBLIC SECTOR</t>
  </si>
  <si>
    <t>INPS: New ESS Service - Income Tax Projection Statement</t>
  </si>
  <si>
    <t>PY-IT</t>
  </si>
  <si>
    <t>HR-IT: XNAB &amp; ITASS Corrections</t>
  </si>
  <si>
    <t>HR-IT: UniEmens 9.5</t>
  </si>
  <si>
    <t>HR-IT: Problems in foreign keys of table T5ITGG</t>
  </si>
  <si>
    <t>Documentation Authorization Object P15_MATRIC</t>
  </si>
  <si>
    <t>PY-JP</t>
  </si>
  <si>
    <t>LC2010 Tax System Revision Phase 2: Dependent's Info Related</t>
  </si>
  <si>
    <t>CRT Incorrect in Retro Calculation of Shoyo in EhP4 system</t>
  </si>
  <si>
    <t>Incorrect Tax Amount in Payroll Due to Kijun-gai Hours</t>
  </si>
  <si>
    <t>RPCSISJ0: Incorrect Target Month if Flex. Payroll Activated</t>
  </si>
  <si>
    <t>RPLDTDJ0: incorrect output in handicapped column</t>
  </si>
  <si>
    <t>RPLDTDJ0: Runtime Error for More than 1000 Employees</t>
  </si>
  <si>
    <t>PY-JP-RP</t>
  </si>
  <si>
    <t>RPCEWGJ1: Employee is Excluded Incorrectly</t>
  </si>
  <si>
    <t>PY-KR</t>
  </si>
  <si>
    <t>Dummy Note for CheckMan Error</t>
  </si>
  <si>
    <t>Korea YEA 2010 Year-End Legal Changes (ESS ITS version) I</t>
  </si>
  <si>
    <t>HKRCYEG0: Incorrect Output on YEA List Form</t>
  </si>
  <si>
    <t>KRTAX:Wrong Period End Date for Retired in Previous Year EE</t>
  </si>
  <si>
    <t>Make Immediate Printing Option as User Setting</t>
  </si>
  <si>
    <t>Korea YEA 2010 Year-End Legal Changes - Phase I</t>
  </si>
  <si>
    <t>LR2010: Enhance Monthly National Pension Premium</t>
  </si>
  <si>
    <t>PY-MX</t>
  </si>
  <si>
    <t>Mexico</t>
  </si>
  <si>
    <t>HR-MX: Correction on SDI comparison with Minimal Wage</t>
  </si>
  <si>
    <t>HR-MX: Variable SDI not transfered during change on Reg Pat.</t>
  </si>
  <si>
    <t>HR-MX: Report HMXCCSS0 with incorrect customer-function call</t>
  </si>
  <si>
    <t>PY-MX-PS</t>
  </si>
  <si>
    <t>Public Sector Mexico</t>
  </si>
  <si>
    <t>HR-MX: problems while reading stored TEMSEs with HMXCSARPBS</t>
  </si>
  <si>
    <t>HMXCIPDPBS: New Layout 2010 for Loans and Credits</t>
  </si>
  <si>
    <t>PY-MY</t>
  </si>
  <si>
    <t>Checkman Corrections - Malaysia, Singapore, Indonesia</t>
  </si>
  <si>
    <t>CP39: Disk file EE nos should be left justified with spaces</t>
  </si>
  <si>
    <t>MY Specific PDF forms</t>
  </si>
  <si>
    <t>PY-MY:Offcycle payments not considered for CP8D generation</t>
  </si>
  <si>
    <t>EPF:Employer contribution 5 MYR for expat &gt;182 Days</t>
  </si>
  <si>
    <t>PY-NL</t>
  </si>
  <si>
    <t>Netherlands</t>
  </si>
  <si>
    <t>Reporting NL (before 2005): Improvement of filename creation</t>
  </si>
  <si>
    <t>Annual Wage Return: Legal Changes for 2010</t>
  </si>
  <si>
    <t>PY-NO</t>
  </si>
  <si>
    <t>Norway</t>
  </si>
  <si>
    <t>ATS Report: Several issues with reporting</t>
  </si>
  <si>
    <t>Handling of Norway ATS Correction Run</t>
  </si>
  <si>
    <t>Reimbursement - Print Issues with Form NAV 08-30.01</t>
  </si>
  <si>
    <t>Incorrect calculation of Half Tax Basis</t>
  </si>
  <si>
    <t>Norway ATS PDF Forms: RF-1015B and RF-1025B</t>
  </si>
  <si>
    <t>Norway Overtime report displays incorrect data in some cases</t>
  </si>
  <si>
    <t>Short dump in RPCALCV0 and RPCATPV0</t>
  </si>
  <si>
    <t>Incorrect creation of Leave deduction wagetypes</t>
  </si>
  <si>
    <t>PY-NPO</t>
  </si>
  <si>
    <t>Payroll for Non-Profit-Organisationen (INTPSO)</t>
  </si>
  <si>
    <t>EhP6 developments</t>
  </si>
  <si>
    <t>Corrections to M&amp;H - Mobility Count</t>
  </si>
  <si>
    <t>Education Grant: Incorrect error message during Payroll run</t>
  </si>
  <si>
    <t>Quality Enhancements</t>
  </si>
  <si>
    <t>PY-NZ</t>
  </si>
  <si>
    <t>New Zealand</t>
  </si>
  <si>
    <t>Leave Liability calculated even though leave is not liable</t>
  </si>
  <si>
    <t>PY-NZ - NZ Tax Changes October 2010 - GST incorrect</t>
  </si>
  <si>
    <t>Incorrect superannuation deduction in retro scenario</t>
  </si>
  <si>
    <t>PY-PH</t>
  </si>
  <si>
    <t>Philippines</t>
  </si>
  <si>
    <t>PY-PH:HDMF Membership Registration/Remittance Form changes.</t>
  </si>
  <si>
    <t>Sapscript Form BIR2316 bottom signature lines not printing</t>
  </si>
  <si>
    <t>PY-PT</t>
  </si>
  <si>
    <t>Portugal</t>
  </si>
  <si>
    <t>RPCSSRP0: wrong total contribution amount in list format</t>
  </si>
  <si>
    <t>RPUTAXP0: further log information in test mode execution</t>
  </si>
  <si>
    <t>Single Report: reporting of multiple association codes</t>
  </si>
  <si>
    <t>RPCIIDP0/RPCAIDP0: ADSE health expenses in tax reports</t>
  </si>
  <si>
    <t>Transfer of vacation allowance from previous years</t>
  </si>
  <si>
    <t>Single Report: alert messages for missing entries of T5PRM</t>
  </si>
  <si>
    <t>RPCSSRP0: correction of electronic format summary sheet</t>
  </si>
  <si>
    <t>PY-PT-PS</t>
  </si>
  <si>
    <t>Public Sector Payroll</t>
  </si>
  <si>
    <t>Social Balance: New layout</t>
  </si>
  <si>
    <t>HCM PT PS: IT 0896 (ADSE) - New field for Tooth Number</t>
  </si>
  <si>
    <t>CGA report: Split in situation code 01 records</t>
  </si>
  <si>
    <t>Rounding monoparental subsidy amounts in family allowances</t>
  </si>
  <si>
    <t>Corrections to CGA report</t>
  </si>
  <si>
    <t>CGA report: correction to wrong generation of records type 2</t>
  </si>
  <si>
    <t>CGA report: number of days for absence situation codes</t>
  </si>
  <si>
    <t>CGA report: Missing information due Infotype 0000 split</t>
  </si>
  <si>
    <t>RPCIIDP0: Income type field only accepts to 2 digits</t>
  </si>
  <si>
    <t>PY-RU</t>
  </si>
  <si>
    <t>Payroll Accounting: Russia</t>
  </si>
  <si>
    <t>HR-RU: DAQ customizing for report 4FSS</t>
  </si>
  <si>
    <t>HR-RU: No Adjustment in case of BONDT not in vacation period</t>
  </si>
  <si>
    <t>PY-RU: Wrong Saldo on Year Begin for Real Estate Privilege</t>
  </si>
  <si>
    <t>HR-RU: RUAVE destroy text in payroll log</t>
  </si>
  <si>
    <t>HR-RU: Payroll function RUC1 incorrectly fills ANZHL field</t>
  </si>
  <si>
    <t>HR-RU: 4-FSS DAQ condit. for table read. processed with dump</t>
  </si>
  <si>
    <t>HR-RU: debt elimin. via MTD1 if nor /320 nor /322 not exist</t>
  </si>
  <si>
    <t>Archiving Settings for Personnel Orders</t>
  </si>
  <si>
    <t>HR-RU: Runtime error in SAPLHRPADRU_STAT</t>
  </si>
  <si>
    <t>HR-RU: LC Average adjustment in case of salary rise N 916</t>
  </si>
  <si>
    <t>PY-SE</t>
  </si>
  <si>
    <t>Sweden</t>
  </si>
  <si>
    <t>RPSSFDS0 Number of employees is not correctly reported</t>
  </si>
  <si>
    <t>RPLRQTS0 Issue with Temse file and XML file generation</t>
  </si>
  <si>
    <t>PY-SE-PS</t>
  </si>
  <si>
    <t>Public sector (Sweden)</t>
  </si>
  <si>
    <t>RPCKU1S0_CE: Creation of new include for form routines</t>
  </si>
  <si>
    <t>PY-SG</t>
  </si>
  <si>
    <t>Singapore</t>
  </si>
  <si>
    <t>SG Specific PDF forms for ESS Renovation</t>
  </si>
  <si>
    <t>SINDA rate changes for wage level 01 effective 2010.</t>
  </si>
  <si>
    <t>PY-SG: Authorization error for transaction HRESSSG_IR8E.</t>
  </si>
  <si>
    <t>NRS : Quality improvements</t>
  </si>
  <si>
    <t>SG-Payroll : CPF Employer's contribution after termination</t>
  </si>
  <si>
    <t>SG-Payroll : ER CPF contribution for PR after termination</t>
  </si>
  <si>
    <t>PY-SG-PS</t>
  </si>
  <si>
    <t>PY-SG-PS: Missing pages in pension paper smart form HR_SGPPP</t>
  </si>
  <si>
    <t>PY-TH</t>
  </si>
  <si>
    <t>Employer address in 50 Bis-Yearly Report is not long enough</t>
  </si>
  <si>
    <t>Projection basis of terminated EE for calc. provident fund</t>
  </si>
  <si>
    <t>Name of the city not correct in Forms ITF1 &amp; ITF1A</t>
  </si>
  <si>
    <t>Incorrect total income &amp; total tax in ITF1</t>
  </si>
  <si>
    <t>Employer address is not correct in 50 Bis-Yearly Report</t>
  </si>
  <si>
    <t>PY-TW</t>
  </si>
  <si>
    <t>Taiwan</t>
  </si>
  <si>
    <t>TW: Transport translation corrections for Court Deduction</t>
  </si>
  <si>
    <t>Size of NHI Certificate Vary</t>
  </si>
  <si>
    <t>PY-US</t>
  </si>
  <si>
    <t>CHECKMAN corrections</t>
  </si>
  <si>
    <t>PY-US-PS</t>
  </si>
  <si>
    <t>PY-US-PS-BN</t>
  </si>
  <si>
    <t>Public Sector Benefits</t>
  </si>
  <si>
    <t>@0S@Savings Plan refunds -BENWT doubles Investment WT</t>
  </si>
  <si>
    <t>PY-US-RP</t>
  </si>
  <si>
    <t>Incorrect totals in Payroll Journal (RPCLJNU0)</t>
  </si>
  <si>
    <t>REC: Recon. Report does not display "On Demand" Payroll runs</t>
  </si>
  <si>
    <t>PY-US-TR</t>
  </si>
  <si>
    <t>Tax Reporter</t>
  </si>
  <si>
    <t>TR: SUI LA PDF adjustment</t>
  </si>
  <si>
    <t>PY-US-TR: Georgia SUI MMREF - Error in Remittance field</t>
  </si>
  <si>
    <t>PY-US-TR: No supplemental info on 940 PDF</t>
  </si>
  <si>
    <t>PY-US-TR: Blank W-3C PDF forms</t>
  </si>
  <si>
    <t>Missing entry in T5U28 for positions out of Alaska</t>
  </si>
  <si>
    <t>PY-US-TR: Duplicated header on the CSV/XLS temse file</t>
  </si>
  <si>
    <t>TR: SUI FL alignment issues</t>
  </si>
  <si>
    <t>PY-US-TR: Box 12 with wrong values in form 941</t>
  </si>
  <si>
    <t>PY-US-TR: Tip amount missing in EE gross wages.</t>
  </si>
  <si>
    <t>PY-US-TR: Alignment issues in Iowa Wage List Form</t>
  </si>
  <si>
    <t>PY-US-TR: Total payment missing in NM XML</t>
  </si>
  <si>
    <t>PY-US-TR: Error when overriding HIRE Act wage type</t>
  </si>
  <si>
    <t>TR: Incorrect amounts and number of employees in SUI LA</t>
  </si>
  <si>
    <t>CheckMan correction of REPS RPCTRTU1_XML</t>
  </si>
  <si>
    <t>TR: Incorrect amounts in SUI LA</t>
  </si>
  <si>
    <t>PY-US-TX</t>
  </si>
  <si>
    <t>Taxes</t>
  </si>
  <si>
    <t>TAX: WT /Nxx are cleared without self-adjustment in payroll.</t>
  </si>
  <si>
    <t>PY-VE</t>
  </si>
  <si>
    <t>Venezuela</t>
  </si>
  <si>
    <t>CHECKMAN - VE</t>
  </si>
  <si>
    <t>PY-XX</t>
  </si>
  <si>
    <t>Payroll: General Parts</t>
  </si>
  <si>
    <t>eCatt: Function module interface changed</t>
  </si>
  <si>
    <t>PY-ZA</t>
  </si>
  <si>
    <t>South Africa</t>
  </si>
  <si>
    <t>4030 Donations Enhancement and IRP5 enhancement</t>
  </si>
  <si>
    <t>COID - Listing of employees in sorted order/ Org. Assignment</t>
  </si>
  <si>
    <t>IRP5 Issues: Bank Details / Reprint / SARS code 4101 &amp; 4102</t>
  </si>
  <si>
    <t>BKREF field not updated for IT0009 on using PZ03 Tcode/ ESS</t>
  </si>
  <si>
    <t>4030 Donations Functionality enhancement - Net pay deduction</t>
  </si>
  <si>
    <t>UIF Report - Performance Issue</t>
  </si>
  <si>
    <t>IRP5 - August 2010 submission !!!! IMPORTANT !!!!</t>
  </si>
  <si>
    <t>XX</t>
  </si>
  <si>
    <t>Miscellaneous</t>
  </si>
  <si>
    <t>XX-CSC</t>
  </si>
  <si>
    <t>Country-Specific Developments</t>
  </si>
  <si>
    <t>XX-CSC-UA</t>
  </si>
  <si>
    <t>Ukraine</t>
  </si>
  <si>
    <t>XX-CSC-UA-HR</t>
  </si>
  <si>
    <t>Human Ressources</t>
  </si>
  <si>
    <t>Central Dummy note for HR-CEECUA redesign</t>
  </si>
  <si>
    <t>Support Pack</t>
  </si>
  <si>
    <t>SAPKE60428</t>
  </si>
  <si>
    <t>BC</t>
  </si>
  <si>
    <t>BC-BMT</t>
  </si>
  <si>
    <t>BC-BMT-OM</t>
  </si>
  <si>
    <t>Organizational Mgt</t>
  </si>
  <si>
    <t>Object manager:Free search-field 'Code' populated with objID</t>
  </si>
  <si>
    <t>PPOME: Incorrect display of periods in detail area</t>
  </si>
  <si>
    <t>RHINFAW0: options in the Display frame are lost</t>
  </si>
  <si>
    <t>Object manager: Filling 'Code' field for personnel number</t>
  </si>
  <si>
    <t>RHINFAW0: Protected fields in variants lost</t>
  </si>
  <si>
    <t>BC-BMT-OM-ALE</t>
  </si>
  <si>
    <t>Distribution</t>
  </si>
  <si>
    <t>ALE: Annual salary currency (ANCUR) is not saved</t>
  </si>
  <si>
    <t>0HR_PA_OS_1: Computation of Span Control</t>
  </si>
  <si>
    <t>0ORGUNIT_ATTR: language logic is not correct</t>
  </si>
  <si>
    <t>0HR_PA_2: fileds 'date from' and 'date to' are incorrect</t>
  </si>
  <si>
    <t>BW-BCT-PT</t>
  </si>
  <si>
    <t>Pers.Time Management</t>
  </si>
  <si>
    <t>Dump during time data extraction SAPSQL_ARRAY_INSERT_DUPREC</t>
  </si>
  <si>
    <t>PDW1: Time units not filled</t>
  </si>
  <si>
    <t>CA</t>
  </si>
  <si>
    <t>CA-ESS</t>
  </si>
  <si>
    <t>CA-ESS-ITS</t>
  </si>
  <si>
    <t>ESS ITS</t>
  </si>
  <si>
    <t>HRUSER:initial password cannot be set in small letters</t>
  </si>
  <si>
    <t>CA-ESS-WD</t>
  </si>
  <si>
    <t>ESS Web dynpro</t>
  </si>
  <si>
    <t>HRUSER Role Selection dropdown gets values from child system</t>
  </si>
  <si>
    <t>EHS</t>
  </si>
  <si>
    <t>EHS-IHS</t>
  </si>
  <si>
    <t>Indus.Hygiene&amp;Safety</t>
  </si>
  <si>
    <t>Implicit check for the RFC authorization</t>
  </si>
  <si>
    <t>EP</t>
  </si>
  <si>
    <t>EP-PCT</t>
  </si>
  <si>
    <t>EP-PCT-MGR</t>
  </si>
  <si>
    <t>EP-PCT-MGR-HR</t>
  </si>
  <si>
    <t>BP for MSS HR</t>
  </si>
  <si>
    <t>Removing of hard coding of sy-uname in OADP and RHDIREPO</t>
  </si>
  <si>
    <t>CheckMan corrections for SAP_HR and EA-HR</t>
  </si>
  <si>
    <t>PA-BC</t>
  </si>
  <si>
    <t>Basis</t>
  </si>
  <si>
    <t>No time base in the authorization check (Ad Hoc Query)</t>
  </si>
  <si>
    <t>Infotype 0130: ADAYS (Tolerance Time) is not considered</t>
  </si>
  <si>
    <t>PA-BC-IN</t>
  </si>
  <si>
    <t>Basis - Integration</t>
  </si>
  <si>
    <t>RHINTE00: Holder relationships are not delimited</t>
  </si>
  <si>
    <t>RHINTE30: Error message without text in the log</t>
  </si>
  <si>
    <t>RHINTE00: A/B008 relationships are deleted</t>
  </si>
  <si>
    <t>Integration PA/PD: Person assigned to incorrect postition</t>
  </si>
  <si>
    <t>RHINTE30 does not return useful result in test mode</t>
  </si>
  <si>
    <t>Company code switch possible w/o extended integration</t>
  </si>
  <si>
    <t>PD-PA Integration: neues PD Framework</t>
  </si>
  <si>
    <t>HRBEN0004 processes incorrect dependents in benefit plans.</t>
  </si>
  <si>
    <t>Saving Plans:Employer Cont. Rule / Precise Percentage Field.</t>
  </si>
  <si>
    <t>Report RPUBENRETSRV not updating IT0565 correctly</t>
  </si>
  <si>
    <t>Tooltip for legends in HRBEN0001</t>
  </si>
  <si>
    <t>modify flag T777D-FLG_OBJPS for infotype 0270</t>
  </si>
  <si>
    <t>ESS: Adjustment reason permissions not working</t>
  </si>
  <si>
    <t>Infotype 0378, Subtype Texts are not sorted</t>
  </si>
  <si>
    <t>Default layout setting for transaction HRBEN0052</t>
  </si>
  <si>
    <t>RPUBEN62: 'exclude already enrolled' not filtering employee</t>
  </si>
  <si>
    <t>Not able to print enrollment/confirmation form</t>
  </si>
  <si>
    <t>Beneficiaries not printed in the confirmation form</t>
  </si>
  <si>
    <t>PA-BN-AD</t>
  </si>
  <si>
    <t>Administration</t>
  </si>
  <si>
    <t>EOI popping up with beneficiary change</t>
  </si>
  <si>
    <t>PA-BN-AD-PY</t>
  </si>
  <si>
    <t>Payroll Interface</t>
  </si>
  <si>
    <t>Employer Contribution in Correction Run</t>
  </si>
  <si>
    <t>PA-BN-CO</t>
  </si>
  <si>
    <t>COBRA</t>
  </si>
  <si>
    <t>BEN: Cobra Subsidy- TEA and CEA 2010</t>
  </si>
  <si>
    <t>COBRA stop participation doesn't use adobe forms</t>
  </si>
  <si>
    <t>RPUCOB01: Heading of the detail screen not correct</t>
  </si>
  <si>
    <t>RPUCOB01: Some of the functions of ALV not working</t>
  </si>
  <si>
    <t>COBRA: Unavailability notice doesn't use adobe forms</t>
  </si>
  <si>
    <t>PA-BN-ES</t>
  </si>
  <si>
    <t>Empl. Self-Service</t>
  </si>
  <si>
    <t>ESS Benefits Renovation Project: Form Changes</t>
  </si>
  <si>
    <t>ESS Benefits Renovation Project: IT0021/0106 Changes</t>
  </si>
  <si>
    <t>PA-CE</t>
  </si>
  <si>
    <t>Conc.Empl.-Pers.Man.</t>
  </si>
  <si>
    <t>transaction PA41 error message is displayed in IT0001</t>
  </si>
  <si>
    <t>Error E830 in Country ressaignment action</t>
  </si>
  <si>
    <t>Shared Quota message not translated HRCCE_SHQ_MSGS</t>
  </si>
  <si>
    <t>Change of Payroll Area additional code changes</t>
  </si>
  <si>
    <t>Corrections for screen MP0001002029</t>
  </si>
  <si>
    <t>PA-IS</t>
  </si>
  <si>
    <t>Informations Systems</t>
  </si>
  <si>
    <t>Texts of additional fields are not displayed</t>
  </si>
  <si>
    <t>HR_SELECT_PERSONS: Incorrect authorization check</t>
  </si>
  <si>
    <t>PPOME: Authorization check w/ F4 help for 'KOKRS'</t>
  </si>
  <si>
    <t>PPOME - User who locked personnel number is not displayed</t>
  </si>
  <si>
    <t>Kostenverteilung (IT 1018) wird nicht korrekt integriert</t>
  </si>
  <si>
    <t>PPOME: IT1008 personnel subarea is not checked</t>
  </si>
  <si>
    <t>RHT750XADJUSTEMENT: Generic positions</t>
  </si>
  <si>
    <t>PHCPADMN: Cost elements are not found</t>
  </si>
  <si>
    <t>IT1008: Check for KOKRS-BUKRS</t>
  </si>
  <si>
    <t>ALE_BAPI_GET_UNIQUE_RECEIVER is called without filter</t>
  </si>
  <si>
    <t>PA-OS-BS</t>
  </si>
  <si>
    <t>Bases</t>
  </si>
  <si>
    <t>Error in PA-OM integration: Deleting splits in IT 0001</t>
  </si>
  <si>
    <t>Error integration PA-OM: Deleting splits</t>
  </si>
  <si>
    <t>PPOME: Quota planning: Short dump DATA_OFFSET_NEGATIVE</t>
  </si>
  <si>
    <t>PPOME - T750X not adjusted when leader is changed</t>
  </si>
  <si>
    <t>PSV1: Events are not booked due to time collision</t>
  </si>
  <si>
    <t>IT1011: Working Time is not correct by inheritance</t>
  </si>
  <si>
    <t>IT1011: Message 'No default available for working time'</t>
  </si>
  <si>
    <t>Report RHT750XADJUSTMENT: Endless loop timeout</t>
  </si>
  <si>
    <t>Dump during PD-PA integration: Commitment is incorrect</t>
  </si>
  <si>
    <t>RHSCRP00: Superfluous option in menu bar</t>
  </si>
  <si>
    <t>Enhancement category of the structure HRPD_S_TAB changed</t>
  </si>
  <si>
    <t>PA-PA-AR</t>
  </si>
  <si>
    <t>Checkman corrections (AR)</t>
  </si>
  <si>
    <t>Neue Beitragsgruppe N25H mit RÃ¼ckrechnung der AV</t>
  </si>
  <si>
    <t>ELDA-Meldung aus IT0526, Vorbelegung Adresse</t>
  </si>
  <si>
    <t>IBAN/SEPA (Belgium): Impossible to update Infotype 0125</t>
  </si>
  <si>
    <t>DeCavaA - Indexation Social Benefit &amp; Complementary amounts</t>
  </si>
  <si>
    <t>PA-PA-CL</t>
  </si>
  <si>
    <t>PY-CL: Missing States in Addresses infotype</t>
  </si>
  <si>
    <t>Corrections to infotypes (7)</t>
  </si>
  <si>
    <t>IMG &amp; documentation: Correcting spelling mistakes</t>
  </si>
  <si>
    <t>TMW: Illness was changed manually</t>
  </si>
  <si>
    <t>Infotype 0002 Begda not updated from date of birth</t>
  </si>
  <si>
    <t>Modifications to improve quality of ABAP Code</t>
  </si>
  <si>
    <t>EC11: Copy of irrelevant/non-related entries (T77TNM_IV)</t>
  </si>
  <si>
    <t>Training Need Mgmt.</t>
  </si>
  <si>
    <t>Additional adjustments to the TNM functionality</t>
  </si>
  <si>
    <t>TNM transaction: missing option in the search area</t>
  </si>
  <si>
    <t>F4-Help: Training Objective Group and Code not delimited</t>
  </si>
  <si>
    <t>TNM FR: Display PCE code in snapshot ALV output</t>
  </si>
  <si>
    <t>Quota report not taking into account TPCAT and TFCAT</t>
  </si>
  <si>
    <t>TNM: Short dump when generating snapshot</t>
  </si>
  <si>
    <t>2483: all transport/accomodation costs in line h frame F</t>
  </si>
  <si>
    <t>Reason Code is not filtered by Country Code</t>
  </si>
  <si>
    <t>Adjustments on the TN F4-Help at booking</t>
  </si>
  <si>
    <t>Creating info type 1681 for a D-object causes a dump</t>
  </si>
  <si>
    <t>TNM report RPCTNMFR_2483: Dump TABLE_INVALID_INDEX</t>
  </si>
  <si>
    <t>Reg.Compliance inherited value for DAYS is missing</t>
  </si>
  <si>
    <t>No french translation for data elements in TNM</t>
  </si>
  <si>
    <t>Global settings for TNM</t>
  </si>
  <si>
    <t>PA-PA-GB</t>
  </si>
  <si>
    <t>Great Britain</t>
  </si>
  <si>
    <t>Infotype 77: Correction to note 1472640</t>
  </si>
  <si>
    <t>dummy</t>
  </si>
  <si>
    <t>ESI details inconsistent in infotype overview screen</t>
  </si>
  <si>
    <t>IT3203/IT3204: New permissibility check for the wage types</t>
  </si>
  <si>
    <t>Re-transport Area Menu for Report HJPUJU_DEPINF_2011</t>
  </si>
  <si>
    <t>P0853: Enhancement Catagory is Not Proper</t>
  </si>
  <si>
    <t>Korea YEA 2010 Year-End Legal Changes (ESS ITS version) II</t>
  </si>
  <si>
    <t>IT0045: Cannot Maintain Due to Missing IT View 0698 Data</t>
  </si>
  <si>
    <t>PA-PA-NL</t>
  </si>
  <si>
    <t>New Electronic Illness Reporting: New Infotype</t>
  </si>
  <si>
    <t>YELC2010/2011: Work Cost Regulation (1st part)</t>
  </si>
  <si>
    <t>FlexBenNL: Last line of Info. Text on Payslip printed twice</t>
  </si>
  <si>
    <t>HR master data: Russ</t>
  </si>
  <si>
    <t>SZV-6-1(SZV-6-2), SPV-1 - fix of reporting period</t>
  </si>
  <si>
    <t>HR-RU: Message 226 of HRPADRUREPORTS does not exist</t>
  </si>
  <si>
    <t>HR-RU: Infotypes 0292, 0295, 0296 preparation for Ukraine</t>
  </si>
  <si>
    <t>T-7: Adobe layout issues</t>
  </si>
  <si>
    <t>PA-PA-SG</t>
  </si>
  <si>
    <t>IT0021- Designation for an existing record can't be modified</t>
  </si>
  <si>
    <t>IT0183 : modifying an entry deletes records in IT0015</t>
  </si>
  <si>
    <t>Record Copied in T7TH0P When Copying Non-Thai Per. Subarea</t>
  </si>
  <si>
    <t>PA-PA-TW</t>
  </si>
  <si>
    <t>Error When Entering Mainland ID Number</t>
  </si>
  <si>
    <t>End date of (Michelle's Law) constant SMLAP in error</t>
  </si>
  <si>
    <t>BEN: COBRA PS0211-SUBEL is not showing on T588M</t>
  </si>
  <si>
    <t>Limits for retirement, savings plans in tax year 2011.</t>
  </si>
  <si>
    <t>FMLA</t>
  </si>
  <si>
    <t>FMLA: Error when testing requests in PTFMLA transaction.</t>
  </si>
  <si>
    <t>PA-PA-XX</t>
  </si>
  <si>
    <t>General Parts</t>
  </si>
  <si>
    <t>Vacancy incorrectly set when deleting termination action</t>
  </si>
  <si>
    <t>Changes of software components, package interface</t>
  </si>
  <si>
    <t>IT0000: Records of IT0302 remain when copying</t>
  </si>
  <si>
    <t>Dynamic actions: Structure PSAVE is not correctly filled</t>
  </si>
  <si>
    <t>Infotype header: shortened output length for field ENAME</t>
  </si>
  <si>
    <t>Employee Recognition process is returning to PA40</t>
  </si>
  <si>
    <t>PA20/PA30: Header 'Status' (INF_EX) is too short defined</t>
  </si>
  <si>
    <t>Useless blank line in the screen of the infotype 0001</t>
  </si>
  <si>
    <t>Syntax errors with ZPnnnn customer programs</t>
  </si>
  <si>
    <t>HR_MAINTAIN_MASTERDATA: Personnel number locked too often</t>
  </si>
  <si>
    <t>Additional address fields from IT0001 are not filled</t>
  </si>
  <si>
    <t>RPUFIXDS: Message PBAS_SERVICE061 not displayed in log</t>
  </si>
  <si>
    <t>Employee Recognition Screen: Birth Date is not transferred</t>
  </si>
  <si>
    <t>PA40: Applicant data missing during applicant data transfer</t>
  </si>
  <si>
    <t>PRAA: Short dump SAPSQL_ARRAY_INSERT_DUPREC is triggered</t>
  </si>
  <si>
    <t>Country Reassignment: incorrect value for P0002-PERMO</t>
  </si>
  <si>
    <t>View V_T503Z: Details screen triggers the message SV032</t>
  </si>
  <si>
    <t>Mapping of UGR with Molga for PA30/PA40 transactions</t>
  </si>
  <si>
    <t>PA48: Problem with RFC connection for logical EREC system</t>
  </si>
  <si>
    <t>Bank details without IBAN: Error message RP488</t>
  </si>
  <si>
    <t>PA30:Infotype text that has been maintained is not displayed</t>
  </si>
  <si>
    <t>Personnel assignment details: Key date not considered</t>
  </si>
  <si>
    <t>BUS1065: Update of attributes is incorrect</t>
  </si>
  <si>
    <t>V_T503Z: Copy function is not copying all assignments</t>
  </si>
  <si>
    <t>Extended program checks for Termination Workbench</t>
  </si>
  <si>
    <t>HR_ENTRY_DATE: Too many entry dates returned</t>
  </si>
  <si>
    <t>PA41: Problem with error messages from tab page infotypes</t>
  </si>
  <si>
    <t>IT0001: Error message PB326 during hiring</t>
  </si>
  <si>
    <t>Service anniversaries: Error message HRSEN00 103 displayed</t>
  </si>
  <si>
    <t>PA41: Actions are incorrectly deleted</t>
  </si>
  <si>
    <t>IT0031: Relationships between employees are lost</t>
  </si>
  <si>
    <t>Overlapping records: warning messages are not triggered</t>
  </si>
  <si>
    <t>Infotype 0001 can be skipped without message popup</t>
  </si>
  <si>
    <t>Dump UNCAUGHT_EXCEPTION by moving a record in the future</t>
  </si>
  <si>
    <t>Infotype 0008: Label for P0008-BSGRD displayed in German</t>
  </si>
  <si>
    <t>IBAN: No warning message when you change bank data</t>
  </si>
  <si>
    <t>HR_INFOTYPE_OPERATION executes ROLLBACK WORK</t>
  </si>
  <si>
    <t>Dump UNCAUGHT_EXCEPTION by hiring action in batch</t>
  </si>
  <si>
    <t>PBA7: Applicant data missing during data transfer</t>
  </si>
  <si>
    <t>PA70/Create with Proposal: Employee name is not filled</t>
  </si>
  <si>
    <t>Object Manager: column PAD_PERSONID is not shown in PA30</t>
  </si>
  <si>
    <t>PA48: BAdI HRRCF04_STORE_HRSKIL is not being called</t>
  </si>
  <si>
    <t>IT0009: Name of bank cannot be hidden via table T588M</t>
  </si>
  <si>
    <t>Infotypes: New PBO/PAI modules SET_CURSOR_XX/GET_CURSOR_XX</t>
  </si>
  <si>
    <t>Dynamic action for infotype 0001 is not executed</t>
  </si>
  <si>
    <t>Overview screen of Infotype 0105: 'To' field is too short</t>
  </si>
  <si>
    <t>RPLPAY00: Gui Toolbar buttons are not active</t>
  </si>
  <si>
    <t>Infotype 0712: Runtime Error MOVE_CAST_ERROR</t>
  </si>
  <si>
    <t>Multiple Position Assignment: Percentage Change not saved</t>
  </si>
  <si>
    <t>IT0057: No entry in T588M for the field P0057-MGART</t>
  </si>
  <si>
    <t>RPUAUD00: Runtime error COLLECT_OVERFLOW</t>
  </si>
  <si>
    <t>Short dump in PA30 after infotype enhancement</t>
  </si>
  <si>
    <t>IT0002 screen 2000: Title cannot be saved as Blank value</t>
  </si>
  <si>
    <t>Link between infotype 0080 and 2001 is removed in update</t>
  </si>
  <si>
    <t>Missing authorization check in HR Distributed-Reporting</t>
  </si>
  <si>
    <t>Error message number 5P313 when a feature is activated</t>
  </si>
  <si>
    <t>PA-PA-XX-BS</t>
  </si>
  <si>
    <t>Restriction to eligibility of wage types II</t>
  </si>
  <si>
    <t>PA-PA-XX-BS-PY</t>
  </si>
  <si>
    <t>Basis f.Payroll Data</t>
  </si>
  <si>
    <t>Indirect valuation: Reduction method overwrites global data</t>
  </si>
  <si>
    <t>PA-PA-XX-CE</t>
  </si>
  <si>
    <t>Conc. Empl. - PA</t>
  </si>
  <si>
    <t>Infotype 0001: formatted name (ENAME) is not updated</t>
  </si>
  <si>
    <t>PA-PD</t>
  </si>
  <si>
    <t>PA-PD-PM</t>
  </si>
  <si>
    <t>Obj Setting and Appr</t>
  </si>
  <si>
    <t>Report RHDEL_INTE10 does not delete all tables</t>
  </si>
  <si>
    <t>PA-PD-QR</t>
  </si>
  <si>
    <t>Qualif./Requirements</t>
  </si>
  <si>
    <t>Header data fields are truncated in list output</t>
  </si>
  <si>
    <t>Pension Fund CH</t>
  </si>
  <si>
    <t>HR-PF-CH: Changes for BVG: Fiscal year change 2010/2011</t>
  </si>
  <si>
    <t>Correction to the translation of PDF sample forms, part 3</t>
  </si>
  <si>
    <t>EMZ: Support of two payment addresses from form</t>
  </si>
  <si>
    <t>Company Pension DE</t>
  </si>
  <si>
    <t>Pension equalization payment: Corrections/enhancements 9</t>
  </si>
  <si>
    <t>Pension rcpt notf.: Inbox files w/ notif. not assignable</t>
  </si>
  <si>
    <t>Pension receipt notification: New data rec version from 2011</t>
  </si>
  <si>
    <t>Minor CPS corrections</t>
  </si>
  <si>
    <t>RBM: Corrections/enhancements MZ01 (12/2010)</t>
  </si>
  <si>
    <t>PA-PF-XX</t>
  </si>
  <si>
    <t>Pens.Fund: Gen.Parts</t>
  </si>
  <si>
    <t>Pension fund SAPscript form is incomplete</t>
  </si>
  <si>
    <t>PA-PM</t>
  </si>
  <si>
    <t>PA-PM-BM</t>
  </si>
  <si>
    <t>Pers. Budget Plan Mg</t>
  </si>
  <si>
    <t>Incorrect runtime when creating a reassignment lock</t>
  </si>
  <si>
    <t>PA-PM-TO</t>
  </si>
  <si>
    <t>Cross App Tools</t>
  </si>
  <si>
    <t>Job index (ADT) and PP02: Various problems</t>
  </si>
  <si>
    <t>Job index: Follow-up to Note 1425867</t>
  </si>
  <si>
    <t>Default ADT key is not transferred automatically</t>
  </si>
  <si>
    <t>PA-RC</t>
  </si>
  <si>
    <t>Recruitment</t>
  </si>
  <si>
    <t>PBWW,PB60,PBAT:  Applicant letters not displayed correctly</t>
  </si>
  <si>
    <t>PBAW: Performance issue when specifying only vacancy</t>
  </si>
  <si>
    <t>Fields RP50M-TEXT1,RP50M-TEXT2,RP50M-TEXT3 not transferred</t>
  </si>
  <si>
    <t>PE-LSO</t>
  </si>
  <si>
    <t>PE-LSO-TM</t>
  </si>
  <si>
    <t>PE-LSO-TM-DW</t>
  </si>
  <si>
    <t>DaytoDay Activities</t>
  </si>
  <si>
    <t>Correspondence: Title is not displayed in some cases</t>
  </si>
  <si>
    <t>Business Event Cat.</t>
  </si>
  <si>
    <t>RHXKBRO0: Incorrect subtypes are being displayed</t>
  </si>
  <si>
    <t>PT</t>
  </si>
  <si>
    <t>PT-CE</t>
  </si>
  <si>
    <t>Conc.Empl.-Pers.Tim.</t>
  </si>
  <si>
    <t>PA61: "No infotype 0001 record on 00.00.0000"</t>
  </si>
  <si>
    <t>PT-EV</t>
  </si>
  <si>
    <t>Time Evaluation</t>
  </si>
  <si>
    <t>RPTHRT00_REDEFINE, RPMREP00: Dump UC_OBJECTS_NOT_CONVERTIBLE</t>
  </si>
  <si>
    <t>Documentation for PT operation ROUND is misleading</t>
  </si>
  <si>
    <t>RPTIME00: Unnecessary retroactive acctg trigger for absences</t>
  </si>
  <si>
    <t>PT-EV-PY</t>
  </si>
  <si>
    <t>Integr.with Payroll</t>
  </si>
  <si>
    <t>PT60: Switch SW_FUNC-KUG is incorrectly initialized</t>
  </si>
  <si>
    <t>PT-EV-QT</t>
  </si>
  <si>
    <t>Quota Accrual</t>
  </si>
  <si>
    <t>Quota Generation with locked IT2001 records</t>
  </si>
  <si>
    <t>PT-IS</t>
  </si>
  <si>
    <t>Information System</t>
  </si>
  <si>
    <t>RPTERL00: User-specific display variants are not saved</t>
  </si>
  <si>
    <t>PT-RC</t>
  </si>
  <si>
    <t>Time Data Recording</t>
  </si>
  <si>
    <t>PT40: List is not displayed when navigating from doc view</t>
  </si>
  <si>
    <t>PT40 doc view: Some lines are not visible when scrolling</t>
  </si>
  <si>
    <t>PA61 annual calendar: Runtime error "MESSAGE_TYPE_X"</t>
  </si>
  <si>
    <t>IT 416: Locked record cannot be unlocked</t>
  </si>
  <si>
    <t>PT40: RPTIME00 run not via all processed employees</t>
  </si>
  <si>
    <t>RPTERR00: Cannot navigate to locked data records</t>
  </si>
  <si>
    <t>Segregation of Duty</t>
  </si>
  <si>
    <t>PA61: Error in batch input logging</t>
  </si>
  <si>
    <t>PT-RC-PC</t>
  </si>
  <si>
    <t>Plant Data Collectio</t>
  </si>
  <si>
    <t>RPAFRV00: Sorting in ALV display list is not stable</t>
  </si>
  <si>
    <t>PT-RC-QT</t>
  </si>
  <si>
    <t>Quotas</t>
  </si>
  <si>
    <t>Availability of BAdI PT_QUOTA_DEDUCTION</t>
  </si>
  <si>
    <t>HR_GET_QUOTA_DATA returns incorrect quota type text</t>
  </si>
  <si>
    <t>Index in p_times_per_day for BAdI PT_QUOTA_DEDUCTION</t>
  </si>
  <si>
    <t>PT-RC-UI</t>
  </si>
  <si>
    <t>PT-RC-UI-TMW</t>
  </si>
  <si>
    <t>Time Man. Workplace</t>
  </si>
  <si>
    <t>PTMW: Error in recalculation/creation of infotype log</t>
  </si>
  <si>
    <t>PT-SP</t>
  </si>
  <si>
    <t>Shift Planning</t>
  </si>
  <si>
    <t>PP61: Assignment strategy per shift group II</t>
  </si>
  <si>
    <t>PT-WS</t>
  </si>
  <si>
    <t>Work Schedule</t>
  </si>
  <si>
    <t>IT 0007: Proposed value for weekly workdays (WKWDY)</t>
  </si>
  <si>
    <t>RPUTPR00: Columns for planned hours swapped in ALV display</t>
  </si>
  <si>
    <t>IT 0007: No change of the weekly workdays</t>
  </si>
  <si>
    <t>Set of default value for Compensation Method in HLACTRM0</t>
  </si>
  <si>
    <t>Divisor 30 adjusts twice in period splits</t>
  </si>
  <si>
    <t>TOPE for vacation payment higher than defined by system</t>
  </si>
  <si>
    <t>Incorrect number of absence days in report HARCSRV0</t>
  </si>
  <si>
    <t>Decree 983/2010-Limit remuneration not valid for ART licence</t>
  </si>
  <si>
    <t>SICOSS V34.1</t>
  </si>
  <si>
    <t>SICOSS V34.1 documentation</t>
  </si>
  <si>
    <t>PY-AR - SICOSS - Wrong Review Situation</t>
  </si>
  <si>
    <t>SICOSS feature ARSIT generating error</t>
  </si>
  <si>
    <t>PY-AR Tax tables - values for 2011</t>
  </si>
  <si>
    <t>Wage type /410 doesn't consider no taxables variable amounts</t>
  </si>
  <si>
    <t>RÃ¼ckrechnung Vorjahre: RÃ¼ckzahlung steuerfreier Lohnanteile</t>
  </si>
  <si>
    <t>PCALZ: Zahlenreihen im Formular LZ SV GKK verschoben</t>
  </si>
  <si>
    <t>RPTGENA0: PrÃ¼fmodus fÃ¼r Unicode-Systeme</t>
  </si>
  <si>
    <t>ELDA: Dienstgebertelefonnummer erweitern mit 50 Stellen</t>
  </si>
  <si>
    <t>Doku ErgÃ¤nzung Einschleifregelung</t>
  </si>
  <si>
    <t>PCALZ: PDF Formular HR_AT_LZ_E18_03</t>
  </si>
  <si>
    <t>JW 2010/11: ELDA Ã„nderung bei der GKK</t>
  </si>
  <si>
    <t>PCALZ: Warnung bei manueller Korrektur (ErgÃ¤nzung)</t>
  </si>
  <si>
    <t>Feld 'Bescheinigter Beginn' fÃ¼r Abwesenheiten in TMW</t>
  </si>
  <si>
    <t>BMV: Verdopplung des BV-Beitrags bei Abw. mit SV-Split</t>
  </si>
  <si>
    <t>JW 2010/11: SV Mindest- und HÃ¶chstbeitragsgrundlagen ab 2011</t>
  </si>
  <si>
    <t>Altersteilzeit: Kommunalsteuer, FLAF und DZ fÃ¼r SV-BeitrÃ¤ge</t>
  </si>
  <si>
    <t>JW 2010/11 Altersteilzeit: Ã„nderung der Kostenerstattung</t>
  </si>
  <si>
    <t>Dokumentation fÃ¼r Altersteilzeitmodell</t>
  </si>
  <si>
    <t>Steuer:Aufrollung Lohnsteuer, Einschleifregelung, EStG Â§77.4</t>
  </si>
  <si>
    <t>PCALZ: Falsche Stornomeldung bevor UVBG gÃ¼ltig ist</t>
  </si>
  <si>
    <t>Versichertenmeldung(BVA): Wegfall der Felder GEGC und GEGT</t>
  </si>
  <si>
    <t>JW 2010/11: ELDA Ã„nderungen bei der BVA</t>
  </si>
  <si>
    <t>JW 2010/11: Pensionsabfindungen Grenzbetrag fÃ¼r 2011</t>
  </si>
  <si>
    <t>RESC amount incorrect in case of Cost Center Splits</t>
  </si>
  <si>
    <t>AU PS and ETP summary Adobe forms for EHP6</t>
  </si>
  <si>
    <t>Incorrect tax thresholds &amp; Limits for 2010/11 tax year(PAYG)</t>
  </si>
  <si>
    <t>Average incorrect in the inactive period.</t>
  </si>
  <si>
    <t>Corrections for sorting of payment summary labels</t>
  </si>
  <si>
    <t>Payment Summary Listing Totals Incorrect when exceeds $100m</t>
  </si>
  <si>
    <t>Payment Summary Listing report is incorrect</t>
  </si>
  <si>
    <t>RPLSPRQ0 ignores Address subtype maintained in feature ADDRS</t>
  </si>
  <si>
    <t>Operation QSUPN incorrect value for retrospective term</t>
  </si>
  <si>
    <t>Error while reading time data during payroll simulation.</t>
  </si>
  <si>
    <t>PAYG(ATO) changes for 2010/2011 specifications</t>
  </si>
  <si>
    <t>Payment Summary Foreign Employement</t>
  </si>
  <si>
    <t>Leave payments tab in Term Org WB includes expired quotas.</t>
  </si>
  <si>
    <t>QPWCT: Doubling amounts in /GPT,/GWC in case of WPBP splits</t>
  </si>
  <si>
    <t>ETP listing / PS form is not generated for split payments.</t>
  </si>
  <si>
    <t>RPLSUMQ0/RPLSUMQ0_CE Output list is not aligned correctly</t>
  </si>
  <si>
    <t>Incorrect Payment Summary results in few scenarios</t>
  </si>
  <si>
    <t>Incorrect leave accrual for Non CE customers</t>
  </si>
  <si>
    <t>Protected Earning constants in table T511K for year 2011</t>
  </si>
  <si>
    <t>Termination Organizer Allows any reason code on sel. screen</t>
  </si>
  <si>
    <t>Australian Legislated Paid Parental Leave</t>
  </si>
  <si>
    <t>Payment Summary reports: Incorrect error for Wagetype</t>
  </si>
  <si>
    <t>Payroll Australia</t>
  </si>
  <si>
    <t>CE: Rollover Details tab not visible in Term Organiz.</t>
  </si>
  <si>
    <t>Incorrect Accrual and missing exits in RPTIME01.</t>
  </si>
  <si>
    <t>Incorrect Spelling in Warning Message for Term Workbench.</t>
  </si>
  <si>
    <t>Term Org WB: Multiple records for the same record.</t>
  </si>
  <si>
    <t>Default values of user exit in infotpye 3270 overwritten</t>
  </si>
  <si>
    <t>DMFA-Notification Q3/2010: Update of sections and fields</t>
  </si>
  <si>
    <t>Dimona 2010 : Correction declaration in Period ID</t>
  </si>
  <si>
    <t>DeCavaA: Incomplete months with absence days</t>
  </si>
  <si>
    <t>DeCavaA/DmfA: Repeated worker records for CI contributions</t>
  </si>
  <si>
    <t>Dimona 2010: Dimona Start Date not use to read master data</t>
  </si>
  <si>
    <t>BELCOTAX: Corrections to Spool Log in Background Mode</t>
  </si>
  <si>
    <t>Dimona 2010 - Correction on Migration Report</t>
  </si>
  <si>
    <t>DeCavaA - Dump in infotype 3271 when CE is enabled</t>
  </si>
  <si>
    <t>Dimona 2010: Notification upload corrections</t>
  </si>
  <si>
    <t>Dimona 2010 - Correction on Migration Report (Decl. Number)</t>
  </si>
  <si>
    <t>Dimona 2010 - Preparation Report - ALV in Background</t>
  </si>
  <si>
    <t>DeCavaA - Data entry checks 3271 &amp; 3270 - Wagetype Limits</t>
  </si>
  <si>
    <t>Using new institution tables does not show company name</t>
  </si>
  <si>
    <t>DeCavaA: Incomplete months without work schedule (IT0007)</t>
  </si>
  <si>
    <t>Wrong description of IMG activity</t>
  </si>
  <si>
    <t>Payroll /BFEVL: Number of employment 01 duplicated</t>
  </si>
  <si>
    <t>HBRFCOL0:remaining 0,5 day in quota - employee with &lt; 1 year</t>
  </si>
  <si>
    <t>MANAD: Memory consumption/Huge TemSe files</t>
  </si>
  <si>
    <t>AVERA: Averages not being frozen during maternity</t>
  </si>
  <si>
    <t>Standard Solution - ESS - Ordinance 1510</t>
  </si>
  <si>
    <t>SREP: generation of AFDT and ACJEF files - Time events - ESS</t>
  </si>
  <si>
    <t>HR-BR: DIRF with retrocalculated amounts</t>
  </si>
  <si>
    <t>HBRUTMS5: Viewing XML TemSe Files</t>
  </si>
  <si>
    <t>HBRTMSH0 - Forming the incorrect pairs of workday</t>
  </si>
  <si>
    <t>GARN: Priority field doesn't change in IT0066</t>
  </si>
  <si>
    <t>IT221 Unable to enter different Business number</t>
  </si>
  <si>
    <t>IT462 incorrect warning displayed</t>
  </si>
  <si>
    <t>PY-CA-RP</t>
  </si>
  <si>
    <t>YE10: Amounts doubling on RL-1 Slip</t>
  </si>
  <si>
    <t>PY-CA-TP</t>
  </si>
  <si>
    <t>3rd Party Remittance</t>
  </si>
  <si>
    <t>3PR: No entry in table T51R6_FUNDINFO.</t>
  </si>
  <si>
    <t>3PR: 3PR Evaluation Run missing in SAP easy access Menu</t>
  </si>
  <si>
    <t>Error msg (greater than 120 days) despite IT 48 restriction</t>
  </si>
  <si>
    <t>Family equaltzn fund: Error for child with bonus of CHF 0</t>
  </si>
  <si>
    <t>FBR: Err due to persons w/o SI no that have left the company</t>
  </si>
  <si>
    <t>Year-end legal chg 2010/2011:SI chgs to cnstnts for UI + MCF</t>
  </si>
  <si>
    <t>ISEL: Adjusting sample Customizing for tax scale codes 2010</t>
  </si>
  <si>
    <t>ISEL: Residence status short-term residence L</t>
  </si>
  <si>
    <t>Documentation for family-related bonus register enhancement</t>
  </si>
  <si>
    <t>ISEL: BAdI: Free text fields not in XML file</t>
  </si>
  <si>
    <t>PY-CL: Chile payroll - Corrections and Improvements</t>
  </si>
  <si>
    <t>Adjustment of Checkman errors (CL) (don't release it)</t>
  </si>
  <si>
    <t>PY-CL: new Pension Plan basis for Medical Leaves</t>
  </si>
  <si>
    <t>PY-CL: General Corrections for Support Package 29</t>
  </si>
  <si>
    <t>PY-CL: Missing FORM in Payroll Function CLTSS and CLTDE</t>
  </si>
  <si>
    <t>PY-CL: Missing Family Allowances payments in Payroll</t>
  </si>
  <si>
    <t>PY-CL: Removal of obsolete model Wage Types</t>
  </si>
  <si>
    <t>Unrecognizable Code for Chinese Characters in Tax Report</t>
  </si>
  <si>
    <t>Year End Tax Declaration Enhancement</t>
  </si>
  <si>
    <t>HCNCTXD0/HCNCTXE0 Reports Cannot Display EE ID Numbers</t>
  </si>
  <si>
    <t>Contents of year-end legal change Germany 2010/2011</t>
  </si>
  <si>
    <t>RE510: Exit to determine CDATUM</t>
  </si>
  <si>
    <t>Business to Admin.</t>
  </si>
  <si>
    <t>Performance improvement for B2A Manager</t>
  </si>
  <si>
    <t>SI: Corrections and improvements for B2A</t>
  </si>
  <si>
    <t>SI: Communications server query PPO DEUEV</t>
  </si>
  <si>
    <t>SI: Improvements and corrections for SI communication</t>
  </si>
  <si>
    <t>ETNotif./ETStmt: Corrs and supplements to XML schema 2010</t>
  </si>
  <si>
    <t>ELENA: Evaluating constant TOAPP for ENR</t>
  </si>
  <si>
    <t>ELENA: Corrections and improvements</t>
  </si>
  <si>
    <t>ETNotif./ETStmt: Changes for year-end legal change</t>
  </si>
  <si>
    <t>SP: Extension of certificates</t>
  </si>
  <si>
    <t>New DEUEV occupational code: Preparations</t>
  </si>
  <si>
    <t>DEUEV notifications for business data maintenance</t>
  </si>
  <si>
    <t>DEUEV: Preparation for the new data record version 02</t>
  </si>
  <si>
    <t>DEUEV: Meeting result of September 01, 2010</t>
  </si>
  <si>
    <t>ELENA: Termination notifications w/o action for leaving</t>
  </si>
  <si>
    <t>ELENA: Changes for year-end legal change 2010/2011</t>
  </si>
  <si>
    <t>Payroll Journal</t>
  </si>
  <si>
    <t>Payroll account - changes at year-end legal change 2010/2011</t>
  </si>
  <si>
    <t>Retroactive accounting print in remuneration statement</t>
  </si>
  <si>
    <t>PY-DE-GR</t>
  </si>
  <si>
    <t>Gross</t>
  </si>
  <si>
    <t>Autom. determinatn of remuneration paid for prohibited act.</t>
  </si>
  <si>
    <t>Enhancement T5DR4 for recalculating modules in case of RA</t>
  </si>
  <si>
    <t>Mapping BVV in AVmG: Enhancements I</t>
  </si>
  <si>
    <t>Transfer of GPR quota "SI-Exempt Sec.14 SGB IV"</t>
  </si>
  <si>
    <t>Maintenance garnishment garnishes from priority area first</t>
  </si>
  <si>
    <t>Transaction PU01: Deleting garnishment data</t>
  </si>
  <si>
    <t>Garnishment principle of origin: Correcting taxes for GOP</t>
  </si>
  <si>
    <t>Structure eqlztn wage types encrypted incorr for garnishment</t>
  </si>
  <si>
    <t>Validity /453-/455 for personnel subarea groupings</t>
  </si>
  <si>
    <t>Reporting for reimbursement of employer expenses</t>
  </si>
  <si>
    <t>Year-end legal change 2010/2011 social insurance</t>
  </si>
  <si>
    <t>Correction for the check for the AI member number for VBG</t>
  </si>
  <si>
    <t>PY-DE-NT-RH</t>
  </si>
  <si>
    <t>Red.Hrs./BadWtherPay</t>
  </si>
  <si>
    <t>RPCKULD3: Sorting of payroll lists</t>
  </si>
  <si>
    <t>RHC: Changes at year-end legal change 2010/2010</t>
  </si>
  <si>
    <t>PY-DE-NT-SR</t>
  </si>
  <si>
    <t>Part time for pens.</t>
  </si>
  <si>
    <t>Tax liability of increases and SI-exempt one-time payments</t>
  </si>
  <si>
    <t>Operation DATZ RW is not executed</t>
  </si>
  <si>
    <t>Changes to tax for year-end legal change</t>
  </si>
  <si>
    <t>Incorrect author. checks for reports of empl. tax statements</t>
  </si>
  <si>
    <t>Employment tax statement: Changes 12 2010</t>
  </si>
  <si>
    <t>ZfA: Checking notification directory (cluster directory)</t>
  </si>
  <si>
    <t>Minor corrections at time of synchronization</t>
  </si>
  <si>
    <t>ZfA: Resetting incorrect B2A processes</t>
  </si>
  <si>
    <t>Service Regulations Readj.Act(DNeuG): Salary adjustment 2011</t>
  </si>
  <si>
    <t>Indirect Valuation of DOZUL for Subtypes of Infotype 0008</t>
  </si>
  <si>
    <t>Incorrect Display of Hours Field in Infotype 0509</t>
  </si>
  <si>
    <t>DNeuG in the infotype 0052 (Wage Maintenance)</t>
  </si>
  <si>
    <t>GOP: Empty claim wage types in case of retroactive accountng</t>
  </si>
  <si>
    <t>Interim bonus</t>
  </si>
  <si>
    <t>TVoD Federal: New entries in structure equalization table</t>
  </si>
  <si>
    <t>Pension Administr.</t>
  </si>
  <si>
    <t>Retro acctg trigger for ref PersNo for pens. equaliztn. pmnt</t>
  </si>
  <si>
    <t>Treaty on the sharing of pension costs</t>
  </si>
  <si>
    <t>Maintennce paymnt: Default values numertr/denominator redctn</t>
  </si>
  <si>
    <t>Maintenance Paymt Acc. to Sec.38 in Conj. w/ Sec.53 BeamtVG</t>
  </si>
  <si>
    <t>Pension equalization payt 2010: Active liable pers + exemptn</t>
  </si>
  <si>
    <t>Feature DOVLA: Not possible to evaluate maintenance payment</t>
  </si>
  <si>
    <t>Public Services regulatn, state of Bavaria: Phase 3, part 2</t>
  </si>
  <si>
    <t>Error message: Feature P0008 has not been activated yet</t>
  </si>
  <si>
    <t>Pension equalization 2010: Missing texts automatic/manual</t>
  </si>
  <si>
    <t>Eighth adjustment according to section 69e BeamtVG IV</t>
  </si>
  <si>
    <t>Reduction sect 57 BeamtVG: Err + terminatn in dynamic modif</t>
  </si>
  <si>
    <t>Public Services regulatn Bavaria: Incorr texts in statement</t>
  </si>
  <si>
    <t>Reduction sec. 57: Incorrect adjust. factor for rate change</t>
  </si>
  <si>
    <t>Reduction sect. 57: Applying a partial adjustment in payroll</t>
  </si>
  <si>
    <t>Pension equalization payment 2010: Minimum pension</t>
  </si>
  <si>
    <t>Adjustments to DATUEV-ZVE Version 1.03 (November 2010)</t>
  </si>
  <si>
    <t>Inflow Principle, Retroactive Remun. Change, Org. Reassgmt</t>
  </si>
  <si>
    <t>German Pension Reform: Tax exmptn of amnts during mil. serv.</t>
  </si>
  <si>
    <t>PY-DE-RP-ES</t>
  </si>
  <si>
    <t>Evaluation/Stats.</t>
  </si>
  <si>
    <t>RPTLEAD0: Wage types with splits not taken into account</t>
  </si>
  <si>
    <t>RPCEHCD1: Remuneration structure survey 2010</t>
  </si>
  <si>
    <t>RPLEHAD3: Changes for display year 2010</t>
  </si>
  <si>
    <t>Part-time income in application for parental leave benefit</t>
  </si>
  <si>
    <t>Corrections: Statements (international parts) 01/10</t>
  </si>
  <si>
    <t>Statements with SAP Interactive Forms: Enhancements 1</t>
  </si>
  <si>
    <t>Corrections to statements, December 2010</t>
  </si>
  <si>
    <t>Termination in statements with interactive forms</t>
  </si>
  <si>
    <t>Statements with interactive forms: Entering dates</t>
  </si>
  <si>
    <t>CHECKMAN</t>
  </si>
  <si>
    <t>Off-cycle: Extra payment after rehiring</t>
  </si>
  <si>
    <t>Benefits BRD for maternity protection improperly calculated</t>
  </si>
  <si>
    <t>Certific@2: Corrections V</t>
  </si>
  <si>
    <t>Retentions Certificate Â· Error with negative retentions</t>
  </si>
  <si>
    <t>AFI: RPCAFIE0 rejecting employees</t>
  </si>
  <si>
    <t>AFI: Authorization key for AFI form on CTA movement</t>
  </si>
  <si>
    <t>Certific@2: Wrong employee selection in RPURT2E0 report</t>
  </si>
  <si>
    <t>Certific@2: bases de cotizaciÃ³n negativas</t>
  </si>
  <si>
    <t>CALC: Error in contributions for training contracts with VND</t>
  </si>
  <si>
    <t>FDI: Wrong number of worked days in case of VND</t>
  </si>
  <si>
    <t>Certific@2: Unemployment base incorrect for artists</t>
  </si>
  <si>
    <t>CALC: Error in distribution of VND contribution basis</t>
  </si>
  <si>
    <t>Certific@2: Incorrect dates of Infotype 3231 in test mode</t>
  </si>
  <si>
    <t>CALC: Percentages correction for some types of unemployment</t>
  </si>
  <si>
    <t>Profession code limited from 1 until 4 digits in Delt@</t>
  </si>
  <si>
    <t>CALC: Wrong unemployment contribution for training contract</t>
  </si>
  <si>
    <t>TC: RPCTC0E0 reporting bonifications in CA80 for employee</t>
  </si>
  <si>
    <t>Certific@2: CESE using VND time within the 180 last days</t>
  </si>
  <si>
    <t>TC: Incorrect number of worked days in complementaries</t>
  </si>
  <si>
    <t>In HFILTAX0 &amp; HFILTAX1 taxcode 317 is not correctly reported</t>
  </si>
  <si>
    <t>Pay List and Pay Journal: Wage types missing in total</t>
  </si>
  <si>
    <t>FR-PY: RPLAASF1 - Retroactive cancellation of a wagetype II</t>
  </si>
  <si>
    <t>New General Ledger</t>
  </si>
  <si>
    <t>DADS-U: S45 tranches missing in S45.G05.15</t>
  </si>
  <si>
    <t>Personnel actions &gt; 5 yrs not displayed for employee present</t>
  </si>
  <si>
    <t>Att. ASSEDIC - new data on paper declaration (and more)</t>
  </si>
  <si>
    <t>EDI declarations: Dump when errors creating envelopes</t>
  </si>
  <si>
    <t>N4DS preparation</t>
  </si>
  <si>
    <t>Att. ASSEDIC - Frame 1 - number of employees not appearing</t>
  </si>
  <si>
    <t>DUCS EDI: Structure defining record GEN is incorrect</t>
  </si>
  <si>
    <t>DUCS EDI IRC: Changes to APEC contribution as of 01/01/2011</t>
  </si>
  <si>
    <t>Default values for authorization objects adjusted</t>
  </si>
  <si>
    <t>RPUTIRF1: Lunch Vouchers to be sent to employee address</t>
  </si>
  <si>
    <t>/RF2 accumulation</t>
  </si>
  <si>
    <t>Table V_T77TNMFR_FC is missing in 2483 dÃ©claration custom.</t>
  </si>
  <si>
    <t>RPLXXXFX: search help missing for SIREN / NUMIC</t>
  </si>
  <si>
    <t>DADS: Wrong amount format for several sections</t>
  </si>
  <si>
    <t>EDI declarations: wrong dictionary structures</t>
  </si>
  <si>
    <t>wage type /121 must not go in wage type /550</t>
  </si>
  <si>
    <t>Localization of New GL for France - Customizing (Doc)</t>
  </si>
  <si>
    <t>PY-FR: changes in constant pfru0_cte_highvalue</t>
  </si>
  <si>
    <t>V_T5F1L: texts shown in wrong language</t>
  </si>
  <si>
    <t>PC00_M08_PAY_SHEET does'nt work for Maximize offset scenario</t>
  </si>
  <si>
    <t>Pennies from Heaven</t>
  </si>
  <si>
    <t>SWF : Miscellaneous Issues</t>
  </si>
  <si>
    <t>ME NI Linking Framework - IT0031</t>
  </si>
  <si>
    <t>PY-GB-NT</t>
  </si>
  <si>
    <t>PY-GB-NT-RP</t>
  </si>
  <si>
    <t>Retirement Pension</t>
  </si>
  <si>
    <t>Pension Earnings Cap for 2011/2012</t>
  </si>
  <si>
    <t>HRGB: SWF Annual Census Pilot changes</t>
  </si>
  <si>
    <t>RPLNFIG0 : Issue in ME and CSV layout</t>
  </si>
  <si>
    <t>SWF: Additional Payment &amp; Staff Changing School Issues</t>
  </si>
  <si>
    <t>SWF report throws error messages for Staff Changing School</t>
  </si>
  <si>
    <t>Company car and van benefit 2010-11: Zero and Low emission</t>
  </si>
  <si>
    <t>P46 CAR report: Incorrect behaviour for replacement cars</t>
  </si>
  <si>
    <t>Incorrect output in Section F for P11D report</t>
  </si>
  <si>
    <t>Tax basis and Gender field not displayed in P46PEN SAPSCRIPT</t>
  </si>
  <si>
    <t>IYMV report and IT0065 enhancement</t>
  </si>
  <si>
    <t>Page number no change or disappear on MPF Bermuda report</t>
  </si>
  <si>
    <t>Additional Form for IR56G and IR56F</t>
  </si>
  <si>
    <t>PY-IE: Legal Change: Levy Annualisation Period changed</t>
  </si>
  <si>
    <t>PY-IE: HIECEOY0: Error SAPScript Missing</t>
  </si>
  <si>
    <t>PRD Wagetype Change</t>
  </si>
  <si>
    <t>PY-IE: Payroll short dump after note 1475861</t>
  </si>
  <si>
    <t>HIECEOY0 - End of Year - XML - Incorrect Tax Basis</t>
  </si>
  <si>
    <t>Employee not reflected in the challan mapping utility</t>
  </si>
  <si>
    <t>INCTX: Annual exemptions not carried forward to next periods</t>
  </si>
  <si>
    <t>Form 12BA: Company full name not displayed on downloading</t>
  </si>
  <si>
    <t>DCF PF annexure reported - inconsitency while printing PDF</t>
  </si>
  <si>
    <t>HR-IN: ESI employer deduction in case of split in /113</t>
  </si>
  <si>
    <t>ESI Contribution : inconsistent in case of inactive status</t>
  </si>
  <si>
    <t>Driver perks calculated based on number of drivers</t>
  </si>
  <si>
    <t>FBP: Incorrect delimition of Infotype 0589 (no compen grp)</t>
  </si>
  <si>
    <t>Form 24Q: Deduction record reported incorrectly</t>
  </si>
  <si>
    <t>TDS on income from house property inconsistent tax till date</t>
  </si>
  <si>
    <t>Claims Pay &amp; Tax : Inconsistent if IT0589 maintained</t>
  </si>
  <si>
    <t>Inconsistent /416 if recovery is more than cross FY arrears</t>
  </si>
  <si>
    <t>Tax for Previous Emp. calculated inconsistently in retros</t>
  </si>
  <si>
    <t>Sec 80CCD - pension contribution notified by central govt.</t>
  </si>
  <si>
    <t>Form 24Q -'C' for employees with higher tax, PAN validation</t>
  </si>
  <si>
    <t>Maharashtra LWF - Incorrect text in layout</t>
  </si>
  <si>
    <t>Variable DA amounts incorrectly calculated</t>
  </si>
  <si>
    <t>HINCF160: Tax details not displayed for retro periods</t>
  </si>
  <si>
    <t>Inconsistency in Pension contribution in case of splits</t>
  </si>
  <si>
    <t>Form 24Q - Employer address not reported in the file</t>
  </si>
  <si>
    <t>Form 16: Layout changes for financial year 2010-11</t>
  </si>
  <si>
    <t>Incorrect challan mapping with TAN number based soln</t>
  </si>
  <si>
    <t>HR-IT: Error on rule ITC1 for release 604</t>
  </si>
  <si>
    <t>HR-IT TFR 2010</t>
  </si>
  <si>
    <t>HR-IT: F24 CBI file with empty sections</t>
  </si>
  <si>
    <t>HR-IT: Fiscal code check not regarding date</t>
  </si>
  <si>
    <t>HR-IT: Management of absences linked to quotas (IT2006)</t>
  </si>
  <si>
    <t>HR-IT: F24 2010</t>
  </si>
  <si>
    <t>HR-IT: CIG - Missing additional contrib. for prev. auth. CIG</t>
  </si>
  <si>
    <t>HR-IT: ICPRV - conguaglio AG and AM with prev. employer</t>
  </si>
  <si>
    <t>HR-IT: Transaction code for report RFFOIT_FOR missing</t>
  </si>
  <si>
    <t>HR-IT: 770 2010: Record types A and B headers aren't filled</t>
  </si>
  <si>
    <t>HR-IT: Management of individual percentage of IRPEF tax</t>
  </si>
  <si>
    <t>HR-IT: Fields blocked in View V_T5ITDG_1 and V_T5ITDG_2</t>
  </si>
  <si>
    <t>HR-IT: IT305 Review</t>
  </si>
  <si>
    <t>HR-IT: Missing maintenace dialog for view V_T5ITM6</t>
  </si>
  <si>
    <t>PY-IT-IE</t>
  </si>
  <si>
    <t>Interf to Ext Pay Sy</t>
  </si>
  <si>
    <t>OTMI:Need to remove IT548 supp social security due to volume</t>
  </si>
  <si>
    <t>RPLDTDJ0: Output the Address for the Live-with Dependent</t>
  </si>
  <si>
    <t>Enhancement for Labour Insurance Deduction in Retro Case</t>
  </si>
  <si>
    <t>Enable traditional JKING under EhP4 new functions</t>
  </si>
  <si>
    <t>Incorrect Proration of Domestic Souce Income</t>
  </si>
  <si>
    <t>HJPUJU_DEPINF_2011: Some Text Error</t>
  </si>
  <si>
    <t>HJPUCP_BRCAL: Interest Amount Calculation Incorrect for BAdI</t>
  </si>
  <si>
    <t>Minus Value is Not Calculated for /311, /313 and /314</t>
  </si>
  <si>
    <t>RPCEWGJ1: Enhance output data by BAdI</t>
  </si>
  <si>
    <t>Health ins. &amp; EE's pens. are Not Deducted</t>
  </si>
  <si>
    <t>RPLDTDJ0:Missing Fields using Customer-Specific Print Layout</t>
  </si>
  <si>
    <t>RPCEWGJ1: Incorrect Output When Run Before Applied Year</t>
  </si>
  <si>
    <t>Enhance and Optimize Korea 2010 YEA Legal Changes</t>
  </si>
  <si>
    <t>Off-cycle Bonus Payment Correction</t>
  </si>
  <si>
    <t>Reversal Payments MX</t>
  </si>
  <si>
    <t>HR-MX: Too many records in infotype 0370 - FONACOT</t>
  </si>
  <si>
    <t>HR-MX: SDI records incorrectly generated after Note 1407277</t>
  </si>
  <si>
    <t>HR-MX: SDI for incapacity days Customizing per BTRTL</t>
  </si>
  <si>
    <t>HR-MX: Base Salary selectable from Solidarity Savings</t>
  </si>
  <si>
    <t>HR-MX: INFONAVIT discounts uses incorrect integrated salary</t>
  </si>
  <si>
    <t>HR-MX: HMXCIES0 with incorrect Master Data for off-cycles</t>
  </si>
  <si>
    <t>HR-MX: IT0006 no longer mandatory for HMXCAFL0</t>
  </si>
  <si>
    <t>PY-MX: New Housing Insurance fee for INFONAVIT's credits</t>
  </si>
  <si>
    <t>PY-MX-CE</t>
  </si>
  <si>
    <t>Payroll Mexico</t>
  </si>
  <si>
    <t>MX_CE: Data element G_TTYPE_OLD not available</t>
  </si>
  <si>
    <t>HMXCSARPBS: Extemporary entries with items 18 and 19 doubled</t>
  </si>
  <si>
    <t>Last name not copied via Copy infotype for IT0021</t>
  </si>
  <si>
    <t>PY-MY:CP8D form not generated for multiple offcycle payments</t>
  </si>
  <si>
    <t>PY-MY : Incorrect amounts displayed in CP8D form</t>
  </si>
  <si>
    <t>Incorrect year in EA and Borang E form</t>
  </si>
  <si>
    <t>Aangifte LH: Incorrect XML created for Premie Wachtgeldfonds</t>
  </si>
  <si>
    <t>FlexBenNL: NLFB2 does not work correctly for delimited 0171</t>
  </si>
  <si>
    <t>Aangifte LH: Changes to Loonaangifte for 2011</t>
  </si>
  <si>
    <t>RPCJWNN1: New Logical Form Name for SAPScript Output</t>
  </si>
  <si>
    <t>New statutory minimum wages as of January 1st, 2011</t>
  </si>
  <si>
    <t>YELC2010/2011: Early Retirement Scheme Final Levy Rate EHVUT</t>
  </si>
  <si>
    <t>YELC2010/2011: AWBZ-Premium over the World Income</t>
  </si>
  <si>
    <t>PY-NL-IE</t>
  </si>
  <si>
    <t>Interface</t>
  </si>
  <si>
    <t>OTMN: New legislative field requirements added</t>
  </si>
  <si>
    <t>Change in Svalbard ERC reporting display</t>
  </si>
  <si>
    <t>Self Declared Illness Warning Report: RPLSDIVO Enhancements</t>
  </si>
  <si>
    <t>Correct December Half Tax calculation</t>
  </si>
  <si>
    <t>Reimbursement Reporting Issues - November 2010</t>
  </si>
  <si>
    <t>AA Register Reporting Issues - November 2010</t>
  </si>
  <si>
    <t>Incorrect ERC calculation for UTL1 employee and OREF WT</t>
  </si>
  <si>
    <t>PY-NO-PS</t>
  </si>
  <si>
    <t>Payroll Norway - PS</t>
  </si>
  <si>
    <t>Incorrect Pay-Scale Level for a newly hired employee</t>
  </si>
  <si>
    <t>SPK Reporting Issues - November 2010</t>
  </si>
  <si>
    <t>Payroll Non-profit O</t>
  </si>
  <si>
    <t>Determine right payroll currency in off-cycle Payroll</t>
  </si>
  <si>
    <t>Multidecimal Processing and other leave issues</t>
  </si>
  <si>
    <t>PC00_M43_LSUM does not include WT /450 Donation Tax credit</t>
  </si>
  <si>
    <t>HNZLBTD0 giving dump on summation</t>
  </si>
  <si>
    <t>Incorrect value for Evaluation Class 12 for Wage type /450</t>
  </si>
  <si>
    <t>EMS(IR348) - Employee not reported in exceptions report</t>
  </si>
  <si>
    <t>PY-PH: SSSEdiNet application server download file truncated</t>
  </si>
  <si>
    <t>PY-PH: Philhealth file format, file name/path domain change.</t>
  </si>
  <si>
    <t>New payroll process of income category B (self-employees)</t>
  </si>
  <si>
    <t>Single Report: new parameter in BAdI of hires/fires reading</t>
  </si>
  <si>
    <t>Public Sector Payrol</t>
  </si>
  <si>
    <t>PS-PT: Annual Staff Report and legal information for PS</t>
  </si>
  <si>
    <t>HCM PT PS: screen layout of ADSE infotype</t>
  </si>
  <si>
    <t>Documentation for Portugal - ADSE and Death Allowance</t>
  </si>
  <si>
    <t>SIADAP: Manual entries for Infotype 3218</t>
  </si>
  <si>
    <t>PA: Russia</t>
  </si>
  <si>
    <t>HR-RU: P0003-rrdat is changing during IT0048 creation</t>
  </si>
  <si>
    <t>HR-RU: T7RUG0 allows to enter wage types only for molga = 33</t>
  </si>
  <si>
    <t>HR-RU: CL_HRPAYRU_PLTAXRUN not detects Tax Schema ID</t>
  </si>
  <si>
    <t>HR-RU: Documentation for Processing Class and Rules</t>
  </si>
  <si>
    <t>HR-RU: 33BON with variants N, M error with starting percent</t>
  </si>
  <si>
    <t>HR-RU: wrong retro of off-cycle in case of JUPER changed</t>
  </si>
  <si>
    <t>HR-RU: T-60 and future month vacation via off-cycle</t>
  </si>
  <si>
    <t>HR-RU: HRULSICK shows wrong text for absence type (AWATX)</t>
  </si>
  <si>
    <t>Objects reassigment to cross-country package P99RU</t>
  </si>
  <si>
    <t>dummy test CLC / Checkman Note</t>
  </si>
  <si>
    <t>Incorrect 'Not deducted union dues' in case of retro</t>
  </si>
  <si>
    <t>RPSSFMS0:Employee statistic report Code 600 repeated twice</t>
  </si>
  <si>
    <t>RPLSPPS2 Issue when Payment date is after the pay period</t>
  </si>
  <si>
    <t>VACS table entries are incorrect in payroll</t>
  </si>
  <si>
    <t>SG-Payroll : CPF in Shortfall cases</t>
  </si>
  <si>
    <t>IR8A: invalid e-sub appendix 8b file for section C</t>
  </si>
  <si>
    <t>IT0081: description in search help for vocation is erroneous</t>
  </si>
  <si>
    <t>Misalignment in the Social Security Summary forms</t>
  </si>
  <si>
    <t>LC: Tourism tax exemption of an Employee</t>
  </si>
  <si>
    <t>Employer Tax ID incorrect in Thai version of PIT91 form</t>
  </si>
  <si>
    <t>Corrections of Social Security Detail Form</t>
  </si>
  <si>
    <t>Tax-free Setting for Resident Off-cycle Payment Not Work</t>
  </si>
  <si>
    <t>PY-US-BSI</t>
  </si>
  <si>
    <t>Tax Interface BSI</t>
  </si>
  <si>
    <t>Misc: Change of Ownership of Packages/Objects for PY-US-BSI</t>
  </si>
  <si>
    <t>BSI 8.0 Cyclic P: PERS and Tax Types 68 and 69 for Colorado.</t>
  </si>
  <si>
    <t>PY-US-IE</t>
  </si>
  <si>
    <t>OTMU - Adding segment for Infotype 234 (Addtnl Withholding)</t>
  </si>
  <si>
    <t>PY-US-PS: Locking error in Absence Donation infotype</t>
  </si>
  <si>
    <t>Pub. Sector Benefits</t>
  </si>
  <si>
    <t>Health Plans: BAdI to evaluate Hawaii Prepaid Health Care.</t>
  </si>
  <si>
    <t>Claims processing does not consider changes in PRCL 71.</t>
  </si>
  <si>
    <t>RPCPRRU0 - Multiple selection of WTs cleared by F4 help</t>
  </si>
  <si>
    <t>PY-US-TP</t>
  </si>
  <si>
    <t>3PR: Vendor detail fails to open in RPURMR00 report.</t>
  </si>
  <si>
    <t>3PR: Error when deleting multiple 3PR postings in background</t>
  </si>
  <si>
    <t>3PR: Incorrect individual amounts in report RPURMR00</t>
  </si>
  <si>
    <t>3PR: RPURME00 fails when run for terminated employees.</t>
  </si>
  <si>
    <t>3PR: Undoing of posting items takes a long time.</t>
  </si>
  <si>
    <t>3PR: "For PerNo/SEQNO not in GRDOC" error in posting run</t>
  </si>
  <si>
    <t>3PR Eval run posts incorrect amounts in Gap period scenario</t>
  </si>
  <si>
    <t>TR: Note 1173736: Incomplete Synchronization for EHP 604</t>
  </si>
  <si>
    <t>TR: SUI Form for Arizona: Missing entry in T51T5</t>
  </si>
  <si>
    <t>TR: Line 10 of 941 does not match total amount in Sched.B</t>
  </si>
  <si>
    <t>Year End 2010 Phase II for U.S. Tax Reporter</t>
  </si>
  <si>
    <t>PY-US-TR: Rounding issue in OK SUI Form</t>
  </si>
  <si>
    <t>PY-US-TR: SUI PDF Colorado missing boxes 1, 2 and 8</t>
  </si>
  <si>
    <t>PY-US-TR: Errors on calculation of HIRE Act amount</t>
  </si>
  <si>
    <t>TR: Issues with name formatting in SUI Tennessee</t>
  </si>
  <si>
    <t>TR: Unemp. Insurance form for State of Delaware corrections</t>
  </si>
  <si>
    <t>View V_T541A - short dump SAPSQL_INVALID_FIELDNAME</t>
  </si>
  <si>
    <t>PY-XX: Payroll log correction for Chile</t>
  </si>
  <si>
    <t>RPCALCx0: withdrawn employee with entries in T52RIC</t>
  </si>
  <si>
    <t>Include RPCFDCZ0 missing in payroll driver for CN, KR and IN</t>
  </si>
  <si>
    <t>PY-XX: Chilean payroll inclusion in SAP Easy Access</t>
  </si>
  <si>
    <t>HR-IT: PCLx italian clusters</t>
  </si>
  <si>
    <t>Documentation update ("Residence status" for Switzerland)</t>
  </si>
  <si>
    <t>HLACTERM0:'Additional payments' doesn't register new entries</t>
  </si>
  <si>
    <t>PY-XX-BS</t>
  </si>
  <si>
    <t>Correction of note 1471416: Fields NDATE &amp; GDATE not filled</t>
  </si>
  <si>
    <t>Warning message 3G 060 for entries that should be valid</t>
  </si>
  <si>
    <t>IMPORT B2 cluster read the incorrect entries of table ALP</t>
  </si>
  <si>
    <t>Collapsed (condensed) display of results table RT</t>
  </si>
  <si>
    <t>T500L: New country grouping MO</t>
  </si>
  <si>
    <t>RPUDEL20: save entries before delete</t>
  </si>
  <si>
    <t>RPUCTP00: Mapping of Permo with Molga</t>
  </si>
  <si>
    <t>Amount paid from Infotype 0009 is incorrect (currency conv.)</t>
  </si>
  <si>
    <t>PY-XX-CE</t>
  </si>
  <si>
    <t>Conc.Empl.-Int.Pay.</t>
  </si>
  <si>
    <t>HRPY_GROUPING table entries created when no PY results exist</t>
  </si>
  <si>
    <t>PY-XX-DME</t>
  </si>
  <si>
    <t>Preliminary DME</t>
  </si>
  <si>
    <t>HR-DTA: Imprecise error message in case of cash payment</t>
  </si>
  <si>
    <t>PY-XX-DT</t>
  </si>
  <si>
    <t>Posting</t>
  </si>
  <si>
    <t>RPCIPE01: No doc summarization in case of retroactive acctg</t>
  </si>
  <si>
    <t>RPCIPE01: Corrections for setting 3</t>
  </si>
  <si>
    <t>RPCIPE01: Memory consumption</t>
  </si>
  <si>
    <t>RPCIPE01: Start date for payroll simulation</t>
  </si>
  <si>
    <t>RPCIPE01: Document creation with "Provide Cost Planning"</t>
  </si>
  <si>
    <t>H99_POST_PAYMENT: Transfer postings after Customizng changes</t>
  </si>
  <si>
    <t>H99_POST_PAYMENT in case of partial check replacement</t>
  </si>
  <si>
    <t>RPCIPE00: Quantity posting when amount is 0</t>
  </si>
  <si>
    <t>BAdI: F4 input help dependent on personnel country grouping</t>
  </si>
  <si>
    <t>RPCIPE01: Commitment and cost planning</t>
  </si>
  <si>
    <t>RPCIPE00: Dump SAPSQL_ARRAY_INSERT_DUPREC</t>
  </si>
  <si>
    <t>RPCIPE01/CE Transfer postings during retroactive accounting</t>
  </si>
  <si>
    <t>RPCIP_DOCUMENT_ANALYSE selection for document type</t>
  </si>
  <si>
    <t>Short dump during payroll function XLIDI</t>
  </si>
  <si>
    <t>RPCIPE00: Balance of retroactive acctg chain not settled</t>
  </si>
  <si>
    <t>RPCIPE00: Duplicate entries in auditing information</t>
  </si>
  <si>
    <t>RPCIPE01CE: Person (with several assignments) skipped</t>
  </si>
  <si>
    <t>3PR: Closing gaps for distribution according to expenses</t>
  </si>
  <si>
    <t>RPCIPE01: Cost planning</t>
  </si>
  <si>
    <t>RPCIPE00:Posting balance in retroactive accounting chain 4</t>
  </si>
  <si>
    <t>PY-XX-FO</t>
  </si>
  <si>
    <t>Forms</t>
  </si>
  <si>
    <t>RPCKTOx0: Retro error for wage type having multiple entries</t>
  </si>
  <si>
    <t>RPCKTOx0: Text in Selection screen is truncated</t>
  </si>
  <si>
    <t>H99CWTR0: Total Amounts are split in period comparision</t>
  </si>
  <si>
    <t>Short dump when IT0128 record with subtype 2 is deleted</t>
  </si>
  <si>
    <t>IT0128 - Error "Could not read &lt;textid&gt; text" raised</t>
  </si>
  <si>
    <t>PY-XX-FO-PR</t>
  </si>
  <si>
    <t>Payroll Reports</t>
  </si>
  <si>
    <t>Wage Type Reporter - Cost center Text displayed is not new</t>
  </si>
  <si>
    <t>PY-XX-IE</t>
  </si>
  <si>
    <t>OTMI: Additional legal fields required International/Italy</t>
  </si>
  <si>
    <t>OTMx/OTxx: TRLR TRECS shows # EE processed not #segments</t>
  </si>
  <si>
    <t>OTxx: GP old/new bank &amp; benefits not importing correctly</t>
  </si>
  <si>
    <t>OTTM: CONNE_IMPORT_WRONG_FIELD_LENG field N_IDOC</t>
  </si>
  <si>
    <t>OT: Selection of a Provider - Customization User Exits</t>
  </si>
  <si>
    <t>OTxx: Missing trans Code for Interntnl Export</t>
  </si>
  <si>
    <t>Global Outsourcing: Area menu now availabe for countries</t>
  </si>
  <si>
    <t>OT: Minor corrections for synchronization release</t>
  </si>
  <si>
    <t>PY-XX-OC</t>
  </si>
  <si>
    <t>Off-Cycle</t>
  </si>
  <si>
    <t>OCWB: incorrect amount for payments with multiple currencies</t>
  </si>
  <si>
    <t>PY-OC: Translation error in message class HRPAY99OC</t>
  </si>
  <si>
    <t>Missing entry from table T52OCG after voiding payroll result</t>
  </si>
  <si>
    <t>Discrepancy in rem. statement between HRForms and Offcycle</t>
  </si>
  <si>
    <t>Offcycle Workbench creates multiple remuneration statements.</t>
  </si>
  <si>
    <t>PY-XX-PF</t>
  </si>
  <si>
    <t>Payroll Functions</t>
  </si>
  <si>
    <t>Amount paid from Infotype 0009 is calculated incorrectly</t>
  </si>
  <si>
    <t>Payroll log: wage type doesn't exist in V_T51P1</t>
  </si>
  <si>
    <t>CL_HRCE_MASTERSWITCHES=&gt;CE_IS_ACTIVE should not be used</t>
  </si>
  <si>
    <t>No error message in PE04 for non permitted characters</t>
  </si>
  <si>
    <t>Country exits for AVERA functions.</t>
  </si>
  <si>
    <t>Missing country exit for Ukraine</t>
  </si>
  <si>
    <t>Endless loop in payroll function PRPRI</t>
  </si>
  <si>
    <t>MEANV STOP does not always terminate the calculation</t>
  </si>
  <si>
    <t>HR: Special characters in documentation objects</t>
  </si>
  <si>
    <t>RPCLOF00 displays incorrect Repayments and Interests.</t>
  </si>
  <si>
    <t>PY-XX-RS</t>
  </si>
  <si>
    <t>Reuse Serv. for Co.D</t>
  </si>
  <si>
    <t>Function module does not raise any exception for error.</t>
  </si>
  <si>
    <t>HR Attributes: Only first customized value returned</t>
  </si>
  <si>
    <t>PY-XX-RS: Termination Report - Enhancements for Chile</t>
  </si>
  <si>
    <t>Runtime error after SAPscript output in class CL_HR99B_FORM</t>
  </si>
  <si>
    <t>Wrong data if HR_99S_OUTPUT_LFORM is called twice for SFO</t>
  </si>
  <si>
    <t>HR-MX: HLACTRM0 returning incorrect results</t>
  </si>
  <si>
    <t>HR_PAL_LOG_REFRESH refresh all parameters</t>
  </si>
  <si>
    <t>PY-XX-RS: Unified Reporting - Push buttons using New Log</t>
  </si>
  <si>
    <t>DAQ: Decimal Notation conversion</t>
  </si>
  <si>
    <t>PY-XX-RS: Wrong documentation selection in some views</t>
  </si>
  <si>
    <t>HR Wage Type Checks</t>
  </si>
  <si>
    <t>tbd</t>
  </si>
  <si>
    <t>PY-XX-TL</t>
  </si>
  <si>
    <t>Tools</t>
  </si>
  <si>
    <t>HR archiving: Deactivating transaction SARA</t>
  </si>
  <si>
    <t>Spool authorization field is missing for payment program</t>
  </si>
  <si>
    <t>Process Model does not stop at breakpoint</t>
  </si>
  <si>
    <t>IT 1633 data getting displayed as blank</t>
  </si>
  <si>
    <t>IRP5 Reprint Issue</t>
  </si>
  <si>
    <t>Labour Relations and Skills Development on EEA2 Report</t>
  </si>
  <si>
    <t>Labour Relations Case File : Occupationa Categoty and Level</t>
  </si>
  <si>
    <t>SAPKE60429</t>
  </si>
  <si>
    <t>Additional selection on Payment Increase for DeCavaA</t>
  </si>
  <si>
    <t>Aangifte LH: Report RPILACN0 to support CAO-Code changes</t>
  </si>
  <si>
    <t>Capelo - Changes for DmfA/DmfAPPL</t>
  </si>
  <si>
    <t>Tax Advantage Company Car 2011-CO2 coefficient with 5 digits</t>
  </si>
  <si>
    <t>New forms for Educational Leave Reimbursements</t>
  </si>
  <si>
    <t>BFIRE: error when working schedule is not available or FREE</t>
  </si>
  <si>
    <t>Translation of infotype/subtype description 3270/3271</t>
  </si>
  <si>
    <t>DeCavaA: Incomplete months with absence days (ii)</t>
  </si>
  <si>
    <t>TAX: Legal changes effective January 1, 2011</t>
  </si>
  <si>
    <t>YE10: MRQ forms for Year End 2010</t>
  </si>
  <si>
    <t>YE10: Changes due to CRA XML schema revision</t>
  </si>
  <si>
    <t>YE10 : CRA Forms for Year End 2010</t>
  </si>
  <si>
    <t>YE10: Corrections due to MRQ XML schema revision</t>
  </si>
  <si>
    <t>Withholding tax for Vaud EMP-ACI: Certification complete</t>
  </si>
  <si>
    <t>Fiscal yr chg 2010/2011: Withholding tax acctg for canton BS</t>
  </si>
  <si>
    <t>FSO: Quarterly employmt stat., part-time 3, full-time equiv.</t>
  </si>
  <si>
    <t>IF Pyrll'08: Adding "UIS Wage" column in deflt layt</t>
  </si>
  <si>
    <t>HR-CH: Quality improvements</t>
  </si>
  <si>
    <t>SI: SHI comm server confirmations + processed confirmations</t>
  </si>
  <si>
    <t>SI/ELENA: Changes to XMAS SP 2010/2011</t>
  </si>
  <si>
    <t>Tax characteristic 05 for periods before 2011</t>
  </si>
  <si>
    <t>Retro 2nd Mid-Sep After Tax Deferring for the 1st Mid-Sep</t>
  </si>
  <si>
    <t>LC2011: Employment Ins, Multichild &amp; Foreigner Tax Method</t>
  </si>
  <si>
    <t>Concurrent Employment - Payroll Mexico</t>
  </si>
  <si>
    <t>YELC2010/2011: New Tax Calculation Rules for 2011</t>
  </si>
  <si>
    <t>YELC2010/2011: New Tax Tables for 2011</t>
  </si>
  <si>
    <t>YELC2010/2011: Work Cost Regulation (2nd part)</t>
  </si>
  <si>
    <t>YELC2010/2011: RPIBBLN0 Adjustments of Spec. Pay Percentage</t>
  </si>
  <si>
    <t>YELC2010/2011: Annual Salary Calc. for Wage Tax Special Pay</t>
  </si>
  <si>
    <t>New BADI and page for Norway ATS PDF RF-1025B Form</t>
  </si>
  <si>
    <t>Payslip and Annual Tax statement in XML format</t>
  </si>
  <si>
    <t>ATS report in XML format</t>
  </si>
  <si>
    <t>Sweden: ATS PDF forms in the recommended official layout</t>
  </si>
  <si>
    <t>Sweden: Year end legal changes 2010/2011</t>
  </si>
  <si>
    <t>Payroll Savings Bonds: Validity Ends with December 31, 2010</t>
  </si>
  <si>
    <t>HCM: Potential Directory Traversal Internat. Payroll PY-XX</t>
  </si>
  <si>
    <t>Unauthorized usage of application functionality in SAP_HR</t>
  </si>
  <si>
    <t>SAPKE60430</t>
  </si>
  <si>
    <t>Missing data records for full mode w/ extractor 0HR_PY_1_CE</t>
  </si>
  <si>
    <t>Enterprise Portal</t>
  </si>
  <si>
    <t>Portal Content</t>
  </si>
  <si>
    <t>Manager functionality</t>
  </si>
  <si>
    <t>BP for Manager Self-Service (HR)</t>
  </si>
  <si>
    <t>Remainder of Dates iviews fetching wrong Anniversary Dates</t>
  </si>
  <si>
    <t>PA-PA-CL: Progressive Annual Leave Quota</t>
  </si>
  <si>
    <t>Booking: session cancelled after VALIDATION</t>
  </si>
  <si>
    <t>TNM: Performance improvment executing snapshot</t>
  </si>
  <si>
    <t>Incorrect text for TNM_VDIF in view V_T5F5P</t>
  </si>
  <si>
    <t>TNM: Quota information not refreshed properly</t>
  </si>
  <si>
    <t>Relationship 941 is not created correctly during assignment</t>
  </si>
  <si>
    <t>TNM Assign.: Relationships are not displayed after refresh</t>
  </si>
  <si>
    <t>IT0088 behaviour across tax year</t>
  </si>
  <si>
    <t>IT0146: Correction on Screen Control(Dummy)</t>
  </si>
  <si>
    <t>HJPUCP_DTFTM: New Download Function for App. Server and PC</t>
  </si>
  <si>
    <t>Use KRW as Currency in Infotype 0538</t>
  </si>
  <si>
    <t>FlexBenNL: Dump CX_SY_PROVIDE_TABLE_NOT_SORTED in RPUFBRN0</t>
  </si>
  <si>
    <t>YELC2010/2011: Adjustment to documentation for PMA</t>
  </si>
  <si>
    <t>PA-PA-PT</t>
  </si>
  <si>
    <t>New group for contract type fields in infotype 0332</t>
  </si>
  <si>
    <t>CHECKMAN errors correction in 470x/ECC500/ECC600</t>
  </si>
  <si>
    <t>T-2: priority of the "education by OKIN" data</t>
  </si>
  <si>
    <t>The statement about the sum of a salary and other payments</t>
  </si>
  <si>
    <t>SZV-6-1(SZV-6-2), SPV-1 - PNP selection data</t>
  </si>
  <si>
    <t>Transfer Labor Insurance in the same company</t>
  </si>
  <si>
    <t>Wage type rejected in various infotypes</t>
  </si>
  <si>
    <t>PA-PA-ZA</t>
  </si>
  <si>
    <t>MP000900 : P0009-ZWECK "Purpose of Bank Transfers"</t>
  </si>
  <si>
    <t>Swiss pension fund: Short dump starting insured persons list</t>
  </si>
  <si>
    <t>Pension rcpt notif.: Error number/msg in notif. overview</t>
  </si>
  <si>
    <t>Pension rcpt notif.:Inbox statistics proc. files incorrect</t>
  </si>
  <si>
    <t>Pension rcpt notif.:IM01inbound notif w/o MI01outbound notif</t>
  </si>
  <si>
    <t>RBM: MZ01 corrections/enhancements (02/2011)</t>
  </si>
  <si>
    <t>PY-AR - Calculate proration over remuneration</t>
  </si>
  <si>
    <t>ART: Wrong creation of wage types derived from /O08</t>
  </si>
  <si>
    <t>Delimit button not working properly for table view V_T7AR4P</t>
  </si>
  <si>
    <t>Tax tables - updated values for 2010</t>
  </si>
  <si>
    <t>Checkman dummy</t>
  </si>
  <si>
    <t>Zahlungen zum Austritt neue LÃ¶sung: RÃ¼ckrechnung Vorjahre</t>
  </si>
  <si>
    <t>PCALZ: Gemeindenummer in T5A2G</t>
  </si>
  <si>
    <t>RPCKTOA0: Doppelter Andruck wenn nur ein Periode zu drucken</t>
  </si>
  <si>
    <t>Beitragsnachweisung: Formular HR_AT_SVB_01</t>
  </si>
  <si>
    <t>PY-AT: Sonderzahlung wÃ¤hrend AuslandstÃ¤tigkeit steuerfrei</t>
  </si>
  <si>
    <t>JW 2010/11: KonfigurationsergÃ¤nzung fÃ¼r Lohnzettel L16</t>
  </si>
  <si>
    <t>PCALZ: Das Feld UVBG ist nicht richtig gefÃ¼llt</t>
  </si>
  <si>
    <t>ELDA Ã–D: Fehlendes Mapping in T5A1N bei Meldungsart P3</t>
  </si>
  <si>
    <t>Payment Summary : Handling of Lump Sum A Type</t>
  </si>
  <si>
    <t>Payment Summary Enhancements</t>
  </si>
  <si>
    <t>PIF Interface: CSS/PSS members with 0 Employer cont rate</t>
  </si>
  <si>
    <t>Non Recurring Result Bonus - New Maximum as of of 01.01.2011</t>
  </si>
  <si>
    <t>Advance Tax Calculation - Key Formula 01.01.2011</t>
  </si>
  <si>
    <t>Advance Tax Calculation - Annex III - 01.01.2011</t>
  </si>
  <si>
    <t>Dimona: Preparation with duplicated detection corrections II</t>
  </si>
  <si>
    <t>DmfA/DmfAPPL - New values field FloorApplicationNotion-00960</t>
  </si>
  <si>
    <t>Report RPUCIPB0 and infotype 3271 with timeconstraint '2'</t>
  </si>
  <si>
    <t>New rates for factory shutdown fund</t>
  </si>
  <si>
    <t>SI: Spec. contr. incorrect for some employee specification</t>
  </si>
  <si>
    <t>Numerical issue in the generation of professional tax scales</t>
  </si>
  <si>
    <t>RAIS: missing value for field "DissÃ­dio Coletivo"</t>
  </si>
  <si>
    <t>DIRF 2010 - InstruÃ§Ã£o Normativa NÂº 1.033</t>
  </si>
  <si>
    <t>HBRTMIF0 - Importation server files is not working properly</t>
  </si>
  <si>
    <t>HBRRAIS0 Legal Changes 2011</t>
  </si>
  <si>
    <t>CSST : SAPScript changes not visible in French logon</t>
  </si>
  <si>
    <t>CSST : Processing class changes for /4WC</t>
  </si>
  <si>
    <t>YE10: Obsolete wagetypes in Footnote 28 for T4A</t>
  </si>
  <si>
    <t>YE10: Corrections to T4 and T4A Processing</t>
  </si>
  <si>
    <t>YE10:T4A Summary errors for 2010 runs</t>
  </si>
  <si>
    <t>YE10: Change to T4A Custom Field Sort location</t>
  </si>
  <si>
    <t>YE10: T4,RL1,RL2 pre-printed forms error for 2010</t>
  </si>
  <si>
    <t>YE10 : Approval number for RL-1 and T4/RL-1</t>
  </si>
  <si>
    <t>YE10: Footnote code 86 does not appear in 2010 T4 Runs</t>
  </si>
  <si>
    <t>WHT: Enhancing documentation</t>
  </si>
  <si>
    <t>CE: Incorr AHV contribution/wages for pensioners' exemption</t>
  </si>
  <si>
    <t>FamZReg: Early training bonus is not generated</t>
  </si>
  <si>
    <t>WHT: Importing scale files for 2011 for canton of Ticino</t>
  </si>
  <si>
    <t>LAW2005: Smart Form form in English</t>
  </si>
  <si>
    <t>Yr-end legal chg 2010/2011: Change to part-time emp, 2nd job</t>
  </si>
  <si>
    <t>PY-CL: Enhancements and Corrections for Terminations</t>
  </si>
  <si>
    <t>PY-CL:Customizing Economic Activity Code for bank transfer</t>
  </si>
  <si>
    <t>Correction of Year End Tax Declaration Report (HCNCTXE0)</t>
  </si>
  <si>
    <t>Correction of Year End Tax Declaration Reports</t>
  </si>
  <si>
    <t>ELENA: Current improvements and corrections</t>
  </si>
  <si>
    <t>Minrs' and mine-emplys' ins.: Rprtng undrgrnd shifts 01/2008</t>
  </si>
  <si>
    <t>DEUEV occupational code TS2010: Corrections II</t>
  </si>
  <si>
    <t>DEUEV company data maintenance: Miner company numbers</t>
  </si>
  <si>
    <t>Fed. Miners' Ins.: Abandnmt reason for coll. agrmt flex.coal</t>
  </si>
  <si>
    <t>DEUEV immediate notifications: Corrections (8)</t>
  </si>
  <si>
    <t>DEUEV: Corrections to the administrator list</t>
  </si>
  <si>
    <t>DEUEV (UVMG): Corrections X</t>
  </si>
  <si>
    <t>DEUEV: E-mail transfer although communicatns server selected</t>
  </si>
  <si>
    <t>ELENA: Corrections after year-end legal change 2010/2011 II</t>
  </si>
  <si>
    <t>ELENA: Current changes and corrections I</t>
  </si>
  <si>
    <t>Prohibited activities: Termination in case of paid absence</t>
  </si>
  <si>
    <t>Prohibited activities: Various terminations during payroll</t>
  </si>
  <si>
    <t>Prohibited act: Incorr estim for annual basis gross tax amnt</t>
  </si>
  <si>
    <t>Prohibited activities: Termination in calculation rule DS3D</t>
  </si>
  <si>
    <t>RPUBGDD0 Transport link is incorrect</t>
  </si>
  <si>
    <t>AAG fictitious run/incapacity to work: Corrections II</t>
  </si>
  <si>
    <t>AAG: Displaying only relevant persons in creation log</t>
  </si>
  <si>
    <t>Employment tax statement: Corrections 01 2011</t>
  </si>
  <si>
    <t>Corrections for Note 336971 (01 2011)</t>
  </si>
  <si>
    <t>Flat-rate tx rate of church tx in Baden-Wuerttemberg changed</t>
  </si>
  <si>
    <t>Warning due to payroll status in hiring action</t>
  </si>
  <si>
    <t>ETStmt: Error in lines 25 + 26 for people w/ voluntary ins.</t>
  </si>
  <si>
    <t>ETNotif: Corr. to employment tax notific. for process model</t>
  </si>
  <si>
    <t>ZfA: No income taken into acct if mid-year chg. to SI exempt</t>
  </si>
  <si>
    <t>Preparatory note for census statistics 2011, part 1</t>
  </si>
  <si>
    <t>Retroactive accountng differences for suppl to maternity pay</t>
  </si>
  <si>
    <t>Wage type /3SV contains duplicate amount</t>
  </si>
  <si>
    <t>BAdI for recognizing active public sector employees</t>
  </si>
  <si>
    <t>Factoring of trainees</t>
  </si>
  <si>
    <t>Ignore Wage Types in Calculation for Additional Difference</t>
  </si>
  <si>
    <t>Maintnnce pymnt section 38 BeamtVG: Positn-depndnt min pensn</t>
  </si>
  <si>
    <t>Public Services regul. Bavaria:Statement creation terminates</t>
  </si>
  <si>
    <t>Treaty on the sharing of pension costs (3)</t>
  </si>
  <si>
    <t>PSR Bavaria: Info. to family court for before 01-Jan-2011</t>
  </si>
  <si>
    <t>PenPaymnt not displayed in statmnt for reduc. as per sec. 57</t>
  </si>
  <si>
    <t>Maintenance payment acc. to sect. 22 para. 1 of BeamtVG (2)</t>
  </si>
  <si>
    <t>Runtime error OBJECTS_OBJREF_NOT_ASSIGNED_NO</t>
  </si>
  <si>
    <t>AVWD: SP notifs + bank transfers for military service incorr</t>
  </si>
  <si>
    <t>Notifications for payments with parental leave are incorrect</t>
  </si>
  <si>
    <t>Posting does not work due to missing wage type /294</t>
  </si>
  <si>
    <t>Evaluation/Statistics</t>
  </si>
  <si>
    <t>WCA wage statement: Error if annual income limit exceeded</t>
  </si>
  <si>
    <t>RPLEHAD3: Short dump in HR_GET_REPORTING_COMPANY_DATA</t>
  </si>
  <si>
    <t>RPCEHCD1: Capping leave days</t>
  </si>
  <si>
    <t>Pension Plan (New Functionality)</t>
  </si>
  <si>
    <t>IRPF: Correction on getting reason for adjustment</t>
  </si>
  <si>
    <t>RPCTC0E0 Calculation of contribution in FAN file</t>
  </si>
  <si>
    <t>CALC: Error in indirect evaluation for artists</t>
  </si>
  <si>
    <t>TC: Error in distribution of learning hours</t>
  </si>
  <si>
    <t>Certific@2: Problems on getting occupation field information</t>
  </si>
  <si>
    <t>TC: Box 105 and 502 show wrong value when is negative</t>
  </si>
  <si>
    <t>ERE: Contribution calculation problem due to note 1457333</t>
  </si>
  <si>
    <t>Off-cycle: Rounding problems on processing of extra payments</t>
  </si>
  <si>
    <t>IRPF 2011 - Legal changes</t>
  </si>
  <si>
    <t>Corrections for Contract Printing functionality</t>
  </si>
  <si>
    <t>Contributions Amounts 2011</t>
  </si>
  <si>
    <t>RED 13/2010</t>
  </si>
  <si>
    <t>Delt@: New Occupational Codes - CNO-2011</t>
  </si>
  <si>
    <t>CALC: Error with ERE bonification leading to DUMP</t>
  </si>
  <si>
    <t>AFI: Error while updating blocked entries</t>
  </si>
  <si>
    <t>Delt@: Report RPCDEAE0 wrongly processing subtype '0003'</t>
  </si>
  <si>
    <t>TC: Error in generation of A76 liquidation class</t>
  </si>
  <si>
    <t>Feature ECERE assuming more values for constant BNST2</t>
  </si>
  <si>
    <t>TC: Wrong literal in TC1 form when public administration L00</t>
  </si>
  <si>
    <t>TC: EDLBA01 in FAN without general contingent</t>
  </si>
  <si>
    <t>Checkman : note for checkman fixes</t>
  </si>
  <si>
    <t>Corrections for RED 12/2010 and RED 13/2010</t>
  </si>
  <si>
    <t>Too much tax is returned</t>
  </si>
  <si>
    <t>Extension of Legal change (Age Limit in ERSI 2010)</t>
  </si>
  <si>
    <t>Tax gross is not correct in the annual tax statement file</t>
  </si>
  <si>
    <t>DADS-U V08R10: Correction Summary</t>
  </si>
  <si>
    <t>Retro Calculation - incorrect differences generated</t>
  </si>
  <si>
    <t>DADS-U: Field S46.G01.00.004 and shifted pay</t>
  </si>
  <si>
    <t>DADS-U: S41.G01.00.018.001 / S41.G01.00.029.003 for trainees</t>
  </si>
  <si>
    <t>Fonction FCRE: No negative thresholds for retirem./pension</t>
  </si>
  <si>
    <t>DADS-U contrÃ´le: performance upgrade</t>
  </si>
  <si>
    <t>2011 parameters for French payroll</t>
  </si>
  <si>
    <t>DADS-U: S51.G01.00.00X / S45.G05.15.002.001</t>
  </si>
  <si>
    <t>FNAL: Projet de loi de Finances 2011</t>
  </si>
  <si>
    <t>DADS-U contrÃ´le: data missing</t>
  </si>
  <si>
    <t>S41.G01.00.023.00X not being generated in the last period</t>
  </si>
  <si>
    <t>DUCS EDI: Average headcount (GEN 249) -&gt; rounding</t>
  </si>
  <si>
    <t>Error in DADS-U section: S80.G62.05(base tax contr./montant)</t>
  </si>
  <si>
    <t>PY-GB:Inclusion of Reference number(BKREF)in IT0009</t>
  </si>
  <si>
    <t>Change in Pension Annual Allowance for tax year 2011/12</t>
  </si>
  <si>
    <t>Format Change of Employer's Returns Form (IR56B)</t>
  </si>
  <si>
    <t>Format Change of IR56G Form</t>
  </si>
  <si>
    <t>1721 A1 not generated for Emp when last payroll is offcycle</t>
  </si>
  <si>
    <t>ABAP List output of 1721 A1 not correct</t>
  </si>
  <si>
    <t>Incorrect Cutoff in P45 for a 4WEEKLY paid employee</t>
  </si>
  <si>
    <t>USC Leaver Certificate 2011</t>
  </si>
  <si>
    <t>NO USC applicable for USCiable Pay Less than Lower Threshold</t>
  </si>
  <si>
    <t>Incorrect USC processing during rare case scenario.</t>
  </si>
  <si>
    <t>P45 is not handling leavers of previous year</t>
  </si>
  <si>
    <t>Incorrect Employer PRSI calculation for late starter</t>
  </si>
  <si>
    <t>Emergency Taxbasis applied incorrectly for Inactive employee</t>
  </si>
  <si>
    <t>Error msg in payroll for WT E417 as /417 isn't generated.</t>
  </si>
  <si>
    <t>TDS on income from house property inconsistency</t>
  </si>
  <si>
    <t>Form 16 layout changes for financial year 2010-11</t>
  </si>
  <si>
    <t>Form 24Q: Zero tax BAdI not working consistently</t>
  </si>
  <si>
    <t>T7INTN Address</t>
  </si>
  <si>
    <t>HR-IT: CUD 2011</t>
  </si>
  <si>
    <t>Report RPUPAV00: Generate PA0148 Record for IT View 148</t>
  </si>
  <si>
    <t>RPLDTDJ0: Fail to Execute in Background</t>
  </si>
  <si>
    <t>Single Year Limitation Enhancement for Net Retro</t>
  </si>
  <si>
    <t>Enhancement for Reports in Net Retro</t>
  </si>
  <si>
    <t>HJPUCP_PRCAL: Enhancement for BAdI Call</t>
  </si>
  <si>
    <t>Overwrite Exits for CL_HRPAYJP_SWITCH_CHECK_EHP4</t>
  </si>
  <si>
    <t>/110&amp;/114: Incorrect retro cumulation with Flexible payroll</t>
  </si>
  <si>
    <t>YEA2010: Check Education Deduction Limits</t>
  </si>
  <si>
    <t>Changes on Donation Deduction/Receipt/DME and Monthly Rental</t>
  </si>
  <si>
    <t>Determine Key Date for Separation Basic Deduction</t>
  </si>
  <si>
    <t>Retirement Payroll Terminate due to No IT0001 Record</t>
  </si>
  <si>
    <t>Correction for Donation Form and DME File</t>
  </si>
  <si>
    <t>Not Calculate EI Premium for Cross-Year Payroll Period</t>
  </si>
  <si>
    <t>Incorrect Disabled&amp;Birth.Adopt Indicator and Dependents Name</t>
  </si>
  <si>
    <t>Incorrect Result When Modify Infotype 0881 Records</t>
  </si>
  <si>
    <t>New Financial Code and Changed Payroll Constants</t>
  </si>
  <si>
    <t>No Value Outputs in the 19.Designated Allowance Field</t>
  </si>
  <si>
    <t>PY-MX: General enhancements for Variable and Fixed SDI</t>
  </si>
  <si>
    <t>Garnishment calculation error when the same priority</t>
  </si>
  <si>
    <t>Error on function P0416 when execute PC00_M32_TRM0</t>
  </si>
  <si>
    <t>CP21 Form should be submitted one month before leaving date</t>
  </si>
  <si>
    <t>Negative additional EPF adjustment for semi monthly payroll</t>
  </si>
  <si>
    <t>MBB v6.4 EPF/SOCSO/IRB &amp; PBB Borang A new format - 2010</t>
  </si>
  <si>
    <t>PY-MY:EE Name length 45 char in PCBII,CP22,CP22A &amp; EA forms</t>
  </si>
  <si>
    <t>PY-MY:Incorrect rounding for EPF base amount in Borang A</t>
  </si>
  <si>
    <t>PY-MY:LC - EA01, EA11 allowances taxable from Jan 01, 2011</t>
  </si>
  <si>
    <t>PY-MY: Change in employee's CP8D download file layout(2010)</t>
  </si>
  <si>
    <t>PY-MY : Alignment issues in CP22 form</t>
  </si>
  <si>
    <t>Aangifte LH: Correction of documentation for T5N14-PERMO</t>
  </si>
  <si>
    <t>Max Premium Wage ZVW calculation wrong for 4-weekly payroll</t>
  </si>
  <si>
    <t>RPIBBLN0: Annual Salary Calc. results in a negative amount</t>
  </si>
  <si>
    <t>NST00: Payroll stops due to error in the Annual Salary Calc.</t>
  </si>
  <si>
    <t>RPCALCN0: Ann.Salary Calc. with JUPER-split within Concern</t>
  </si>
  <si>
    <t>Aangifte LH: Deletion of anonymous employees incorrect</t>
  </si>
  <si>
    <t>Aangifte LH: Incorrectly defined Premieloon unif. WAO</t>
  </si>
  <si>
    <t>Interface to External Payroll Systems</t>
  </si>
  <si>
    <t>OTMN: Potential performance issues due to format changes</t>
  </si>
  <si>
    <t>ATS Reporting - Several Scenarios</t>
  </si>
  <si>
    <t>Incorrect ERC calculations: Wagetype MUNC and /372</t>
  </si>
  <si>
    <t>Changes to Norway ATS PDF forms RF-1025B and RF-1015B</t>
  </si>
  <si>
    <t>Reimbursement Reporting Issues - January 2011</t>
  </si>
  <si>
    <t>ATS Reporting Issues - January 2011</t>
  </si>
  <si>
    <t>ERC report: New Selection field for RFC Destination</t>
  </si>
  <si>
    <t>Reimbursement Scheme NAV 08-20.12 - Multiple Absences</t>
  </si>
  <si>
    <t>Alternative currency in Remuneration Statement</t>
  </si>
  <si>
    <t>NZ Holiday Act Changes from 1 April 2011</t>
  </si>
  <si>
    <t>Incorrect rate for Public Holidays on Termination</t>
  </si>
  <si>
    <t>PY-NZ : PAYE Changes for Tax Year 2011-2012</t>
  </si>
  <si>
    <t>Termination report dates are displayed incorrectly</t>
  </si>
  <si>
    <t>PY-NZ : School Children Tax Changes 2011-2012</t>
  </si>
  <si>
    <t>Negative amounts in alphalist download file</t>
  </si>
  <si>
    <t>Error in the union name for the log of the RPCFEEP0</t>
  </si>
  <si>
    <t>RPCIIDP0: non-taxable incomes read twice</t>
  </si>
  <si>
    <t>New remuneration codes for remuneration sheet</t>
  </si>
  <si>
    <t>Disabled SS code for SS regime 0I (self-employee) in IT0332</t>
  </si>
  <si>
    <t>ADSE: filling of treatment group according to treatment type</t>
  </si>
  <si>
    <t>ADSE: Organization contribution</t>
  </si>
  <si>
    <t>Annual Staff Report: corrections</t>
  </si>
  <si>
    <t>Payroll schema PSSI not called in schema PSSS</t>
  </si>
  <si>
    <t>HR-RU: FZ-343 issues after Note 1543287</t>
  </si>
  <si>
    <t>HR-RU: Wrong report after note 1523246 if TAX table is empty</t>
  </si>
  <si>
    <t>HRULNDFL: new printable form</t>
  </si>
  <si>
    <t>RPSSBSS0: Only Full day Absences should be reported</t>
  </si>
  <si>
    <t>Employees do not get correct information from RPITAXS0</t>
  </si>
  <si>
    <t>IR21: gross income check &gt; 20000 SGD</t>
  </si>
  <si>
    <t>PY-SG : negative wage type /399 after split</t>
  </si>
  <si>
    <t>IR8A: stocks granted before 2009 not reported.</t>
  </si>
  <si>
    <t>PY-SG: Legal change for IR8S Sapcript form 2011.</t>
  </si>
  <si>
    <t>Legal Change : Changes to CPF Contribution Rates March 2011</t>
  </si>
  <si>
    <t>IR8S:Date fields not displayed correctly in 604</t>
  </si>
  <si>
    <t>PY-SG:Additions to note 1504256 Medisave AW factor.</t>
  </si>
  <si>
    <t>PCR for split CPF contribution doesn't include WT /37I</t>
  </si>
  <si>
    <t>No of employee incorrect in Social Security Summary Form</t>
  </si>
  <si>
    <t>Mid month hire salary projection issue</t>
  </si>
  <si>
    <t>Company name not correct in Social Security Detailed Report</t>
  </si>
  <si>
    <t>PIT91 not generated in case of rehire in same fiscal year</t>
  </si>
  <si>
    <t>Old age exmpt. being generated in PIT91 for Emp. &lt; 65 years</t>
  </si>
  <si>
    <t>Adjustment of Tax Calculation in 2011</t>
  </si>
  <si>
    <t>Wage type /103 is missing after apply note 1544351</t>
  </si>
  <si>
    <t>Tax Begin Point for Mehtod A and C</t>
  </si>
  <si>
    <t>Character subtype in IT0006 causes HTWCTXM0 dump</t>
  </si>
  <si>
    <t>PY-US-TR: Form 941 and Schedule B do not match</t>
  </si>
  <si>
    <t>PY-US-TR: SUI correction form shows wrong employees</t>
  </si>
  <si>
    <t>TR: Incorrect processing of automatic selection for W-2C</t>
  </si>
  <si>
    <t>TR: Incorrect year being displayed on previous years W2 Form</t>
  </si>
  <si>
    <t>TR: Control numbers for W-2/W-2C PR only allow 8 digits</t>
  </si>
  <si>
    <t>PY-US-TR: Manual entries for number of HIRE Act employees</t>
  </si>
  <si>
    <t>TR: New Form 941-X PR and corrections to Form 940 PR</t>
  </si>
  <si>
    <t>PY-US-TR: Negative manual entries for HIRE Act</t>
  </si>
  <si>
    <t>PY-US-TR: Retrocalculation plus Tax Company change</t>
  </si>
  <si>
    <t>TR: Problems with 941 HIRE Act manual entry</t>
  </si>
  <si>
    <t>TR: Runtime error while generating the 941 Print Copy</t>
  </si>
  <si>
    <t>TR: Corrections to SUI Wage Listing for North Dakota</t>
  </si>
  <si>
    <t>TR: Corrections to SUI CSV for Pennsylvania</t>
  </si>
  <si>
    <t>TR: Background Indicator for Self-sealer W-2 prior to 2010</t>
  </si>
  <si>
    <t>TR: Several issues in the form SUI Ohio Wage List</t>
  </si>
  <si>
    <t>TR: W-2 magnetic media changes for Battle Creek</t>
  </si>
  <si>
    <t>TR:SUI WY Excel file shows only one employee when downloaded</t>
  </si>
  <si>
    <t>TR: Issues with HR_F_W2_TP_TEMPS in field Employee Initial</t>
  </si>
  <si>
    <t>TR: Change of length of field ExcessWages in Florida UI XML</t>
  </si>
  <si>
    <t>TR: W-2 magnetic media layout for Colorado for year 2010</t>
  </si>
  <si>
    <t>Salary Packaging: Indirect evaluation behaves inconsistently</t>
  </si>
  <si>
    <t>Salary Packaging Medical Aid Taxable Benefit incorrect</t>
  </si>
  <si>
    <t>Bonus Offcycle-ST and CST creating incorrect splits in SCRT</t>
  </si>
  <si>
    <t>SAPKE60431</t>
  </si>
  <si>
    <t>Basis Components</t>
  </si>
  <si>
    <t>Business Management</t>
  </si>
  <si>
    <t>Organizational Management</t>
  </si>
  <si>
    <t>HR LDAP data extraction: Transactions and authorizations</t>
  </si>
  <si>
    <t>HR LDAP data extraction: Termination if query result empty</t>
  </si>
  <si>
    <t>DataSource 0HRPOSITION_ATTR: Long runtimes</t>
  </si>
  <si>
    <t>Payroll extractor 0HR_PY_1_CE: Short dump</t>
  </si>
  <si>
    <t>Environment, Health and Safety</t>
  </si>
  <si>
    <t>Industrial Hygiene and Safety</t>
  </si>
  <si>
    <t>Reading data in the HRMS</t>
  </si>
  <si>
    <t>WD ABAP: EES previously used cost center not displayed</t>
  </si>
  <si>
    <t>DeCavaA - Payment increase - Additional checks sel. screen</t>
  </si>
  <si>
    <t>IT0080: Extending maternity protection</t>
  </si>
  <si>
    <t>Infotype fields cannot be evaluated in a query</t>
  </si>
  <si>
    <t>IT0217 PCS Code date validation (mandatory / empty / no F4)</t>
  </si>
  <si>
    <t>LSO Integration: Adjustments</t>
  </si>
  <si>
    <t>TNM: Obj.Group Code can be entered manually w/o validation</t>
  </si>
  <si>
    <t>Copying a Training Need doesn't work fully</t>
  </si>
  <si>
    <t>Corrections: Batch Input in infotype 1681</t>
  </si>
  <si>
    <t>Empty "Object Type" leads to runtime error</t>
  </si>
  <si>
    <t>HRTNM_COTYP,HRTNM_COCAC,HRTNM_I2483: missing documentation</t>
  </si>
  <si>
    <t>TNM: Consitency Check adjustments</t>
  </si>
  <si>
    <t>If reg. compl. is inconsisten display only warning message</t>
  </si>
  <si>
    <t>Message HRTNM_MSG 139 is displayed incorrectly</t>
  </si>
  <si>
    <t>Infotypes 1681 not saved when assigning a DC to a TN</t>
  </si>
  <si>
    <t>TN total duration not set as default in first reg.compl line</t>
  </si>
  <si>
    <t>PAD940 not copied when copying a Training Need</t>
  </si>
  <si>
    <t>ESS: Updation of Infotype 0586 and 0585 is not sorted</t>
  </si>
  <si>
    <t>Infotype 559: Initial Value Incorrect for Field FPAYY</t>
  </si>
  <si>
    <t>HJPUJU_DEPINF_2011: Incorrect Message and Runtime Error</t>
  </si>
  <si>
    <t>IT0146: Short dump when saving 'Housing Ded.' Tab</t>
  </si>
  <si>
    <t>Mid-year Transfer within the Company</t>
  </si>
  <si>
    <t>IT0006-Field Description Value Missing in Overview Screen</t>
  </si>
  <si>
    <t>Expense Information Infotype 0881 Enhancment</t>
  </si>
  <si>
    <t>Error saving Infotype 0002/0336 when Title field is hidden</t>
  </si>
  <si>
    <t>SZV-6-1(SZV-6-2), SPV-1, ADV-6-2 forms in the 2011 year</t>
  </si>
  <si>
    <t>ADV-2, ADV-3: sorting mode</t>
  </si>
  <si>
    <t>T-2: military service data - PDF layout issues</t>
  </si>
  <si>
    <t>Name Changes of Taiwan Regions and Counties</t>
  </si>
  <si>
    <t>Customizing issue for taxable wages types in V_T511</t>
  </si>
  <si>
    <t>PE-DA</t>
  </si>
  <si>
    <t>Day-to-Day Activities</t>
  </si>
  <si>
    <t>PE-DA-CP</t>
  </si>
  <si>
    <t>Correspondence</t>
  </si>
  <si>
    <t>Correspondence: addr not picked for newly recruited employee</t>
  </si>
  <si>
    <t>SAP Learning Solution</t>
  </si>
  <si>
    <t>Training Management</t>
  </si>
  <si>
    <t>PE-LSO-TM-IN</t>
  </si>
  <si>
    <t>Integration</t>
  </si>
  <si>
    <t>LSO &amp; TEM: Course/Event status incorrectly displayed</t>
  </si>
  <si>
    <t>Incorrect message shown when creating business event</t>
  </si>
  <si>
    <t>PE-RA</t>
  </si>
  <si>
    <t>Recurring Activities</t>
  </si>
  <si>
    <t>Attendee check incorrectly performed in room reservation</t>
  </si>
  <si>
    <t>Proficiency displayed incorrectly for followed-up courses</t>
  </si>
  <si>
    <t>Vacation provision miscalculation during salary change</t>
  </si>
  <si>
    <t>Divisor 30: Multiple adjustments in same monthly period</t>
  </si>
  <si>
    <t>Negative values for wage types /PM* in vacation provisio</t>
  </si>
  <si>
    <t>PY-AR: SICOSS reports inactive periods as active</t>
  </si>
  <si>
    <t>Entries from IT390 are not considered during pay date</t>
  </si>
  <si>
    <t>PY-AR: SICOSS - no message when employee has no remuneration</t>
  </si>
  <si>
    <t>Abfertigung: SV-BeitrÃ¤ge von Ersatzleistung berÃ¼cksichtigen</t>
  </si>
  <si>
    <t>Zahlungen zum Austritt neue LÃ¶sung: e-card GebÃ¼hr fehlerhaft</t>
  </si>
  <si>
    <t>JW 2010/11: Neue Werte fÃ¼r Pendlerpauschale ab 2011</t>
  </si>
  <si>
    <t>JW 2010/11: unpfÃ¤ndbare FreibetrÃ¤ge</t>
  </si>
  <si>
    <t>JW 2010/11: Anpassung des Reports RPILSKA0</t>
  </si>
  <si>
    <t>Zahlungen zum Austritt neue LÃ¶sung: Spezielle Probleme RRVJ</t>
  </si>
  <si>
    <t>Doku: IMG-Struktur fÃ¼r PDF-Formulare</t>
  </si>
  <si>
    <t>JW 2010/11: ELDA Ã„nderung bei der GKK AD-Meldung</t>
  </si>
  <si>
    <t>P0044: Seiteneffekt von Hinweis 1490047</t>
  </si>
  <si>
    <t>RPCISTA0: Konjunkturstatistik fÃ¼r die Statistik Austria</t>
  </si>
  <si>
    <t>PCALZ: Fehler auf PDF Formular HR_AT_LZ_GLZ_02</t>
  </si>
  <si>
    <t>Zahlung nach Austritt: Doku fÃ¼r Anpassung Subschema</t>
  </si>
  <si>
    <t>PCALZ: neue ELDA Meldungdart P5 fÃ¼r ArbeitsstÃ¤ttenmeldung AD</t>
  </si>
  <si>
    <t>RPCSVBA2PBS: Region falsch bei der Liste AKU</t>
  </si>
  <si>
    <t>Function QLVPR incorrectly populating the C1 cluster table</t>
  </si>
  <si>
    <t>Incorrect processing of rule QIOR in sub-schema QSRV.</t>
  </si>
  <si>
    <t>Check for 0850 record in Payment summary override</t>
  </si>
  <si>
    <t>LSL provisions are not calculated</t>
  </si>
  <si>
    <t>Payroll retro run: Correction for bonus payment</t>
  </si>
  <si>
    <t>PS issues - dummy</t>
  </si>
  <si>
    <t>Test note</t>
  </si>
  <si>
    <t>IT0220 overview screen doesnt show tick mark for SGC funds</t>
  </si>
  <si>
    <t>Incorrect date used to determine expired quota</t>
  </si>
  <si>
    <t>Error with decision made by QSUPN</t>
  </si>
  <si>
    <t>Reading of Protected Earnings constant in Payroll</t>
  </si>
  <si>
    <t>PY-AU: Function AVERA doesnt create wagetype /109</t>
  </si>
  <si>
    <t>Payment Summary enhancements - relevant for component AUCE</t>
  </si>
  <si>
    <t>Incorrect hardcoding of wagetype /3S1 in program</t>
  </si>
  <si>
    <t>PIF Report (RPCPBSQ8) - Reporting of LWOP dates</t>
  </si>
  <si>
    <t>Dimona 2010: Preparation Dimona IN instead of OUT generated</t>
  </si>
  <si>
    <t>Dimona 2010-Correction on logical key to read table T5BDI0</t>
  </si>
  <si>
    <t>Dimona 2010 - Migration - Correction on Performance Managemt</t>
  </si>
  <si>
    <t>Garnishment - New threshold values as of 01.01.2011</t>
  </si>
  <si>
    <t>Flemish tax reduction - superfluous generation of /41H</t>
  </si>
  <si>
    <t>SI: special contribution wrong if early retirement in month</t>
  </si>
  <si>
    <t>Time Sheet Form - Adjust</t>
  </si>
  <si>
    <t>Ordinance 1621: New Termination Term</t>
  </si>
  <si>
    <t>General Functionalities for Ordinance 1620 and 1621</t>
  </si>
  <si>
    <t>CL_HR_BR_PT_BLP_USER: Deactivate</t>
  </si>
  <si>
    <t>Misleading absence quota type groupings</t>
  </si>
  <si>
    <t>TAX : Payroll run with bonus errors out in some cases</t>
  </si>
  <si>
    <t>YE10 : Additional changes to SAPScript forms</t>
  </si>
  <si>
    <t>TAX: Changes to bonus tax Calculation for Quebec</t>
  </si>
  <si>
    <t>TAX : Additional changes effective Jan 1, 2011</t>
  </si>
  <si>
    <t>YE10 : RL1 - Box G processing to be changed</t>
  </si>
  <si>
    <t>YE: Amendment Reason Report misses values of previous run</t>
  </si>
  <si>
    <t>YE10: Additional changes to XML for CRA and MRQ</t>
  </si>
  <si>
    <t>YE10:Error in selection of T4/RL1 Combo form for 2010</t>
  </si>
  <si>
    <t>YE10: Footnotes 108 and 109 not being generated</t>
  </si>
  <si>
    <t>HR-CH: Family-related bonuses - fiscal year change 2010/2011</t>
  </si>
  <si>
    <t>WhT: Importing scale files 2011, changes to tax scale codes</t>
  </si>
  <si>
    <t>ELM: AHV/UI-exempt wages missing for several company codes</t>
  </si>
  <si>
    <t>FamZReg: Invalid value for date of birth of recipient</t>
  </si>
  <si>
    <t>FamZReg: CONVT_NO_NUMBER terminates if benefit auth. non-num</t>
  </si>
  <si>
    <t>FamZReg: Termination DATA_OFFSET_TOO_LARGE in GET_NEXT_MSGID</t>
  </si>
  <si>
    <t>PY-CL: No information in Payments Book in off-cyles</t>
  </si>
  <si>
    <t>PY-CL: Missing wage types in Reliquidation process</t>
  </si>
  <si>
    <t>PY-CL: Chilean Payroll Posting Issue</t>
  </si>
  <si>
    <t>PY-CL: Garnishments payable to institutions</t>
  </si>
  <si>
    <t>PY-CL: General Corrections for Support Package 31</t>
  </si>
  <si>
    <t>PY-CL: Wrong amount in /560 and /562 after Retrocalculation</t>
  </si>
  <si>
    <t>PY-CL: New Wage Types for Reliquidation Process</t>
  </si>
  <si>
    <t>PY-CL: Wrong error message when APV reaches the limit</t>
  </si>
  <si>
    <t>PY-CL: Wage Type /303 customizing changes</t>
  </si>
  <si>
    <t>PY-CL: IMG documentation about Legacy Data Transfer</t>
  </si>
  <si>
    <t>Dummy Note for CN EhP6 Project</t>
  </si>
  <si>
    <t>Wage Type /443 Is Missing after Payroll Processing</t>
  </si>
  <si>
    <t>Rounding BAdi PC280002 Enhancement</t>
  </si>
  <si>
    <t>Year End Tax Declaration Report HCNCTXD0 Correction</t>
  </si>
  <si>
    <t>Year End Tax Declaration Report HCNCTXE0(CN00) Correction</t>
  </si>
  <si>
    <t>ABAP Dump on Payroll Class CL_HR_PAY_RESULT_CN</t>
  </si>
  <si>
    <t>Year End Tax Reports: Read Error on Evaluation Class 09</t>
  </si>
  <si>
    <t>Checkman-Errors (DO NOT RELEASE NOTE TO CUSTOMER)</t>
  </si>
  <si>
    <t>Err msg in case of organizational reassignment due to tax yr</t>
  </si>
  <si>
    <t>SI: RPUSVND0 for multiple clients</t>
  </si>
  <si>
    <t>SI: Corrections/improvements for SHI communications server</t>
  </si>
  <si>
    <t>Size restriction in SHI communications server</t>
  </si>
  <si>
    <t>Section 23c SGB IV: Corrections XXI</t>
  </si>
  <si>
    <t>DEUEV (UVMG): Corrections IX</t>
  </si>
  <si>
    <t>Compny data recrd: Changes after year-end legl change HRSP 1</t>
  </si>
  <si>
    <t>DEUEV occupational code TS2010: Corrections I</t>
  </si>
  <si>
    <t>DEUEV: Change of address is not reported</t>
  </si>
  <si>
    <t>Infotype 0700 prepopulated when creating from list screen</t>
  </si>
  <si>
    <t>ELENA: Changes after the year-end legal change 2010/2011</t>
  </si>
  <si>
    <t>ELENA: Termination in implementat. HRPAYDE_EL_DBKE_BEFRISTET</t>
  </si>
  <si>
    <t>RPCEDTD0: Wage type texts shortened unnecessarily</t>
  </si>
  <si>
    <t>Prohibited activities: Enhancements to calculation</t>
  </si>
  <si>
    <t>Prohibited activities: Termination due to missing wage type</t>
  </si>
  <si>
    <t>Selection period in RPCAMBD0</t>
  </si>
  <si>
    <t>Checking transfer in case of retroactive accounting</t>
  </si>
  <si>
    <t>Infotype 0700: Currency in subtypes DBAU, DBBT and DBZU</t>
  </si>
  <si>
    <t>AAG fictitious run/incapacity to work: Corrections I</t>
  </si>
  <si>
    <t>Paying offce procedure: Prevntng aut. implem. of fund notif.</t>
  </si>
  <si>
    <t>RPCALCD0 (Internal error: Infotype 2001 is already saved)</t>
  </si>
  <si>
    <t>AAG: Reading of table RT in function DSVU corrected</t>
  </si>
  <si>
    <t>POP: Method for importing fund notification changed</t>
  </si>
  <si>
    <t>Pension payments: Check during outflow of severances</t>
  </si>
  <si>
    <t>Tax calculation with pension insurance = 0</t>
  </si>
  <si>
    <t>Wage type coding in garnishment</t>
  </si>
  <si>
    <t>Function DOSEZ: Processing error messages</t>
  </si>
  <si>
    <t>Personnel level statistics: Corrections for EF 18</t>
  </si>
  <si>
    <t>Step increase: RPITRF01 does not support subtype</t>
  </si>
  <si>
    <t>Short dump when switching within infotype 0304</t>
  </si>
  <si>
    <t>Indirect valuation of the structure equalization</t>
  </si>
  <si>
    <t>Error during calculation of guarantee amount</t>
  </si>
  <si>
    <t>Infotype 0595: Cannot select reason for subt. 6 (Stepchild)</t>
  </si>
  <si>
    <t>Activity w/ higher rate of pay: Temporary substitution bonus</t>
  </si>
  <si>
    <t>Col. Agreement PS: Bonus on time - guarantee amount</t>
  </si>
  <si>
    <t>Termination in payroll function P0322</t>
  </si>
  <si>
    <t>PDF download for print func. in SAP GUI for HTML incorrect</t>
  </si>
  <si>
    <t>A maximum of 2 documents when displaying in SAPGUI for HTML</t>
  </si>
  <si>
    <t>Interest return and return in retroactive pension insurance</t>
  </si>
  <si>
    <t>Originals cannot be created after release</t>
  </si>
  <si>
    <t>Suspension no longer considered as of January 01, 2011</t>
  </si>
  <si>
    <t>Invalid currency can be entered</t>
  </si>
  <si>
    <t>Formal changes conerning usability</t>
  </si>
  <si>
    <t>Maintenance payment according to sect. 22 para. 1 of BeamtVG</t>
  </si>
  <si>
    <t>Retro. accounting prompts missing in infotypes 0780 and 0782</t>
  </si>
  <si>
    <t>User parameter LND not supported</t>
  </si>
  <si>
    <t>Treaty on the sharing of pension costs (2)</t>
  </si>
  <si>
    <t>No tax-free payment for maintenance payment acc. to artcl 38</t>
  </si>
  <si>
    <t>Pension equalization payment 2010 (3)</t>
  </si>
  <si>
    <t>Num./denom. reduction for surviving dependent's pension</t>
  </si>
  <si>
    <t>PubSerReg. for Bavaria: Termin. of assessment for dependents</t>
  </si>
  <si>
    <t>Parental leave cannot be entered in case of previous pension</t>
  </si>
  <si>
    <t>Appendix Determin. Pension: Pension pay reduction reason</t>
  </si>
  <si>
    <t>Eighth adjustment according to section 69e BeamtVG V</t>
  </si>
  <si>
    <t>Maintenance payment according to section 38 of BeamtVG</t>
  </si>
  <si>
    <t>Prt. disab. srvc allow. and bonus for care fam. 50f BeamtVG</t>
  </si>
  <si>
    <t>DNeuG: Termination when setting information for family court</t>
  </si>
  <si>
    <t>Statement assessment: Text w/ additional legal basis missing</t>
  </si>
  <si>
    <t>Pub. Serv. reg. Bavaria:Incorr child bonus for widow's pens.</t>
  </si>
  <si>
    <t>Pblc Srvc reg Bavaria: Calc art 71 Bavaria BeamtVG trminates</t>
  </si>
  <si>
    <t>Pension equalization payment 2010: Active persons entitled 2</t>
  </si>
  <si>
    <t>Hidden field 'Gender' is set to 'female'</t>
  </si>
  <si>
    <t>Inconsistent overall status after process released</t>
  </si>
  <si>
    <t>Notification corrections due to reorganization pay</t>
  </si>
  <si>
    <t>Reversal of corr in 1509514: Inflow Principle, Org. Reassgmt</t>
  </si>
  <si>
    <t>RPCEHCD1: Number of employees missing in control printout</t>
  </si>
  <si>
    <t>Corrections for statements January 2011</t>
  </si>
  <si>
    <t>IRPF: Correction on extension of work activity calculation</t>
  </si>
  <si>
    <t>CALC: Error in conflict treatment of IT abstence and strike</t>
  </si>
  <si>
    <t>Problems reading data in infotype 3231 in RPURT2E0</t>
  </si>
  <si>
    <t>Issues limiting two bonifications in the payroll</t>
  </si>
  <si>
    <t>Certific@2: Error in authorization check</t>
  </si>
  <si>
    <t>TC: Correction in the contributions for researchers</t>
  </si>
  <si>
    <t>Off-cycle: Absences processing for extra payments</t>
  </si>
  <si>
    <t>Contract printing - corrections to the forms in IT0016</t>
  </si>
  <si>
    <t>Reduction is not being informed in 190 file to Ceuta/Melilla</t>
  </si>
  <si>
    <t>Certific@2 - Updates into table T5EMA</t>
  </si>
  <si>
    <t>Dump in function FUEGARN after note 1455195</t>
  </si>
  <si>
    <t>Training contracts and maternity leave whole month</t>
  </si>
  <si>
    <t>TC: DAT segment missing COLIN when training contract</t>
  </si>
  <si>
    <t>CALC: Error in contribution basis for researcher in training</t>
  </si>
  <si>
    <t>TC: End of Bonification in the middle of the month</t>
  </si>
  <si>
    <t>Certific@2 - Updates into table T5EMA II</t>
  </si>
  <si>
    <t>RPCTC0E0 ERE indicator 'T' - undo note 1484796</t>
  </si>
  <si>
    <t>Contrat@ - Updating into domains referring to Law 35/2010</t>
  </si>
  <si>
    <t>Avoiding negative deductions on Fiscal Data infotype (IRPF)</t>
  </si>
  <si>
    <t>TC: Error filling the field embarcacion for reports</t>
  </si>
  <si>
    <t>Work-related illness relapse (RecaÃ­da AT/EP)</t>
  </si>
  <si>
    <t>Strike not discounting in contrib. calc. for training cont.</t>
  </si>
  <si>
    <t>TC: TC1 is not reporting some reductions for employee class</t>
  </si>
  <si>
    <t>Certific@2: Corrections of Activity Periods</t>
  </si>
  <si>
    <t>FDI: Error in number of days and contribution basis</t>
  </si>
  <si>
    <t>IRPF:Corrections on percentage calculation for Ceuta/Melilla</t>
  </si>
  <si>
    <t>Contrat@ - New codes in the domain of level of training code</t>
  </si>
  <si>
    <t>AFI: New field in DAM segment for AFI and FRA files</t>
  </si>
  <si>
    <t>Prorate calculation is wrongly deleting blocked registers</t>
  </si>
  <si>
    <t>CALC: Wrong prorate calculation in inactive periods</t>
  </si>
  <si>
    <t>TC: Invalid CCC has been used to get bank account</t>
  </si>
  <si>
    <t>190: Model 216 is not considering correct periods</t>
  </si>
  <si>
    <t>Bonifications which have become obsolete</t>
  </si>
  <si>
    <t>RPCTC0E0: Complementary collision VND with contract change</t>
  </si>
  <si>
    <t>RPCTC0E0 CD03 in declaration with employee contribution</t>
  </si>
  <si>
    <t>CALC: Error reading constant CC3BC</t>
  </si>
  <si>
    <t>Contrat@ - updates of law 35/2010</t>
  </si>
  <si>
    <t>AFI: Updates methods in RPCAFIE0 for different segments</t>
  </si>
  <si>
    <t>CALC: Incorrect minimum contribution basis for part time</t>
  </si>
  <si>
    <t>PEXTRAS: Extra payment payslip is not printing - 1472584</t>
  </si>
  <si>
    <t>Contract Printing - new forms Law 35/2010</t>
  </si>
  <si>
    <t>ESS: Document type field not mandatory on Personal Data</t>
  </si>
  <si>
    <t>RED 12/2010</t>
  </si>
  <si>
    <t>Artists: RPCTC0E0 is not generating complementary properly</t>
  </si>
  <si>
    <t>RPCTC0E0 A76 new fields in selection screen</t>
  </si>
  <si>
    <t>IRPF 2011 - Tax percentages for Alava, Biscay and Guipuzcoa</t>
  </si>
  <si>
    <t>Finland Payroll specific SEPA changes</t>
  </si>
  <si>
    <t>Factoring of Fringe Benefits - Enhancement 2010</t>
  </si>
  <si>
    <t>Accident Insurance Annaul report Employee grouping</t>
  </si>
  <si>
    <t>Age Limit in Employer's So-cial Insurance Contribution</t>
  </si>
  <si>
    <t>Legal Change in periodic tax 2010</t>
  </si>
  <si>
    <t>Finland Year End Legal Changes 2010/2011</t>
  </si>
  <si>
    <t>DUCS EDI: New field with average headcount (GEN 249)</t>
  </si>
  <si>
    <t>PY-FR: C.S.G. and R.D.S. contribution basis change</t>
  </si>
  <si>
    <t>Absence quota initialization (method A)</t>
  </si>
  <si>
    <t>DMMO EDI: Empty XML tags; date formats</t>
  </si>
  <si>
    <t>DADSU: S41.G01.01.001, Code 'SPE' changed to 'SRE'</t>
  </si>
  <si>
    <t>S45.G05.15.001.001 filled with last active period amount</t>
  </si>
  <si>
    <t>DADS-U contrÃ´le: nodes with identical data source fields (+)</t>
  </si>
  <si>
    <t>DADS-U: Field S53.G01.00.005 is wrong</t>
  </si>
  <si>
    <t>DADS-U: Fields S41.G30.35/36 wrongly present if "PortabilitÃ©</t>
  </si>
  <si>
    <t>DADS-U: Sorting of section S51.G01.00 (ElÃ©ments de cotis.)</t>
  </si>
  <si>
    <t>IT0424 - Change of notification date in case of prolongation</t>
  </si>
  <si>
    <t>IT0863 DÃ©cisions: Error reading features values (simulation)</t>
  </si>
  <si>
    <t>RPLAASF1: no comment when suspension occurs/stops during</t>
  </si>
  <si>
    <t>DADSU: S44.G01.00.003</t>
  </si>
  <si>
    <t>DADS-U V08R10: ISO/IEC 8859-1 output character compliance</t>
  </si>
  <si>
    <t>DMMO EDI: Conversion of flag &lt;TDMMO_TYPE_TRAITEMENT&gt;</t>
  </si>
  <si>
    <t>DADSU: S41.G01.04 - Sommes IsolÃ©s cumulation</t>
  </si>
  <si>
    <t>DADS-U contrÃ´le: ALV Excel download</t>
  </si>
  <si>
    <t>DADS-U: S45 contribution amounts missing</t>
  </si>
  <si>
    <t>RPUF1GF0: parameter needed for c_max_trana_mulples</t>
  </si>
  <si>
    <t>Fonction FCRE: no negative tax reintegration</t>
  </si>
  <si>
    <t>IT0064: Contributions not displayed for some sub-models</t>
  </si>
  <si>
    <t>DADS-U: Some S41 fields wrongly present if "PortabilitÃ©"</t>
  </si>
  <si>
    <t>RPLDUCF0: Performance issue (fix of system memory problem)</t>
  </si>
  <si>
    <t>Customizing activity OHAFREGULPROG_FCCO: Documentation</t>
  </si>
  <si>
    <t>DADS-U contrÃ´le: redundant temse reading</t>
  </si>
  <si>
    <t>ME NI Linking Framework</t>
  </si>
  <si>
    <t>PBR Legal change GB 2011/12</t>
  </si>
  <si>
    <t>Absence Pay Sheet Report RPLABSG0_SXP_OXP_PAY_SHEET</t>
  </si>
  <si>
    <t>State Pension Age increase to 66 from tax year 2011/12</t>
  </si>
  <si>
    <t>Transactions PA20, PA30 are throwing short dump</t>
  </si>
  <si>
    <t>Issue with saving of passport number in IT0048</t>
  </si>
  <si>
    <t>Tax reference field length enhancement</t>
  </si>
  <si>
    <t>Electronic P11D</t>
  </si>
  <si>
    <t>Electronic P60</t>
  </si>
  <si>
    <t>New tax codes for Starters and Leavers from 06/04/2011</t>
  </si>
  <si>
    <t>PY-GB-GR</t>
  </si>
  <si>
    <t>PY-GB-GR-AP</t>
  </si>
  <si>
    <t>Absence payments (SSP, SMP, SAP, SPP)</t>
  </si>
  <si>
    <t>Stringer : Paying Annual leave during sickness</t>
  </si>
  <si>
    <t>Additional Statutory Paternity Pay (Adoption) and (Birth)</t>
  </si>
  <si>
    <t>GBSXP: No SMP payment for Still Birth Cases</t>
  </si>
  <si>
    <t>SWF : Miscellaneous Issues II</t>
  </si>
  <si>
    <t>SAP Script Forms for Tax year 2010-11</t>
  </si>
  <si>
    <t>Changes for Child Care Vouchers effective from 06.04.2011</t>
  </si>
  <si>
    <t>Issue in display of TemSe file names in P11D report</t>
  </si>
  <si>
    <t>Namespace changes for EOY XML: GB legal change 2010/11</t>
  </si>
  <si>
    <t>Incorrect Print Result for HHKCPFB0</t>
  </si>
  <si>
    <t>WT E417 &amp; X417 are incorrectly configured in table T511B</t>
  </si>
  <si>
    <t>PY-IE: Legal / Budget Changes Year - 2011</t>
  </si>
  <si>
    <t>2011 Emergency cutoff change for biweekly, credit for weekly</t>
  </si>
  <si>
    <t>PY-IE: PRSIble Pay Er (/331) not visible after retro.</t>
  </si>
  <si>
    <t>PY-IE: Payroll Error( RRPE1 not found for time period)</t>
  </si>
  <si>
    <t>PRD Doubling up.</t>
  </si>
  <si>
    <t>Consulting solution for customizing pension related issue</t>
  </si>
  <si>
    <t>Class K EE's have no PFA exemption for the Financial Yr-2011</t>
  </si>
  <si>
    <t>FGM Projects</t>
  </si>
  <si>
    <t>Salary and Tax details displayed inconsistntly for employees</t>
  </si>
  <si>
    <t>HINCF24Q: Total Tax displayed inconsistently on Form 27A</t>
  </si>
  <si>
    <t>Total amount deposited displayed inconsistently on Form27A</t>
  </si>
  <si>
    <t>Superannuation Calc. inconsistent after cluster update</t>
  </si>
  <si>
    <t>Annual Report - Monthly gross more than 12 digits not disp.</t>
  </si>
  <si>
    <t>HINCF24Q: Address displayed inconsistently on E-file</t>
  </si>
  <si>
    <t>Form24Q generated inconsistently for mid month COCD changes</t>
  </si>
  <si>
    <t>HINCF24Q:Designation field on F27A displayed inconsistently</t>
  </si>
  <si>
    <t>HINUCMAP:Challans with zero balance amount getting displayed</t>
  </si>
  <si>
    <t>PF and EDLI changes - BAdI for customer specific calculation</t>
  </si>
  <si>
    <t>HINCEPF0_DCF_ANNEX_NEW: Employees not displayed consistently</t>
  </si>
  <si>
    <t>HINCF160:Tax details on page 3 of Form 16 is not displayed</t>
  </si>
  <si>
    <t>Sec80C Exemption investments is more than limit, throws dump</t>
  </si>
  <si>
    <t>Unable to change records in Infotype 588 screen for ESI</t>
  </si>
  <si>
    <t>Start date not appearing on page 1 of Form16</t>
  </si>
  <si>
    <t>Enabling nominal projection of HRA exemptions</t>
  </si>
  <si>
    <t>Madhya Pradesh ptax - inconsistent for leaving cases</t>
  </si>
  <si>
    <t>Form 24Q - report 'C' for employees with constant maintained</t>
  </si>
  <si>
    <t>Total Ee contribution displayed inconsistently on ESI Form6</t>
  </si>
  <si>
    <t>Madhya Pradesh PTax - Inconsistent for leaving case</t>
  </si>
  <si>
    <t>HINCF160: Form16 not displaying details on page 3 correctly</t>
  </si>
  <si>
    <t>Page1 details shown inconsistently with multiple F16 active</t>
  </si>
  <si>
    <t>HINCF24Q: Form 24Q giving run time error on execution</t>
  </si>
  <si>
    <t>PTax deduction happening inconsistently for termianted Ee's</t>
  </si>
  <si>
    <t>Payroll Error in Retroactive Calculation for Shoyo</t>
  </si>
  <si>
    <t>RPCSKSJ0: Records are Merged Improperly in Output Screen</t>
  </si>
  <si>
    <t>Enhancement for Net Retro in Flexible Payroll</t>
  </si>
  <si>
    <t>Rounding incorrect for Residence Tax of Retirement Allowance</t>
  </si>
  <si>
    <t>HJPUCP_APRCAL: Output Result is Incomplete</t>
  </si>
  <si>
    <t>Social Insurance Deducted Incorrectly</t>
  </si>
  <si>
    <t>YEA2010: YEA&amp;Separation DME and Donation Receipt</t>
  </si>
  <si>
    <t>Corrections on HKRCYEA0 Report Caused by Note 1522582</t>
  </si>
  <si>
    <t>Revise System Changes in SAP Note 1531461</t>
  </si>
  <si>
    <t>Payroll Cannot Process Multiple Employee after Note 1522582</t>
  </si>
  <si>
    <t>No EI Premium Calculated in the Off-cycle Payrolls</t>
  </si>
  <si>
    <t>System Changes to Complete Previous Corrections</t>
  </si>
  <si>
    <t>LC2011: Change HI Premium Rate and Separation Deduction Rate</t>
  </si>
  <si>
    <t>IT0002 CURP does not validate birth place</t>
  </si>
  <si>
    <t>HR-MX: Christmas Bonus using incorrect number of days</t>
  </si>
  <si>
    <t>PY-MX: New minimum salaries for 2011</t>
  </si>
  <si>
    <t>PY-MY: EA/EC/CP39/CP39A legal form changes for 2011</t>
  </si>
  <si>
    <t>PY-MY:Enhancement to EA with breakdown list</t>
  </si>
  <si>
    <t>Prefix for employee Tax Reference number in CP39 form</t>
  </si>
  <si>
    <t>Borang E changes for employees with only CP38 deduction</t>
  </si>
  <si>
    <t>SOCSO Borang 8A : Amount hits the line in Amaun column</t>
  </si>
  <si>
    <t>Excess EA allowance amount - Normal or Additional Tax Basis</t>
  </si>
  <si>
    <t>PY-MY:Incorrect tax calculation for multiple employees</t>
  </si>
  <si>
    <t>RPCNETN0: Simulation with different Saving Schemes</t>
  </si>
  <si>
    <t>RPCNETN0: Max. of 20 wage types of infotype 0008 considered</t>
  </si>
  <si>
    <t>YELC2010/2011: NSALD, Method 2 as of 2012-01-01 not allowed</t>
  </si>
  <si>
    <t>Reimbursement Reporting Issues - December 2010</t>
  </si>
  <si>
    <t>Norway ATS Reporting Issues - December 2010</t>
  </si>
  <si>
    <t>Norway ATS - Error when downloading tax reporting file</t>
  </si>
  <si>
    <t>Norway Legal Changes for year 2010/11: Tax Calculations</t>
  </si>
  <si>
    <t>Incorrect half tax in Payroll retro calculation</t>
  </si>
  <si>
    <t>Reimbursement Issue with Maternity and Holiday Allowance</t>
  </si>
  <si>
    <t>Corrections to Payroll Function P0962</t>
  </si>
  <si>
    <t>Corrections to Mobility, Hardship and Non-Removal Allowance</t>
  </si>
  <si>
    <t>Missing CI include for Infotype 1080(Classification)</t>
  </si>
  <si>
    <t>IT0313 issue - Display text icon</t>
  </si>
  <si>
    <t>New Zealand Superannuation : Problem with ESCT calculation</t>
  </si>
  <si>
    <t>PY-PH: Issues with SSS EDI report.</t>
  </si>
  <si>
    <t>Adjustment of Checkman errors (PT) (don't release it)</t>
  </si>
  <si>
    <t>RPCSSRP0: reporting fractions of days in remuneration type 2</t>
  </si>
  <si>
    <t>Single Report: attachment D</t>
  </si>
  <si>
    <t>RPCAIDP0,RPCIIDP0: H3 survivor pension income</t>
  </si>
  <si>
    <t>New contributive code for Social Security</t>
  </si>
  <si>
    <t>New Payroll Function for creating totals using Wage Types</t>
  </si>
  <si>
    <t>HCM PT PS: ADSE - reimbursement after exclusion of records</t>
  </si>
  <si>
    <t>Improvements to Annual S. Report / PS Legal Inform. Infotype</t>
  </si>
  <si>
    <t>New values for Generic customizing table for PD Infotypes</t>
  </si>
  <si>
    <t>HR-RU: Enable avera adjustm. in off-cycle for adjtype = 'A'</t>
  </si>
  <si>
    <t>HR-RU: wrong HRULSICK after retro (changing P2001 in past)</t>
  </si>
  <si>
    <t>HR-RU: Prorated Wage Types on Infotype 0014</t>
  </si>
  <si>
    <t>HR-RU: LC changes in sick leave and maternity FZ-343</t>
  </si>
  <si>
    <t>HR-RU: 4-FSS DAQ fields with condition processing</t>
  </si>
  <si>
    <t>HR-RU: Form T-54 - Employee 'Position' Name Processing</t>
  </si>
  <si>
    <t>Manual correction of Employer Contribution</t>
  </si>
  <si>
    <t>ATS: The highest other benefit for item 65 is incorrect</t>
  </si>
  <si>
    <t>Vacation QUOTA hard coded in the Method</t>
  </si>
  <si>
    <t>VACS entries are incorrect in case of rehiring</t>
  </si>
  <si>
    <t>Sweden:Tax calculation is incorrect</t>
  </si>
  <si>
    <t>RPLLASS0 Only display's Employees with Employee group '1'</t>
  </si>
  <si>
    <t>ATS: The highest other benefit for item 65 is incorrect.</t>
  </si>
  <si>
    <t>RPTOVTS0 Check on Restored hours based on Overtime hours</t>
  </si>
  <si>
    <t>Sweden: ATS PDF forms in the Swedish language</t>
  </si>
  <si>
    <t>RPIABSS0_NEW Corrected absence for partial leave scenario</t>
  </si>
  <si>
    <t>RPCTAXS0 Company-code missing in ALV-layout in summary mode</t>
  </si>
  <si>
    <t>ATS report in XML format has some issues</t>
  </si>
  <si>
    <t>Statistical report to SCB</t>
  </si>
  <si>
    <t>PY-SG: Issues with contibution amount in CPF report output.</t>
  </si>
  <si>
    <t>SG-Payroll : Shortfall wage types /314, /315 and /316</t>
  </si>
  <si>
    <t>IR8A : Deemed Exercise Date in IR8A report, PATLine</t>
  </si>
  <si>
    <t>IR8S : Date fields not displayed correctly in 604 release</t>
  </si>
  <si>
    <t>SDF of a rehired employee and Date of granting SPR status</t>
  </si>
  <si>
    <t>Payroll TH : Constant IMMEX and TUREX in T511P</t>
  </si>
  <si>
    <t>Alignment correction to Thai forms</t>
  </si>
  <si>
    <t>LC PIT91 2010-2011: Tourism exemption</t>
  </si>
  <si>
    <t>Font increased for amt. fields in SS Summary &amp; Detail report</t>
  </si>
  <si>
    <t>Enable Retroactive Calculation for Employee Welfare Fund</t>
  </si>
  <si>
    <t>Incorrect Tax Calculation for No-resident</t>
  </si>
  <si>
    <t>Labor Insurance Contribution Rate Adjustment</t>
  </si>
  <si>
    <t>2010 Changes on Taiwan Tax Medium File</t>
  </si>
  <si>
    <t>Salary Withholding Tax Rate Adjustment</t>
  </si>
  <si>
    <t>Report Year Error for Tax Reports in Year 2011</t>
  </si>
  <si>
    <t>Changes in LI, NHI and NP Contribution Rates</t>
  </si>
  <si>
    <t>TR: Self Sealer W2 Form alignment fixes</t>
  </si>
  <si>
    <t>Year End 2010 Phase III for U.S. Tax Reporter</t>
  </si>
  <si>
    <t>PY-US-TR: Manual adjustment for HIRE Act amount in 941 form</t>
  </si>
  <si>
    <t>PY-US-TR: New fields for W-2 third-party layout not shown</t>
  </si>
  <si>
    <t>PY-US-TR: 941 Rounding issues</t>
  </si>
  <si>
    <t>UIF &amp; SDL reference number field is incorrectly printed</t>
  </si>
  <si>
    <t>EEA4: Incorrect values in case of Non-permanent employees</t>
  </si>
  <si>
    <t>IRP5 SARS codes 4101 / 4102 -  Termination &amp; Reinstated</t>
  </si>
  <si>
    <t>RPCUIGW0:WWUIF &amp; WWTRN Features Not displaying correct data</t>
  </si>
  <si>
    <t>Address format on Payslip - As per Year 2010 Address format</t>
  </si>
  <si>
    <t>SAPKE60432</t>
  </si>
  <si>
    <t>HR-LDAP dada extraction: Performance improvement</t>
  </si>
  <si>
    <t>Extractor 0HR_PY_1_CE: Missing payment date</t>
  </si>
  <si>
    <t>PA-CP</t>
  </si>
  <si>
    <t>Personnel Cost Planning and Simulation</t>
  </si>
  <si>
    <t>SAP Sample Role Adjustment</t>
  </si>
  <si>
    <t>Feldvorbelegung am IT0367</t>
  </si>
  <si>
    <t>BIC code within institution tables and educational leave</t>
  </si>
  <si>
    <t>DeCavaA/DmfA - Resumption of work measure (00853)</t>
  </si>
  <si>
    <t>Information of Employee-Related Data (enhancements part 1)</t>
  </si>
  <si>
    <t>Actual Salary Cost stops if no payroll results found</t>
  </si>
  <si>
    <t>Regulatory data not saved when default values available</t>
  </si>
  <si>
    <t>Changes to 'Cost'-tab doesn't trigger save of info type 1683</t>
  </si>
  <si>
    <t>Event Cancelled: Relationship 941 is not deleted</t>
  </si>
  <si>
    <t>Field PERNR missing in InfoSet /SAPQUERY/HR_TNM_TN</t>
  </si>
  <si>
    <t>The amount of SUBVENTION Cost items is positive</t>
  </si>
  <si>
    <t>RELAT 941 not created during the REBOOKing process</t>
  </si>
  <si>
    <t>Search help HRTNM_GET_HELP_VALUES_PERSTN enhanced</t>
  </si>
  <si>
    <t>HR-IT: ITS Banks details not working correctly</t>
  </si>
  <si>
    <t>HR-IT: Standard T588M for custom dynpros of Italian IT21</t>
  </si>
  <si>
    <t>IT0045, IT0185: Maintain Text Button Behavior Improper</t>
  </si>
  <si>
    <t>IT0812: Value in Optional Field Required</t>
  </si>
  <si>
    <t>Infotype 0002: German version of Dutch dynpro 2005 incorrect</t>
  </si>
  <si>
    <t>HR-RU: Temporary reassignment into normal working conditions</t>
  </si>
  <si>
    <t>HR-RU: Feature 33SG0 is not processed in form T-13</t>
  </si>
  <si>
    <t>PAY2 - docu and fixes</t>
  </si>
  <si>
    <t>SZV-6-x - processing PNP-selection in the valuation model</t>
  </si>
  <si>
    <t>RSV-1 - several disablement certificates in reporting period</t>
  </si>
  <si>
    <t>SZV-6-x - payments in reorganized company structure</t>
  </si>
  <si>
    <t>HR-RU Legal Change: Form 4-FSS(Order Â¹1147n, 21.12.2010)</t>
  </si>
  <si>
    <t>T-2: Runtime Error STRING_OFFSET_TOO_LARGE</t>
  </si>
  <si>
    <t>ADV-6-2: XML-blocks' wrong sequence</t>
  </si>
  <si>
    <t>SZV-6-x: rejecting employees with paid insurance payments</t>
  </si>
  <si>
    <t>Sickness certificate's number is not saved</t>
  </si>
  <si>
    <t>SZV-6-x: assembling improvements 02.2011</t>
  </si>
  <si>
    <t>ESS W4: Message from implementation for BAdI PC10_PAY0007</t>
  </si>
  <si>
    <t>CPS: Collection of minor improvements</t>
  </si>
  <si>
    <t>Pension equalization payment: Corrections/enhancement 1/2011</t>
  </si>
  <si>
    <t>RBM: Error when contribution data is determined</t>
  </si>
  <si>
    <t>RBM: MZ01 reversal notifications are reversed again</t>
  </si>
  <si>
    <t>RBM: RPCRBMD0_INBOUND terminates when over 494 files exist</t>
  </si>
  <si>
    <t>SAP_HR_RC_RECRUITER</t>
  </si>
  <si>
    <t>Gantt Chart : incorrect schedule displayed</t>
  </si>
  <si>
    <t>/S06 - SAC payment difference is not being cumulated on /111</t>
  </si>
  <si>
    <t>PCDGIAR2 considering OFF CYCLE entries for calc maternity</t>
  </si>
  <si>
    <t>[AR] RG 3008/2011 - Income Tax deduction for 2011</t>
  </si>
  <si>
    <t>Aufrollung Lohnsteuer nach EStG Â§77,4, Konstante P77GR</t>
  </si>
  <si>
    <t>JW 2010/11: Aufhebung des Montageprivilegs</t>
  </si>
  <si>
    <t>JW 2010/11: VM ELDA-Fehler und -Warnungen bei Ãœbermittlung</t>
  </si>
  <si>
    <t>Untermon. Steuerwechsel auf 2/G (bechrÃ¤nkt.pfl./GrenzgÃ¤nger)</t>
  </si>
  <si>
    <t>PfÃ¤ndung: VollstÃ¤ndige Tilgung und aufgeschobene Ãœberweisung</t>
  </si>
  <si>
    <t>Sperre des IT0021 beim Austritt nicht berÃ¼cksichtigt</t>
  </si>
  <si>
    <t>Zahlungen zum Austritt: Datum "frÃ¼h.Ã„nderung Stamm" IT 0003</t>
  </si>
  <si>
    <t>JW 2010/11: Negative und positive Grundlagen RPCSVBA2</t>
  </si>
  <si>
    <t>ELDA: ErgÃ¤nzung der EintrÃ¤ge T5A1T fÃ¼r Bearbeitung in T5A1O</t>
  </si>
  <si>
    <t>PCALZ: Lohnzettelart 18 (mehrere LZ vom selben Arbeitgeber)</t>
  </si>
  <si>
    <t>Ãœberweisung PfÃ¤ndungsguthaben aus Vormonat</t>
  </si>
  <si>
    <t>PCALZ: Systemverhalten nach Einspielen HW 1476725</t>
  </si>
  <si>
    <t>Abweichende Version der Personalrechenregel ASVY in EhP4</t>
  </si>
  <si>
    <t>RPCSVBA2PBS: Fehler im Bereich der AV-Staffelung</t>
  </si>
  <si>
    <t>SV Ã–D: DN-Ãœbernahme KV-SZ nicht korrekt</t>
  </si>
  <si>
    <t>Leave Loading enhancements</t>
  </si>
  <si>
    <t>Incorrect Super during offcycle run</t>
  </si>
  <si>
    <t>Termination Payments not calculated on change of Notice Date</t>
  </si>
  <si>
    <t>Termination Organizer: Transitional Payment Pre-Payment Form</t>
  </si>
  <si>
    <t>CE : Retro taxation incorrect</t>
  </si>
  <si>
    <t>Bonus and Leave loading taxation in regular and retro runs</t>
  </si>
  <si>
    <t>Shortdump on Executing the report RPLSPRQ0_CE</t>
  </si>
  <si>
    <t>PCL4 is not updating for IT0567</t>
  </si>
  <si>
    <t>RPLRECQ0: ABAP Dump due to small ALV field length/size</t>
  </si>
  <si>
    <t>PSS and CSS Contr for EEs terminated before payment date</t>
  </si>
  <si>
    <t>BELCOTAX: Legal Changes at January 2011 for incomes on 2010</t>
  </si>
  <si>
    <t>BELCOTAX: Error if customizing split V_T5BX4 between years</t>
  </si>
  <si>
    <t>Dimona 2010 - Correction on double management</t>
  </si>
  <si>
    <t>Capelo &amp; BEEVL : Payroll and DmfA/DmfAPPL integration</t>
  </si>
  <si>
    <t>New Dimona 2010 : Correction on preparation report</t>
  </si>
  <si>
    <t>Dimona 2010 - Preparation Report - Check Paritair Comitee</t>
  </si>
  <si>
    <t>Wrong customizing for wagetype /170 and /171</t>
  </si>
  <si>
    <t>Posting to invoice - Customizing</t>
  </si>
  <si>
    <t>Belcotax - Customizing of printouts - fiches</t>
  </si>
  <si>
    <t>Wagetype /41S not correct determined</t>
  </si>
  <si>
    <t>Processing of /30L and computation of /401 &amp; /453</t>
  </si>
  <si>
    <t>DmfA - rejected - Content of field CMID-AILRE (00952)</t>
  </si>
  <si>
    <t>Capelo &amp; BEEVL - Documentation and Corrections</t>
  </si>
  <si>
    <t>EarlyRetirementContAction in Consult Answer (DMCA) missing</t>
  </si>
  <si>
    <t>DMFA: Dismissal allowance paid monthly without FIRE entry</t>
  </si>
  <si>
    <t>Dimona 2010 - Preparation Report - Change in National Number</t>
  </si>
  <si>
    <t>New Worker Codes for DmfA</t>
  </si>
  <si>
    <t>Payroll: Read of cluster with of different monthly PERMOs</t>
  </si>
  <si>
    <t>Generation of wage types in payroll function P0505 incorrect</t>
  </si>
  <si>
    <t>Dimona: Infotype 0735 manual creation with wrong default</t>
  </si>
  <si>
    <t>RPLDE1B8: printing error and number of employees not filled</t>
  </si>
  <si>
    <t>SOCIAL BALANCE: Wrong error message for 'Entry' section EE40</t>
  </si>
  <si>
    <t>Ordinance 1510 - Time Sheet - HBRTMSH0 - Time event order</t>
  </si>
  <si>
    <t>Termination Term: Enhancements</t>
  </si>
  <si>
    <t>HRBRTER2: Size of the fields from 150 to 158 adjusted</t>
  </si>
  <si>
    <t>DIRF: BAdI records sequence</t>
  </si>
  <si>
    <t>Homolognet-Termination Term: Customizing tables</t>
  </si>
  <si>
    <t>Income Declaraction: Pecuniary Compensation</t>
  </si>
  <si>
    <t>Termination term: Wrong customizing in SAP table</t>
  </si>
  <si>
    <t>DIRF: Employees with same CPF document</t>
  </si>
  <si>
    <t>RAIS: Admission date</t>
  </si>
  <si>
    <t>TemSe: Lines truncated in the files</t>
  </si>
  <si>
    <t>HBRCCED0: "Natureza do Rendimento" not filled</t>
  </si>
  <si>
    <t>HBRCCED0: short dump</t>
  </si>
  <si>
    <t>PY-BR: New class to read the table T7BR596</t>
  </si>
  <si>
    <t>TAX : Exemptions to be considered for flat tax on bonus</t>
  </si>
  <si>
    <t>YE10: T4A/RL2 Combo form modified</t>
  </si>
  <si>
    <t>YE10: Footnote 036 does not appear on the T4A</t>
  </si>
  <si>
    <t>YE10: T4A box BOI including certain footnotes in total</t>
  </si>
  <si>
    <t>YE10: Name overflows out of the box for T4 or T4A</t>
  </si>
  <si>
    <t>YE10: Address Box issues with T4 and T4A</t>
  </si>
  <si>
    <t>YE10: T4A Box 036 not filled for 2009 and prior runs</t>
  </si>
  <si>
    <t>YE10: Address Line 2 and City Error for T4/T4A</t>
  </si>
  <si>
    <t>YE10: RL-1 Preprinted alignment issues</t>
  </si>
  <si>
    <t>YE10: Change to RL2 reporting for RPA/RPNA</t>
  </si>
  <si>
    <t>YE10: Unncessary Amendments for T4 generated</t>
  </si>
  <si>
    <t>PY-CA-YE</t>
  </si>
  <si>
    <t>Year End for Canada</t>
  </si>
  <si>
    <t>YE10 : Alignment issues with pre-printed T4 form</t>
  </si>
  <si>
    <t>YE10 : Reference number not displayed on the RL-1 form</t>
  </si>
  <si>
    <t>FamZReg: Err. mssg. and reqrd. fld. chck. missng. for canton</t>
  </si>
  <si>
    <t>Documentation: Withholding tax scales Geneva</t>
  </si>
  <si>
    <t>FamZReg: Adjusting default layout of control list</t>
  </si>
  <si>
    <t>ELM: "End date" earlier than "Start date"</t>
  </si>
  <si>
    <t>PY-CL: New evaluation for Worker Type in PREVIRED report</t>
  </si>
  <si>
    <t>PY-CL: Missing Family Allowances concepts calculation</t>
  </si>
  <si>
    <t>PY-CL: Social insurance wage types customizing changes</t>
  </si>
  <si>
    <t>PY-CL: Additional changes to Pension Plan limits</t>
  </si>
  <si>
    <t>PY-CL: Wrong entry in table view V_T596J for Wage Type /TDC</t>
  </si>
  <si>
    <t>TDD polit project</t>
  </si>
  <si>
    <t>Enhanced Rounding Method for PHF Exemption Amount</t>
  </si>
  <si>
    <t>SI: Improvement of SHI communications server</t>
  </si>
  <si>
    <t>SI: Manual status change for inbound notifications</t>
  </si>
  <si>
    <t>ETNotif/ETStmt: Bavaria - check for tax numbers has changed</t>
  </si>
  <si>
    <t>Aufwendungen: Wochenendheimfahrten bei Feiertagen</t>
  </si>
  <si>
    <t>Delivering enhancement spot HRPAYDE_CI_URLAUBSAUFBAU</t>
  </si>
  <si>
    <t>Expenses: Runtime error in FORM MOD_WORKDATES</t>
  </si>
  <si>
    <t>Company data maintenance: Current changes and corrections I</t>
  </si>
  <si>
    <t>DEUEV(UVMG): Missing statements</t>
  </si>
  <si>
    <t>DEUEV: Different document types for archiving</t>
  </si>
  <si>
    <t>DEUEV: Manual entry of difference for semiretirement</t>
  </si>
  <si>
    <t>ELENA: Current changes and corrections II</t>
  </si>
  <si>
    <t>ELENA: Termntn RPCELVD0_OUT when creating termintn notifictn</t>
  </si>
  <si>
    <t>Total gross amount (/10E) incorrect in "Taxable SI ER Cont."</t>
  </si>
  <si>
    <t>Prohibited activities: Termination due to no. calendar days</t>
  </si>
  <si>
    <t>Prohibtd activities: Incrr partl pd factorng of crrnt pymnts</t>
  </si>
  <si>
    <t>Prohibited activities: Adjustment amount too low</t>
  </si>
  <si>
    <t>German Pension Reform in fictitious runs w/ ind. bank trans.</t>
  </si>
  <si>
    <t>Decl made by third-party debtor: SSC w/ form ctrl framework</t>
  </si>
  <si>
    <t>Error: Loans garnish from priority area</t>
  </si>
  <si>
    <t>Corr. of taxable employer's allow. for persons w/ private HI</t>
  </si>
  <si>
    <t>POP: Setting start notifs to "Confirmed" in reminder list</t>
  </si>
  <si>
    <t>POP: Various corrections and enhancements</t>
  </si>
  <si>
    <t>Infotype 0700: Authorization check</t>
  </si>
  <si>
    <t>Slide zone and March clause</t>
  </si>
  <si>
    <t>Infotype 0700, enhancements for default values</t>
  </si>
  <si>
    <t>RPUBGDD0 Indequate error message for file path</t>
  </si>
  <si>
    <t>No terminatn in process model if err occurs in file creation</t>
  </si>
  <si>
    <t>CPS: Data transfer report in process model</t>
  </si>
  <si>
    <t>AAG: Corrections for "Continued pay ER contributions" field</t>
  </si>
  <si>
    <t>AAG: Correction for data madule DBBV (bank details)</t>
  </si>
  <si>
    <t>Rejection for arrears payt of multiyear benefits payments</t>
  </si>
  <si>
    <t>IT 0012: Changing tax infotype</t>
  </si>
  <si>
    <t>ETStmt: Error message when printing old statements</t>
  </si>
  <si>
    <t>Empl tax stmnt: Employer tax number is missing in form</t>
  </si>
  <si>
    <t>LStB: EE contrib. for tax-exempt remun. liable to SI contrib</t>
  </si>
  <si>
    <t>Incorrect tax calculation for SI attributes 24 and 25</t>
  </si>
  <si>
    <t>ETStmt: Corr. for lines 25 and 26 for voluntarily insured</t>
  </si>
  <si>
    <t>ETStmt: Corr for lines 25 and 26 for voluntarily insured</t>
  </si>
  <si>
    <t>Overtime for part-time pub. sec. employees - wage type /OU5</t>
  </si>
  <si>
    <t>Census 2011, part 2</t>
  </si>
  <si>
    <t>RPSVEOD0: InputFld 24 "Monthly spec. payt" no longer applies</t>
  </si>
  <si>
    <t>Structure equalization and personal bonus</t>
  </si>
  <si>
    <t>Structure equalization error after implementing Note 1487646</t>
  </si>
  <si>
    <t>Infotype 0271, pension recipient statistics: Error 5Z 117</t>
  </si>
  <si>
    <t>Public Services reg. Bavaria: Alt. texts in input helps</t>
  </si>
  <si>
    <t>Public Services regulation Hessen: Enhancements I</t>
  </si>
  <si>
    <t>Eighth Adj.acc.sec.69e Public Sec. Pensions Act (BeamtVG) VI</t>
  </si>
  <si>
    <t>Incorr WT manl child bonus + bonus for care of family member</t>
  </si>
  <si>
    <t>Treaty on the sharing of pension costs (4)</t>
  </si>
  <si>
    <t>Public srvcs reg. Bavaria: Checking empl.pds pensn pay rdctn</t>
  </si>
  <si>
    <t>Incorrect pension pay reduction new Public Services regulatn</t>
  </si>
  <si>
    <t>Additional individual increase not considered</t>
  </si>
  <si>
    <t>Change in pay scale area in child-rearing periods ignored</t>
  </si>
  <si>
    <t>Reduction of the basis for tax exemption for pensions</t>
  </si>
  <si>
    <t>Pension payts too low in case of proportional family reductn</t>
  </si>
  <si>
    <t>Incorr curr. for special payments in family court inquiry</t>
  </si>
  <si>
    <t>PSR Bavaria: No individual increase for March 01, 2009</t>
  </si>
  <si>
    <t>Unnecessary warning msgs in DOZV KON w/ commitment processor</t>
  </si>
  <si>
    <t>Notif. corrections due to reorganization pay (February 2011)</t>
  </si>
  <si>
    <t>VBL: Zero notification missing</t>
  </si>
  <si>
    <t>Dump in infotype 0051</t>
  </si>
  <si>
    <t>RPLEHAD3 Error for severely challenged in semiretirement</t>
  </si>
  <si>
    <t>Wage statement for WCA: Number of employees is missing</t>
  </si>
  <si>
    <t>RPLEHAD3 Empty file D (directory) causes errors</t>
  </si>
  <si>
    <t>Leave reserve: Enhancement of log</t>
  </si>
  <si>
    <t>RPCEHCD1 Remuneration according to free agreement</t>
  </si>
  <si>
    <t>Corrections for statements March 2011</t>
  </si>
  <si>
    <t>Garnishment Improvement</t>
  </si>
  <si>
    <t>Garnishments: Changes of Royal Decree-Law 6/2010 art. 15</t>
  </si>
  <si>
    <t>ERE days not being discounted from prorrata calculation</t>
  </si>
  <si>
    <t>Illness related to work contribution with VND + Split 31st</t>
  </si>
  <si>
    <t>Garnishment-Cash Payment is wrongly recording /GMB into BT</t>
  </si>
  <si>
    <t>CALC: Value of v0znr overflow before its maximum value</t>
  </si>
  <si>
    <t>RPC190E0: Blank spaces on Model 345</t>
  </si>
  <si>
    <t>IRPF2011: Problems reading table T5EI1</t>
  </si>
  <si>
    <t>IRPF2011: Wrong check reduction of irregular performances</t>
  </si>
  <si>
    <t>AFI: Error message while updating employee without movement</t>
  </si>
  <si>
    <t>RPCRT2E0: XML file is displaying locked infotype records</t>
  </si>
  <si>
    <t>New Ocupational Codes - CNO2011 for Certific@2 and Contrat@</t>
  </si>
  <si>
    <t>TC: Active employees being ignored</t>
  </si>
  <si>
    <t>RPCALCE0: Performance issue for employees with ERE</t>
  </si>
  <si>
    <t>Contrat@: Changes in error codes and allowance groups</t>
  </si>
  <si>
    <t>RPIGA0E0: checking limit of reduction to irregular income</t>
  </si>
  <si>
    <t>TC: EDTCA02 for researchers with maternity</t>
  </si>
  <si>
    <t>AFI: Error in FCT segment for employee with VND</t>
  </si>
  <si>
    <t>Social Security 2011: More changes published in BOE 20/01/11</t>
  </si>
  <si>
    <t>Retroactivity control for note 1421000</t>
  </si>
  <si>
    <t>Delt@: New CNAE format from January 2009 - Correction I</t>
  </si>
  <si>
    <t>Delt@: Problems when region or municipality fields are empty</t>
  </si>
  <si>
    <t>Unpaid Absence: BRD not calculated properly (/344 and /345)</t>
  </si>
  <si>
    <t>CAC (CCC) not being refreshed correctly in IT0061 display</t>
  </si>
  <si>
    <t>TC: Missing EMP segment in negative complementary</t>
  </si>
  <si>
    <t>AFI: Field 'Reservado' for FCT segment with wrong size</t>
  </si>
  <si>
    <t>AFI: Default value 'S' for the Print Indicator Field</t>
  </si>
  <si>
    <t>Change of start date of CNO-2011 on Contrat@ and Certific@2</t>
  </si>
  <si>
    <t>RPUFRAE0 form capturing wrong record from 0799 movements</t>
  </si>
  <si>
    <t>TC: Wrong liquidation class A74</t>
  </si>
  <si>
    <t>Infotype 0090: wrong value for field P0090-TIRET</t>
  </si>
  <si>
    <t>Contrat@: Program error generating XML file</t>
  </si>
  <si>
    <t>RPTGENE0: Blank days when generating personal calendar</t>
  </si>
  <si>
    <t>RPUFRAE0 rejecting FRA files with error code starting with 9</t>
  </si>
  <si>
    <t>RPCTC0E0 ERE indicator 'T' - undo note 1484796. (v2)</t>
  </si>
  <si>
    <t>CALC: Error with feature ENISS</t>
  </si>
  <si>
    <t>HFISTBC0 does not recognize return val.3 from feature 44CLZ</t>
  </si>
  <si>
    <t>HFILTYEL1:Earning amount is wrongly formed in Temse File</t>
  </si>
  <si>
    <t>Error in progressive regularization if retro and sv split</t>
  </si>
  <si>
    <t>Progressive regularization for Fillon reduction</t>
  </si>
  <si>
    <t>DUCS: Date selection for Quarter / Year (TR)</t>
  </si>
  <si>
    <t>DADS-U: S45  G05.20 / G05.15.001.001</t>
  </si>
  <si>
    <t>DADS-U: Work accident fields empty if S41.G01.00.014 &lt;&gt; 88/9</t>
  </si>
  <si>
    <t>Yearly regularization for Fillon reduction without RECOT</t>
  </si>
  <si>
    <t>DADS-U: S41.G47.10 present in "PortabilitÃ©"</t>
  </si>
  <si>
    <t>DADS-U: S45 Tranche D and incorrect totals</t>
  </si>
  <si>
    <t>Infotype 0016 is not cleared when new employee is processed</t>
  </si>
  <si>
    <t>DADS-U: Amount in S41.G01.00.065 is rounded incorrectly</t>
  </si>
  <si>
    <t>PY-FR: RPLAASF1 - text "IJSS deduction" not cleared</t>
  </si>
  <si>
    <t>Handling CEDEX in T5F4E1 (RPLDMOF0 and RPLDH3F0)</t>
  </si>
  <si>
    <t>Fillon coefficient not ceiled, error in reduction ceiling</t>
  </si>
  <si>
    <t>DUCS: new contribution type for "RÃ©duction Fillon"</t>
  </si>
  <si>
    <t>IT0064: Special rules displayed out of order</t>
  </si>
  <si>
    <t>DADS-U: S46 outside S41 periods</t>
  </si>
  <si>
    <t>Wrong Fillon coefficient for employees w/o complete month</t>
  </si>
  <si>
    <t>Error in progressive regularization for employee w/o 30 30th</t>
  </si>
  <si>
    <t>RPLCOTF2 basis value is inflated.</t>
  </si>
  <si>
    <t>2010 Fillon reduction cancelled in case of complementary pay</t>
  </si>
  <si>
    <t>PY-FR-PS</t>
  </si>
  <si>
    <t>Agent seniority / d'anciennetÃ© de corps</t>
  </si>
  <si>
    <t>Electronic forms for P60 and new features for EOY and P11D</t>
  </si>
  <si>
    <t>Missing texts and the time constraint in T591A</t>
  </si>
  <si>
    <t>GBSXP : Average Weekly earnings and offsetting</t>
  </si>
  <si>
    <t>Incorrect calculation of SxP for ME employees</t>
  </si>
  <si>
    <t>Incorrect calculation of OMP in case of KIT days</t>
  </si>
  <si>
    <t>PY-GB-NT-NI</t>
  </si>
  <si>
    <t>National Insurance</t>
  </si>
  <si>
    <t>Incorrect director NI calculation while NI category change</t>
  </si>
  <si>
    <t>Changes to 'upload report for t5g_dtoni from excel sheet'</t>
  </si>
  <si>
    <t>Incorrect Employee contributions in Section F of P11D report</t>
  </si>
  <si>
    <t>Change of National Insurance (Class 1A) % from 06.04.2011</t>
  </si>
  <si>
    <t>Enable Functionality Reverse Payment for HongKong</t>
  </si>
  <si>
    <t>LC: New monthly Jamsostek changes</t>
  </si>
  <si>
    <t>End of Month P30 Legislative report - FY 2011</t>
  </si>
  <si>
    <t>Employer PRSI /331 can't be negative.</t>
  </si>
  <si>
    <t>Error Mes displayed when P35v6 was submitted to revenue.</t>
  </si>
  <si>
    <t>Incorrect calculation of PRSI during retro.</t>
  </si>
  <si>
    <t>Incorrect USC thresholds for few employees in payroll area.</t>
  </si>
  <si>
    <t>PY-IE : EE's with an exclusion order are excluded in XML .</t>
  </si>
  <si>
    <t>Incorrect Tax Credit and Cutoff on P60 form for weekly paid</t>
  </si>
  <si>
    <t>dummy note</t>
  </si>
  <si>
    <t>HR-IT: Autoliquidazione Inail objects in release 604</t>
  </si>
  <si>
    <t>IMG Clean up and Update for PY-IT</t>
  </si>
  <si>
    <t>HR-IT program RPUCMNI1 short dump</t>
  </si>
  <si>
    <t>HR-IT: "ICPRV conguag. contatore" issue with negative income</t>
  </si>
  <si>
    <t>HR-IT: Absence link on ITASS RICA (xnab) issue</t>
  </si>
  <si>
    <t>HR-IT: F24 - Error when using one wagetype in several codes</t>
  </si>
  <si>
    <t>HR-IT: IT 0002 - Error on city validation without birth date</t>
  </si>
  <si>
    <t>HR-IT: ITQGF(TFR2010) runtime error</t>
  </si>
  <si>
    <t>HR-IT: CUD 2011 - Correction Package I</t>
  </si>
  <si>
    <t>HR-IT: TFR Option to enroll in a fund without sending TFR</t>
  </si>
  <si>
    <t>HR-IT: Error on PC00_M15_CUD_ANNOT on "test" systems</t>
  </si>
  <si>
    <t>Labour Insurance Deduction Calculation Incorrect</t>
  </si>
  <si>
    <t>HJPUJU_DEPINF_2011 Remove Delete Flag for Batch Input File</t>
  </si>
  <si>
    <t>RPCEWGJ1: Incorrect Output When Run Before Employee's Entry</t>
  </si>
  <si>
    <t>CRT result incorrect for 'Retirement Correction' retro</t>
  </si>
  <si>
    <t>2011 Simple Tax Table Effective on January 01</t>
  </si>
  <si>
    <t>Pension saving Ded.Amt.&amp;Donation Deduction Calculation Order</t>
  </si>
  <si>
    <t>YEA2010: Revise Employee Housing Saving &amp; Donation Over 1B</t>
  </si>
  <si>
    <t>Correction for report HKRCDON0&amp;HKRCYEA0</t>
  </si>
  <si>
    <t>Correction&amp;Changes for YEA and Separation DME File</t>
  </si>
  <si>
    <t>PY-MX: Incorrect Saving Funds balance</t>
  </si>
  <si>
    <t>PY-MX - Incorrect limit of Saving Funds in MXLFA function</t>
  </si>
  <si>
    <t>Error generating absence days in HR_MX_TERM_AGUINALDO</t>
  </si>
  <si>
    <t>PY-MX - Error generating files - FOVISSSTE</t>
  </si>
  <si>
    <t>PY-MX: DEM File and Tax Form 37 fields calculation changes</t>
  </si>
  <si>
    <t>New State tax table for Chihuahua 2011</t>
  </si>
  <si>
    <t>PY-MX: Rounding issue in HMXCDAN0 report</t>
  </si>
  <si>
    <t>PY-MX:Documentation update for reports HMXCDIE0 and HMXCINO0</t>
  </si>
  <si>
    <t>PY-MX: DEM File fields in blank when executing HMXCDAN0</t>
  </si>
  <si>
    <t>PY-MX: address fields corrections on report HMXCSARPBS</t>
  </si>
  <si>
    <t>HR-MX: HMXCIPDPBS Total Perception field is incorrect</t>
  </si>
  <si>
    <t>Previous employment allowances not considered during retro</t>
  </si>
  <si>
    <t>Legal Change: Borang E form for Tax assesment year 2010</t>
  </si>
  <si>
    <t>PY-MY: Alignment error in CP39, CP39A and EA forms</t>
  </si>
  <si>
    <t>PY-MY : Revised CP39 and CP39A Form layout changes for 2011</t>
  </si>
  <si>
    <t>PY-MY : Company name truncated in Borang E</t>
  </si>
  <si>
    <t>WCR: Improvement of documentation</t>
  </si>
  <si>
    <t>RPCNETN0: Size of form output optimized for printing</t>
  </si>
  <si>
    <t>RPCALCN0: 'WIA Aok' Contribution Wage for PMA (/63Z) missing</t>
  </si>
  <si>
    <t>No Assignments of several Authorization Objects present</t>
  </si>
  <si>
    <t>Loonstaat: Form changes for 2011</t>
  </si>
  <si>
    <t>Incorrect relevance of /3YG, /55E and /55F for cum. class 26</t>
  </si>
  <si>
    <t>HCM NL: Correction of Translation Part 1</t>
  </si>
  <si>
    <t>Legal change in value of Company Car constant</t>
  </si>
  <si>
    <t>Short dump in Report RPCERIV0 when executed for Svalbard</t>
  </si>
  <si>
    <t>Changes to Norway ATS PDF forms RF-1025B AND RF-1015B</t>
  </si>
  <si>
    <t>Few Record types missing in TemSe for ATS Correction Run</t>
  </si>
  <si>
    <t>ATS displays incorrect company detials</t>
  </si>
  <si>
    <t>RPCIPE00: Program terminates while importing cluster results</t>
  </si>
  <si>
    <t>HNZLSUM0:Retro/Claim from previous column shows same values</t>
  </si>
  <si>
    <t>HNZLSUM0: Field overflow in the summation of total amount.</t>
  </si>
  <si>
    <t>PY-NZ : Tax calculation error for ML tax code</t>
  </si>
  <si>
    <t>PY-NZ : Superannuation Report displays incorrect employees</t>
  </si>
  <si>
    <t>Annual leave is not adding to gross $ year to date (/C07)</t>
  </si>
  <si>
    <t>PY-NZ : Missing code changes and customising of LC 2011-12</t>
  </si>
  <si>
    <t>PY-PH: Flag for voluntary HDMF contribution.</t>
  </si>
  <si>
    <t>PY-PH: Tax calculation via projection method is incorrect</t>
  </si>
  <si>
    <t>PY-PH: Philhealth file format issue.</t>
  </si>
  <si>
    <t>IT 331: Enabling fields LIBEX and LIBRT</t>
  </si>
  <si>
    <t>Remuneration sheet does not show new remuneratio codes</t>
  </si>
  <si>
    <t>Category B: Tax reduction rate not considered in calc.</t>
  </si>
  <si>
    <t>Annual Staff Report: special improvements</t>
  </si>
  <si>
    <t>ADSE: new XML report</t>
  </si>
  <si>
    <t>Annual Staff report: legal corrections and improvements</t>
  </si>
  <si>
    <t>CGA: Field 'Number of Days' is empty for some employees</t>
  </si>
  <si>
    <t>ADSE: New cumulation wage type for organization contribution</t>
  </si>
  <si>
    <t>Social Balance PS: General corrections</t>
  </si>
  <si>
    <t>HR-RU: Form T-60 with off-cycle vacation</t>
  </si>
  <si>
    <t>HR-RU: High memory consumption by the Russian reports</t>
  </si>
  <si>
    <t>HR-RU: Table RUAVE stores not all records for non-absences</t>
  </si>
  <si>
    <t>HR-RU: Average rate calculation for compensation</t>
  </si>
  <si>
    <t>HR-RU: T-54 incorrect texts on print form</t>
  </si>
  <si>
    <t>HR-RU: No tax return to employee who becomes tax resident</t>
  </si>
  <si>
    <t>HR-RU: T-54 - 'Employee Category' field in PDF form</t>
  </si>
  <si>
    <t>HRULNDFL: new XML format</t>
  </si>
  <si>
    <t>HR-RU: T-54 - Incorrect field 'Employee FireDate' on form</t>
  </si>
  <si>
    <t>HR-RU: T-54 - No Action 'Leaving Company' on Form</t>
  </si>
  <si>
    <t>HR-RU: Docu. for LCs - Sick Leave and Maternity Leave FZ-343</t>
  </si>
  <si>
    <t>HR-RU: 4-FSS wrong sum value in table 10 row 13</t>
  </si>
  <si>
    <t>HR-RU: average rate = 0 during off-cycle by current period</t>
  </si>
  <si>
    <t>VACS Issues with multiple hire fire of employees</t>
  </si>
  <si>
    <t>RPLAMFS0- Incorrect dates while running multiple employees</t>
  </si>
  <si>
    <t>Tax calculation for Tax column 3 is incorrect year 2011</t>
  </si>
  <si>
    <t>RPCKU1S0 Some issues with ATS reporting</t>
  </si>
  <si>
    <t>RPCKU1S0 Fields 51, 52, 53 and 54 flags not set in SAPScript</t>
  </si>
  <si>
    <t>RPLSPPS2 - Dept1: Incorrect Start Date and Amount reported.</t>
  </si>
  <si>
    <t>RPLSPPS2 - Amount reported to table T5SPP not correct</t>
  </si>
  <si>
    <t>RPCKU1S0: XML and Form issues</t>
  </si>
  <si>
    <t>RPITAXS0:Browse-functionality missing for field 'FILENAME'</t>
  </si>
  <si>
    <t>IT0495 : Past wages for CPF Difference</t>
  </si>
  <si>
    <t>CPF report output: FWL Contribution header text incorrect</t>
  </si>
  <si>
    <t>PY-SG: Payroll date not printed in IR8E re-print.</t>
  </si>
  <si>
    <t>SINDA contribution for zero net pay</t>
  </si>
  <si>
    <t>IR8A Appendix 8B : IR8A PATLine file and e-submission</t>
  </si>
  <si>
    <t>PY-SG: Change in constant LIMVC value, IR8A PAT file issues</t>
  </si>
  <si>
    <t>CPF rate changes March 2011 : V_T5R1G</t>
  </si>
  <si>
    <t>PY-SG-PS: Pension papers CPF refund calculation</t>
  </si>
  <si>
    <t>Correction: CPF rate changes March 2011</t>
  </si>
  <si>
    <t>Form 50 Bis incorrect - for Employee without payroll data</t>
  </si>
  <si>
    <t>Employer address in 50 Bis-Yearly Report incorrect</t>
  </si>
  <si>
    <t>PY-TH: Employer details display in 50 BIS form</t>
  </si>
  <si>
    <t>Enable Reverse Payment Functionality for Taiwan</t>
  </si>
  <si>
    <t>PY-US-NT</t>
  </si>
  <si>
    <t>PY-US-NT-GR</t>
  </si>
  <si>
    <t>Garnishments</t>
  </si>
  <si>
    <t>GARN: Error in deduction when new EE Assignment is created</t>
  </si>
  <si>
    <t>GRN: Documentation for RPCPL6U0 report enhanced.</t>
  </si>
  <si>
    <t>Missing authorization checks for Tax Infotype Summary report</t>
  </si>
  <si>
    <t>REC: Reconciliation with incorrect accumulation</t>
  </si>
  <si>
    <t>PY-US-TR: Multiple corrections over form 941-X</t>
  </si>
  <si>
    <t>PY-US-TR: OR SUI form with wrong values in columns C and D</t>
  </si>
  <si>
    <t>TR: Missing Employer Identification Number in form 941-X</t>
  </si>
  <si>
    <t>TR: Incorrect code in Box 12 for HIRE Act with custom forms</t>
  </si>
  <si>
    <t>TR: Type conflict in RPCTRPU0 with custom 941 forms.</t>
  </si>
  <si>
    <t>TR: Incorrect file format in the SUI Oklahoma magnetic media</t>
  </si>
  <si>
    <t>TR: No header in magnetic media files causes a short dump</t>
  </si>
  <si>
    <t>TR: Correction to wage listing Massachusetts</t>
  </si>
  <si>
    <t>TR: Wrong State Employer Account Number in HR_F_MMREF_1_NE</t>
  </si>
  <si>
    <t>TR: New W-2 magnetic media for the State of Vermont</t>
  </si>
  <si>
    <t>Agent Appointment(ITA88) Legal Change 2011 - (Risk Involved)</t>
  </si>
  <si>
    <t>Company Car - Tax Year 2012 ( 01.03.2011 onwards)</t>
  </si>
  <si>
    <t>Employee selection not working correctly with payroll area</t>
  </si>
  <si>
    <t>XX-TRANSL</t>
  </si>
  <si>
    <t>Translation</t>
  </si>
  <si>
    <t>XX-TRANSL-JA</t>
  </si>
  <si>
    <t>Component for translation correction of language Japanese</t>
  </si>
  <si>
    <t>Translation correction for "to" and "Housing Ded"</t>
  </si>
  <si>
    <t>SAPKE60433</t>
  </si>
  <si>
    <t>Unspecific error messages with extractor 0HR_PY_1_CE</t>
  </si>
  <si>
    <t>Obsolete Positions displayed in Iview Position Holder</t>
  </si>
  <si>
    <t>Obsolete positions removed from Position Holder Ivew (Corr)</t>
  </si>
  <si>
    <t>Search Help for country values displays two language: EN DE</t>
  </si>
  <si>
    <t>PY-CL: New field for Document Log Number in Garnishments IT</t>
  </si>
  <si>
    <t>PA-PA-CL: Short Dump on Garnishments IT when IBAN is enabled</t>
  </si>
  <si>
    <t>Incorrect Warning Message in IT0016(Contract Elements)</t>
  </si>
  <si>
    <t>Information for employee-related data (enhancements, part 2)</t>
  </si>
  <si>
    <t>PA-PA-FR: No F1-help for T5F1H flds in infty 64 dynpr 2040</t>
  </si>
  <si>
    <t>TNM: Snapshot - Main report (RPCTNM9S_SNAP) in background</t>
  </si>
  <si>
    <t>Quota is not refreshed when regulatory compliance change</t>
  </si>
  <si>
    <t>F4-Help for field COMPANY Enhanced - Search engine activated</t>
  </si>
  <si>
    <t>TN Valuate at Cost leads to runtime error: BCD_ZERODIVIDE</t>
  </si>
  <si>
    <t>Validation Issues with Infotype 0070</t>
  </si>
  <si>
    <t>Delete option not working in Residence Status Infotype(0048)</t>
  </si>
  <si>
    <t>HR-GB: Infotype 0088 Retro field in T588G</t>
  </si>
  <si>
    <t>YELC2010/2011: New UWV Forms</t>
  </si>
  <si>
    <t>Feature NLSVD: Add Default Values to IT Social Insurance NL</t>
  </si>
  <si>
    <t>FlexBenNL: Misleading screen labels in RPUFBRN0</t>
  </si>
  <si>
    <t>SZV-6-x: wrong grouping by insurance certificate number</t>
  </si>
  <si>
    <t>ADV-11: reporting year debts</t>
  </si>
  <si>
    <t>HR-RU: Flexible Rounding of columns 2-4 of part 1 of Form P4</t>
  </si>
  <si>
    <t>HRULPAY2: the form is approved (order N 4n of 17.01.2011)</t>
  </si>
  <si>
    <t>Pension rcpt not: Runtime improved for admin list (RPURBMD0)</t>
  </si>
  <si>
    <t>Pension equalization payment: Corrections/enhancement 2/2011</t>
  </si>
  <si>
    <t>RBM: Corrections/enhancements MZ01 (04/2011)</t>
  </si>
  <si>
    <t>RBM: Changing MZ01 status von 'Transferred' auf 'Completed'</t>
  </si>
  <si>
    <t>Error in the statement function VRBM</t>
  </si>
  <si>
    <t>RBM: Error when contribution data is determined II</t>
  </si>
  <si>
    <t>PV7I: No authorization for rebooking attendance in ESS</t>
  </si>
  <si>
    <t>Incorrect capacities displayed for an event in PSV1</t>
  </si>
  <si>
    <t>Incorrect qualifications displayed after follow-up</t>
  </si>
  <si>
    <t>Personnel Time Management</t>
  </si>
  <si>
    <t>PP61: Duplicate partial-day attendances</t>
  </si>
  <si>
    <t>PP61: Employee selection disappears</t>
  </si>
  <si>
    <t>Lock problem in shift planning</t>
  </si>
  <si>
    <t>[AR] Incorrect value of wagetype /456 during termination</t>
  </si>
  <si>
    <t>PY-AR:HARCDGI0 duplicates amounts of termination adjustments</t>
  </si>
  <si>
    <t>[AR] Ceiling compensation not displayed in report SICOSS</t>
  </si>
  <si>
    <t>PY-AR: Income tax values and limits for termination in 2011</t>
  </si>
  <si>
    <t>PY-AR: Update Min. &amp; Max. Social Insurance for SUSS</t>
  </si>
  <si>
    <t>PY-AR: Wrong amount for tax payback during anual tax report</t>
  </si>
  <si>
    <t>PY-AR: Error on HARCIMPF when employee doesn't have wt /417</t>
  </si>
  <si>
    <t>SV-pflichtige BezÃ¼ge wÃ¤hrend Krankheit 25% unter 50%</t>
  </si>
  <si>
    <t>RPTSWAA0 - MeldungszeitrÃ¤ume bei unbezahlter Abwesenheit</t>
  </si>
  <si>
    <t>JW 2010/11: ELDA Ã„nderung Schwerarbeitsmeldung SM</t>
  </si>
  <si>
    <t>Erh. Pensionistenabsetzbetrag (ab 2011), EStG Â§33,6 Satz 1</t>
  </si>
  <si>
    <t>BV: Kalendertageverteilung bei mehreren AB-Splits</t>
  </si>
  <si>
    <t>PCALZ: Altersteilzeit und Auslandsentsendung</t>
  </si>
  <si>
    <t>Zahlungen zum Austritt: RRVJ mit Vergleichszahlung</t>
  </si>
  <si>
    <t>Abbruch Report RPLGLZA0 mit der Meldung HRPAYATLZ 077</t>
  </si>
  <si>
    <t>ELDA Ã–D: ZugehÃ¶rigkeitsfeld bei Abmeldung nicht befÃ¼llt</t>
  </si>
  <si>
    <t>ELDA BVA:Neue Meldungsarten P6 Krankengeld und P7 Wochengeld</t>
  </si>
  <si>
    <t>Calculation of severance pay based on incorrect start date.</t>
  </si>
  <si>
    <t>Incorrect table name in error message</t>
  </si>
  <si>
    <t>Deduction Listing - Page number incorrect in background run</t>
  </si>
  <si>
    <t>Payment Summary:Incorrect behavior while Regenerate / Amend</t>
  </si>
  <si>
    <t>Australia Payroll Reconciliation Report 'RPLRECQ0' fails</t>
  </si>
  <si>
    <t>Structure TAXP for Infotype 0188 not filled correctly</t>
  </si>
  <si>
    <t>Override Upload file - Override table file format</t>
  </si>
  <si>
    <t>Infotype 0000 is not updated on Termination in few scenarios</t>
  </si>
  <si>
    <t>WT RSAS &amp; RESC in employee Summary and Pay details report</t>
  </si>
  <si>
    <t>BELCOTAX: XML rejected because of zone 2.016 equal to 0000</t>
  </si>
  <si>
    <t>DIMONA: NEW version 2010 - Digital signature for XML file</t>
  </si>
  <si>
    <t>Capelo DmfA (PPL): Update, Update Notif., Consult Answer</t>
  </si>
  <si>
    <t>Description of Foster Care wagetypes /87Y and /88Y</t>
  </si>
  <si>
    <t>New value for 'Limit not taxable Work-home' (T511P-BESA2)</t>
  </si>
  <si>
    <t>RPTGENB0 - No update of IT 0003 incase of errors</t>
  </si>
  <si>
    <t>Dimona 2010 - Preparation Report - Double and Rehiring</t>
  </si>
  <si>
    <t>Advantages all nature - Loans 2009 - 2010</t>
  </si>
  <si>
    <t>Holiday pay - Differences after upgrade from release 5.00</t>
  </si>
  <si>
    <t>Rail tariffs Home Work Expenses as of 01.02.2011</t>
  </si>
  <si>
    <t>Capelo &amp; BEEVL : Enhancements &amp; Corrections</t>
  </si>
  <si>
    <t>DeCavaA: Incomplete months Pro-ration</t>
  </si>
  <si>
    <t>DMFA: Structural reduction; DeCava: Floor Application limits</t>
  </si>
  <si>
    <t>SI: Low wages module returns negative results</t>
  </si>
  <si>
    <t>Dimona 2010 - Preparation Report - Texts error messages</t>
  </si>
  <si>
    <t>Advance Taxes Upon Temporarily Unemployment Bonus</t>
  </si>
  <si>
    <t>SOCIAL BALANCE: Leave not reported even with T5BO1 relevant</t>
  </si>
  <si>
    <t>HBRFICHA: Last salary change duplicated</t>
  </si>
  <si>
    <t>RAIS Enhancements</t>
  </si>
  <si>
    <t>HBRRTER2: Field 50 - Absences  always considered</t>
  </si>
  <si>
    <t>Termination Term: Customizing of fields 67, 95, and 115</t>
  </si>
  <si>
    <t>DIRF: Retroactive amounts not displayed</t>
  </si>
  <si>
    <t>DIRF: Off-cycles evaluated in the report</t>
  </si>
  <si>
    <t>DIRF: Minimum amount to report</t>
  </si>
  <si>
    <t>DIRF: CPF's dependents filled with zeros</t>
  </si>
  <si>
    <t>DIRF: Missing field in record BRPDE</t>
  </si>
  <si>
    <t>HBRRTER2: Wage types not being cumulated in field 55</t>
  </si>
  <si>
    <t>DIRF: Employees with same CPF document but different name</t>
  </si>
  <si>
    <t>CL_HRPAYBR_REPORT - GET_FIRE_DATE method improvement.</t>
  </si>
  <si>
    <t>DIRF: Order of record INF - "InformaÃ§Ãµes Complementares"</t>
  </si>
  <si>
    <t>Etiqueta de fÃ©rias: revision of text for dates</t>
  </si>
  <si>
    <t>V_T7BR596: Field MOLGA not being filled</t>
  </si>
  <si>
    <t>Incorrect posting of WCB wagetypes in case of cross year</t>
  </si>
  <si>
    <t>TAX : Wagetype /307 not frozen in cross year processing</t>
  </si>
  <si>
    <t>TAX : Flat tax deducted in case of negative earnings - QC</t>
  </si>
  <si>
    <t>TAX : Average YTD exemptions not considered in bonus run</t>
  </si>
  <si>
    <t>TAX : YTD average gross calculated incorrectly for CE</t>
  </si>
  <si>
    <t>YE10: T4A Magmedia B24 and B48 field length error</t>
  </si>
  <si>
    <t>Insurance evaluation: Printed records are incomplete</t>
  </si>
  <si>
    <t>FamZReg: Irrelevant personnel number returns error message</t>
  </si>
  <si>
    <t>Wage statement:New BAdI for comment '1 of n Wage Statements'</t>
  </si>
  <si>
    <t>ISEL: Street names not separated in log and XML</t>
  </si>
  <si>
    <t>FamZReg: Ctr rdng for &lt;messageID&gt; changes despite test mode</t>
  </si>
  <si>
    <t>FRBR: Errors due to related persons in infotype 0021</t>
  </si>
  <si>
    <t>Family-related bonus register: Persons w/ several SI numbers</t>
  </si>
  <si>
    <t>Documentation: Wage statement 2005, BAdI</t>
  </si>
  <si>
    <t>Family-rel. bonus reg.: Person-spec. error msg w/o pers. no.</t>
  </si>
  <si>
    <t>Documentatn RPLFAKC7 (Overall Monthly Rpt Fam-Rel Bonus Reg)</t>
  </si>
  <si>
    <t>Documentation: Expense rule in LAW 2005</t>
  </si>
  <si>
    <t>PY-CL: Truncated texts in INP report</t>
  </si>
  <si>
    <t>PY-CL: Legal Gratuity in the Substitution of Notice payment</t>
  </si>
  <si>
    <t>PY-CL: Enhancements and Corrections for Reliquidation</t>
  </si>
  <si>
    <t>PY-CL: Wage Types /CUT and /CUF duplicated in table IT</t>
  </si>
  <si>
    <t>PY-CL: Maximum limit for Income Tax increase</t>
  </si>
  <si>
    <t>PY-CL: Renaming social insurance wage types</t>
  </si>
  <si>
    <t>Adjustment on the Tax Calculation for Corporate Pension</t>
  </si>
  <si>
    <t>Year End Tax Declaration Report (HCNCTXE0) Correction</t>
  </si>
  <si>
    <t>Year End Tax Declaration Report (HCNCTXD0) Correction</t>
  </si>
  <si>
    <t>Early Retirement Subsidy Subject to Income Tax from Jan 2011</t>
  </si>
  <si>
    <t>Correction of Wrong PHF Taxable Amount</t>
  </si>
  <si>
    <t>Implem. Guide "Reimbursement of Training Remuneration"</t>
  </si>
  <si>
    <t>DEUEV immediate notifications: Preparing for conf. procedure</t>
  </si>
  <si>
    <t>DEUEV occupational code TS2010: Corrections III</t>
  </si>
  <si>
    <t>DEUEV immediate notifications: Corrections (9)</t>
  </si>
  <si>
    <t>Company data maintenance: Selection of company numbers</t>
  </si>
  <si>
    <t>DEUEV: Error during assignment of inbound notifications</t>
  </si>
  <si>
    <t>DEUEV(UVMG): Corrections XI</t>
  </si>
  <si>
    <t>DEUEV: Error for annual report in distributed reporting</t>
  </si>
  <si>
    <t>DEUEV: Error message "Initial value DBAN not saved"</t>
  </si>
  <si>
    <t>ELENA: Current changes and corrections III</t>
  </si>
  <si>
    <t>ELENA: Incorrect sender company number after reversal</t>
  </si>
  <si>
    <t>RPUDELPN: Termination OBJREF_NOT_ASSIGNED when deleting</t>
  </si>
  <si>
    <t>ELENA: Updating company number of sender</t>
  </si>
  <si>
    <t>Remuneration statement: Wage type ID &amp; other information</t>
  </si>
  <si>
    <t>Absences with previous day assignment not taken into account</t>
  </si>
  <si>
    <t>Prohibited activities: Runtime error BCD_ZERODIVIDE</t>
  </si>
  <si>
    <t>AAG:Incorrect supplement to mat. pay in case of paid absence</t>
  </si>
  <si>
    <t>AAG: No adjustment amount or termination in repeat run</t>
  </si>
  <si>
    <t>Errors in: Maintenance garn. garnishes from priority area</t>
  </si>
  <si>
    <t>Garnishmt principle of origin:Incorr calc. w/ garnishmt gaps</t>
  </si>
  <si>
    <t>Garnishment EP:Corrections</t>
  </si>
  <si>
    <t>Garnishment PoO: Corrections for payroll area/payment amount</t>
  </si>
  <si>
    <t>Protection of flexible working time regulations: Enhancement</t>
  </si>
  <si>
    <t>ZMV: Marking manually-confirmed notifications with note</t>
  </si>
  <si>
    <t>RPCNETD0 / ESS : Default value for HI percentage</t>
  </si>
  <si>
    <t>ZMV: Check for existing paying office number later</t>
  </si>
  <si>
    <t>SI reporting: Corrections for assignment of inbound notif.</t>
  </si>
  <si>
    <t>Reduced Hours / Bad Weather Pay</t>
  </si>
  <si>
    <t>RHC: Incorrect wage rate for unpaid absences</t>
  </si>
  <si>
    <t>ETStmt: Changes in April 2011</t>
  </si>
  <si>
    <t>Calculating annual earned income if tax obligation changes</t>
  </si>
  <si>
    <t>Corrections to auxiliary report RPUTXGD0</t>
  </si>
  <si>
    <t>Error during the batch input session of RPIPSR00</t>
  </si>
  <si>
    <t>DOZMG: Payroll error in the function DOZMG BEW</t>
  </si>
  <si>
    <t>RPSZNSD0: Incorrect signature in EF23</t>
  </si>
  <si>
    <t>TV-L: Pay scale increase 2011</t>
  </si>
  <si>
    <t>Stmnt appndx G pension reg. par.54 in pension/pension const.</t>
  </si>
  <si>
    <t>Usage of adj. factor sec. 69e despite industrial accident</t>
  </si>
  <si>
    <t>Treaty on the sharing of pension costs (5)</t>
  </si>
  <si>
    <t>PS reg. Bavaria: Enhancement of assgmt of PS reg. indicator</t>
  </si>
  <si>
    <t>Pension equalization payment: Statement creation terminates</t>
  </si>
  <si>
    <t>Pub Serv reg: Employment period check f. pension pay reductn</t>
  </si>
  <si>
    <t>Eligibility of legal basis for death of widow (death beneft)</t>
  </si>
  <si>
    <t>Attachment for check of empl. periods w/ pension pay red.</t>
  </si>
  <si>
    <t>Public Services reg. Hessen: Enhancements II</t>
  </si>
  <si>
    <t>Publ Services reg Bavaria:Manual child bonus widow's pension</t>
  </si>
  <si>
    <t>Temporary increase due to compulsory insurance periods</t>
  </si>
  <si>
    <t>Various errors in SP payroll (April 2011)</t>
  </si>
  <si>
    <t>RPLEHAD3 part-month absences (Sec.74 Cl.2 No.7 SGB IX)</t>
  </si>
  <si>
    <t>VV_596M_ESBA View variant; Entries cannot be transported</t>
  </si>
  <si>
    <t>Garnishments: Error proposing priority for existing subtype</t>
  </si>
  <si>
    <t>Error for VND with negative base in Certific@2</t>
  </si>
  <si>
    <t>Error in Output Language in RPCEDTE0</t>
  </si>
  <si>
    <t>CALC: Error in prorate for next month absence treatment</t>
  </si>
  <si>
    <t>IRPF2011 Wrong calculate of IRPF for employees with children</t>
  </si>
  <si>
    <t>TC: Error in TC1 form section indicators 301, 311, 312 &amp; 340</t>
  </si>
  <si>
    <t>IRPF: Problems on tax calculation for Ceuta and Melilla</t>
  </si>
  <si>
    <t>TC: EDTCA60 and EDTCA80 duplicated in temses</t>
  </si>
  <si>
    <t>Dump calculating garnishment with absences overlapping</t>
  </si>
  <si>
    <t>Certific@2: Error generating activity periods</t>
  </si>
  <si>
    <t>Off-Cycle: Retroactive leave to extra pay month</t>
  </si>
  <si>
    <t>TC: EMP segments with class L03 divided per month</t>
  </si>
  <si>
    <t>TC: Missing BA01 for employee with training contract</t>
  </si>
  <si>
    <t>IRPF:Correction on extension of work activity calculation II</t>
  </si>
  <si>
    <t>Artists Contributions Amounts for 2011</t>
  </si>
  <si>
    <t>Unemployment contributions 2011 for training contracts</t>
  </si>
  <si>
    <t>AFI: Error in FCT segment when employee in 'MB' situation</t>
  </si>
  <si>
    <t>RPCALCE0 is not considering some handicap indicators</t>
  </si>
  <si>
    <t>TC: Inconsistent FAN when VND with bonification</t>
  </si>
  <si>
    <t>Wrong IRPF percentage applied for split periods</t>
  </si>
  <si>
    <t>Dump calculating garnishment after note 1526160</t>
  </si>
  <si>
    <t>AFI: Error in percentage field for ADT and EDT movements</t>
  </si>
  <si>
    <t>TC: Correction in A76 functionality</t>
  </si>
  <si>
    <t>Problems in Deduction Certificate for different Legal Person</t>
  </si>
  <si>
    <t>CALC: Error with researchers after applying note 1522817</t>
  </si>
  <si>
    <t>190: Deductions Certificate through PDF form generating dump</t>
  </si>
  <si>
    <t>190: Accounting data with sub-key 5 is not being considered</t>
  </si>
  <si>
    <t>HFILAAI0:Employee not reported in previous company</t>
  </si>
  <si>
    <t>HFILTAX0: Company as an employee reporting issue in ATS</t>
  </si>
  <si>
    <t>HFILCST0 - Payment after termination not reported correctly</t>
  </si>
  <si>
    <t>FRATE: Wrong determination of wage type modifier for AT</t>
  </si>
  <si>
    <t>RPLDH3F0: Wrong headcount</t>
  </si>
  <si>
    <t>Absences spanning multiple payroll periods not merged</t>
  </si>
  <si>
    <t>N4DS: Relevant Master Data in cluster</t>
  </si>
  <si>
    <t>RPLBIJF0: End date truncated in the output</t>
  </si>
  <si>
    <t>RPCJDPF0: all values summed in last employee org. assignment</t>
  </si>
  <si>
    <t>RPCEDTF0: wrong RECOT rate in pay slip when retrocalculation</t>
  </si>
  <si>
    <t>DUCS: incorrect rate in transport records</t>
  </si>
  <si>
    <t>PY-FR: payroll offset and IJSS calculation</t>
  </si>
  <si>
    <t>FCCO: Implementation of RECOT recommended until 31.12.2011</t>
  </si>
  <si>
    <t>DUCS: new contribution type "RÃ©duction Fillon" - Paper Decl.</t>
  </si>
  <si>
    <t>Wrong dates in case of linked sickness and maternity leave</t>
  </si>
  <si>
    <t>PY-FR: RPLASMF3 - hiring/leaving in reference period</t>
  </si>
  <si>
    <t>RPLBIJF0 dumps if no employee is selected</t>
  </si>
  <si>
    <t>N4DS: Relevant Master Data in cluster: Dates from IT0000</t>
  </si>
  <si>
    <t>RPLAVGF0PBS: Seniority remnant in promotion</t>
  </si>
  <si>
    <t>Missing Parameters for payroll function GBLGP in release 604</t>
  </si>
  <si>
    <t>Late payment to a leaver and leaver report selection screen</t>
  </si>
  <si>
    <t>Follow up note for ASPP changes</t>
  </si>
  <si>
    <t>Incorrect description for Attendance/absence type</t>
  </si>
  <si>
    <t>Absences spell report produces runtime error</t>
  </si>
  <si>
    <t>RPLABSG0_ABSENCE_OVERVIEW report is excluding few fields.</t>
  </si>
  <si>
    <t>GBSXP: ASPP Changes Across EOY</t>
  </si>
  <si>
    <t>Absence Calendar for SxP is incorrectly reporting payments.</t>
  </si>
  <si>
    <t>RPLABSG0_SXP_OXP_COSTS is reporting incorrectly in ECC6.</t>
  </si>
  <si>
    <t>PY-GB-NT-TX</t>
  </si>
  <si>
    <t>Incorrect Payroll error for Inactive employees</t>
  </si>
  <si>
    <t>RPLPENG0_LGPS_DET Showing Incorrect Format EES/ERS Rates</t>
  </si>
  <si>
    <t>Issue with NI Category Section in P14 &amp; P60 SAP Script form</t>
  </si>
  <si>
    <t>P46 CAR SAP Script for use from April 2011</t>
  </si>
  <si>
    <t>P45 Report for Rehires with P46 form.</t>
  </si>
  <si>
    <t>Issue with Custom Wagetypes for Child Care vouchers</t>
  </si>
  <si>
    <t>EOY report: problems with NT tax code and electronic P60</t>
  </si>
  <si>
    <t>Intra Company Transfer - MPF Contribution Deferral</t>
  </si>
  <si>
    <t>Print Christian Names on IR56E Form</t>
  </si>
  <si>
    <t>Correcting Postal Address Error in IR56B Form</t>
  </si>
  <si>
    <t>HK Statutory Minimum Wage Ordinance 2011 - Phase 1</t>
  </si>
  <si>
    <t>Only First Letter of Employee Title Should be in Upper Case</t>
  </si>
  <si>
    <t>Duplicate 'Status PTKP', being downloaded in eSPT-ALV output</t>
  </si>
  <si>
    <t>Electronic form for P60.</t>
  </si>
  <si>
    <t>Incorrect PRSI b/f values during retro on PRSI paid corr.</t>
  </si>
  <si>
    <t>USC Capped at 4% for ee's with full medical card</t>
  </si>
  <si>
    <t>P35 for Ireland not excluding non relevant payroll areas</t>
  </si>
  <si>
    <t>Non Existent Processing class specifications for certain WTs</t>
  </si>
  <si>
    <t>Form 16: Corrections for report after impln 1528165</t>
  </si>
  <si>
    <t>Payroll driver displays runtime error,tax more than 9 digits</t>
  </si>
  <si>
    <t>PF Contribution types for splits displayed inconsistently</t>
  </si>
  <si>
    <t>Amendments to IT calculation notified under circular:08/2010</t>
  </si>
  <si>
    <t>Form 16: Issues related to new form 16 layout</t>
  </si>
  <si>
    <t>Ptax basis not getting formed consistently for retro runs</t>
  </si>
  <si>
    <t>Round of ESI contributions and carryforward amounts</t>
  </si>
  <si>
    <t>Form 16: Issues related form 16 format for 2010-11</t>
  </si>
  <si>
    <t>Form 16 :Issues in format for year 2010-11</t>
  </si>
  <si>
    <t>Enhancement spot 'HR_IN_F16_ENH' provided for Form 16</t>
  </si>
  <si>
    <t>HR-IT: IT0156 Multiple Regional Tax code autofill</t>
  </si>
  <si>
    <t>HR-IT: CUD 2011 - Correction Package II</t>
  </si>
  <si>
    <t>HR-IT: Old TFR: error in split P0001 and company &lt; 50 EEs</t>
  </si>
  <si>
    <t>HR-IT: CUD 2011 - Correction Package III</t>
  </si>
  <si>
    <t>RPCEADJ0: Missing Check for Local File Path</t>
  </si>
  <si>
    <t>Posting error for payroll retro results with YEA</t>
  </si>
  <si>
    <t>Revision of Report RPCEADJ0 for Emp. Rehired f/ Retirement</t>
  </si>
  <si>
    <t>RPCEWGJ1: PDF form selection logic incorrect</t>
  </si>
  <si>
    <t>RPCEWGJ1: Incorrect YEA results in case of YEA correction</t>
  </si>
  <si>
    <t>RPCEADJ0:SI deduction amount incorrect if YEA non-applicable</t>
  </si>
  <si>
    <t>LC2011: Additional Changes on Employment Insurance</t>
  </si>
  <si>
    <t>Union Fee Missing in C Record of Donation DME/Business Place</t>
  </si>
  <si>
    <t>Korea 2010 Separation Tax Deferring DME</t>
  </si>
  <si>
    <t>HKRCYEA0:Determined Tax, Pension/Saving &amp; Period Attibutable</t>
  </si>
  <si>
    <t>The Key Date Determines the Separation DME Output</t>
  </si>
  <si>
    <t>Missing C Record/Wrong No.of D Record in Don.DME/Health Ins.</t>
  </si>
  <si>
    <t>Warning Message on Deposited Separation Payment Amount</t>
  </si>
  <si>
    <t>Incorrect Separation Pay in D Record of Separation DME</t>
  </si>
  <si>
    <t>Bonus Payment Not Included in Normal Payment</t>
  </si>
  <si>
    <t>Checkman MX</t>
  </si>
  <si>
    <t>HR-MX:Incorrect entries generated on SDI</t>
  </si>
  <si>
    <t>[MX] Negative sign from T7MX18 being ignored in HMXCIES0</t>
  </si>
  <si>
    <t>PY-MX: HMXCIPDPBS only consider last payroll area</t>
  </si>
  <si>
    <t>PY-MX: HMXCSARPBS does not generate modification files</t>
  </si>
  <si>
    <t>[MX] Exemption wage types created with wrong amount.</t>
  </si>
  <si>
    <t>PY-MX: Incorrect Work days calculation on Christmas Bonus</t>
  </si>
  <si>
    <t>Correction to Note 1498058 - IT0547 for EA section G</t>
  </si>
  <si>
    <t>Malaysia Public Sector:EPF for self contributors</t>
  </si>
  <si>
    <t>Legal change: EA and EC form layout changes for 2011</t>
  </si>
  <si>
    <t>CP39: Application server download file and 2011 form issues</t>
  </si>
  <si>
    <t>PY-MY : Employee Passport number not displayed in Borang E</t>
  </si>
  <si>
    <t>PY-MY : Arrear Tax not considering Dependent/Spouse Details</t>
  </si>
  <si>
    <t>PY-MY: correction to note-1525215 tax category</t>
  </si>
  <si>
    <t>PY-MY: Total amount displayed incorrectly in SOCSO 8A report</t>
  </si>
  <si>
    <t>PY-MY : Tax is not computed for negative net other earnings</t>
  </si>
  <si>
    <t>PY-MY: Decimal amount display n EA summary and CP8D download</t>
  </si>
  <si>
    <t>RPIBBLN0: Revision of the Report Documentation</t>
  </si>
  <si>
    <t>RPCJWNN1: Correction of note 1552727</t>
  </si>
  <si>
    <t>RPCJWNN1: Revision of Employee's Annual Tax Statement</t>
  </si>
  <si>
    <t>Incorrect start date in annual employment tax (RPCJWNN1)</t>
  </si>
  <si>
    <t>RPCNETN0: Incorrect Page-Break in Payslip</t>
  </si>
  <si>
    <t>Revision of Documentation: Pension Calculation Methods</t>
  </si>
  <si>
    <t>HCM NL: Correction of Translation Part 2</t>
  </si>
  <si>
    <t>ATS Report and IT0419 updated for Correction Run</t>
  </si>
  <si>
    <t>Incorrect tax calculation when the amount is extending limit</t>
  </si>
  <si>
    <t>New selection feild for TemSe file selection while F4</t>
  </si>
  <si>
    <t>Incorrect result by Report RPCATPV0 for Tax Code 130A &amp; 135A</t>
  </si>
  <si>
    <t>ERC calculation corrections in connection to Feature 20SOL</t>
  </si>
  <si>
    <t>ERC calculations with connection to Remaining Bunnfradraget</t>
  </si>
  <si>
    <t>Changes to Norway ATS PDF form RF-1015B</t>
  </si>
  <si>
    <t>Reimbursement Report Missing Dates in print form</t>
  </si>
  <si>
    <t>Payroll Norway - Public Sector</t>
  </si>
  <si>
    <t>SPK Reporting Issues - Multiple scenarios</t>
  </si>
  <si>
    <t>Field missing in maintenance view V_T7UNPAD_EGST</t>
  </si>
  <si>
    <t>PY-NZ : Incorrect Long Service Leave Liability</t>
  </si>
  <si>
    <t>PY-NZ : HNZLDET0 shows incorrect results for offcycle pay</t>
  </si>
  <si>
    <t>PY-NZ : HNZLREM0 report displaying incorrect value of ESCT.</t>
  </si>
  <si>
    <t>Incorrect payment method displayed on termination workbench</t>
  </si>
  <si>
    <t>PY-NZ : Missing schema, customizing changes for LC 2011-12</t>
  </si>
  <si>
    <t>Incorrect tax calculation on termination leave payments</t>
  </si>
  <si>
    <t>PY-NZ - Incorrect tax when payroll run for a payroll area</t>
  </si>
  <si>
    <t>Incorrect leave liability &amp; labels incorrect in rem report</t>
  </si>
  <si>
    <t>PY-NZ : No tax being calculated for STC, WT Tax code</t>
  </si>
  <si>
    <t>PY-NZ : Missing customizing changes for LC 2011-2012</t>
  </si>
  <si>
    <t>BIR 2316 logo not clear in BIR2316 form.</t>
  </si>
  <si>
    <t>Documentation: new contributive code for Social Security</t>
  </si>
  <si>
    <t>Wrong wage type for basis composition in contributive code</t>
  </si>
  <si>
    <t>Payroll function PAPLC: incorrect behavior with paramater 4</t>
  </si>
  <si>
    <t>New remuneration codes for remuneration sheet - 2nd version</t>
  </si>
  <si>
    <t>RPCOVCP0: duplicated lines for employees who changed name</t>
  </si>
  <si>
    <t>CGA report: corrections and performance improvement</t>
  </si>
  <si>
    <t>ADSE: infotype maintenance corrections</t>
  </si>
  <si>
    <t>Social Balance PS: General corrections 2</t>
  </si>
  <si>
    <t>HRULNDFL: tag &lt;NaselPunkt&gt; of new XML format</t>
  </si>
  <si>
    <t>HR-RU: Doubled rate for illness when status changed</t>
  </si>
  <si>
    <t>HR-RU: Object of CL_HRPAYRU_PLTAXRUN can not be created T-60</t>
  </si>
  <si>
    <t>HRULNDFL: some problems of donwnloaded XML file</t>
  </si>
  <si>
    <t>HR-RU: Wrong employee status in reports if TAX is empty</t>
  </si>
  <si>
    <t>HR-RU:realization of the Federal Law N 21-FZ from 25.02.2011</t>
  </si>
  <si>
    <t>Feature 33TPS: Taxpayer Status</t>
  </si>
  <si>
    <t>Swedish payslip - Absence dates displayed incorrectly</t>
  </si>
  <si>
    <t>HFICEDT0_Eletter:Sweden new header parameter for Time data</t>
  </si>
  <si>
    <t>Infotype 0273 check for mid of the month creation</t>
  </si>
  <si>
    <t>RPLSPPS2 -Dept2 : Incorrect Amounts to T5SPP</t>
  </si>
  <si>
    <t>RPLSPPS2 - Additional LO record start date</t>
  </si>
  <si>
    <t>Summary Presented for XML file in RPITAXS0 is Empty</t>
  </si>
  <si>
    <t>RPLRQTS0:Grouping as ORGNO - PERNR on the outfile ( XML )</t>
  </si>
  <si>
    <t>RPSSBSS0: Short period statistics Run Date on TEMSE file</t>
  </si>
  <si>
    <t>IR8A and IRAS reporting issues.</t>
  </si>
  <si>
    <t>PY-SG: IR8A Appendix-8A hotel accomodation issue.</t>
  </si>
  <si>
    <t>PY-SG: IT0495 Pensions check box conversion.</t>
  </si>
  <si>
    <t>IR8A: income counted twice for an offcycle payroll run</t>
  </si>
  <si>
    <t>LC: Life insurance pension exemption of an Employee</t>
  </si>
  <si>
    <t>PY-TH: Alignment error in ITF1A form</t>
  </si>
  <si>
    <t>PY-TH: Incorrect year displayed in S/S detail form for retro</t>
  </si>
  <si>
    <t>PY-TH : Issue in SS report cover sheet for retro periods</t>
  </si>
  <si>
    <t>PY-TH: Incorrect address and employee title in PND91 form</t>
  </si>
  <si>
    <t>PY-TH : Changes in Social Security upload file</t>
  </si>
  <si>
    <t>PY-TH : Text overflow in Thai Social Security Summary form</t>
  </si>
  <si>
    <t>Incorrect tax calculation for terminated/retired EE</t>
  </si>
  <si>
    <t>Social Security &amp; PF Contribution displayed is very small</t>
  </si>
  <si>
    <t>PY-TH:Data fetching based on payroll period for ITF1A report</t>
  </si>
  <si>
    <t>Alignment correction to Form PIT91</t>
  </si>
  <si>
    <t>Enhance Report HTWLNC00 to Update NP Class</t>
  </si>
  <si>
    <t>Input Help Does Not Filter Option Inapplicable to Begin Date</t>
  </si>
  <si>
    <t>Help Documents Added for Update LI, NHI, and NP Report</t>
  </si>
  <si>
    <t>Payroll Savings Bonds: Documentation updates</t>
  </si>
  <si>
    <t>PBS: New layout of Form 1042-S for income earned in 2010.</t>
  </si>
  <si>
    <t>PY-US-TR: Out of State Wages in Arkansas SUI Form</t>
  </si>
  <si>
    <t>PY-US-TR: Totals of locality wages in RT and RF records</t>
  </si>
  <si>
    <t>TR: Issues when generating SUI for Iowa.</t>
  </si>
  <si>
    <t>Q1/2011: Functional changes for U.S. Tax Reporter.</t>
  </si>
  <si>
    <t>PY-US-TR: Release of the new form 945-X</t>
  </si>
  <si>
    <t>PY-US-TR: W-2 KS Magnetic Media file is incorrect</t>
  </si>
  <si>
    <t>TR: W-2 Magnetic Media for Georgia contains only one line.</t>
  </si>
  <si>
    <t>TR: Out of State AR magmedia</t>
  </si>
  <si>
    <t>Adjustment of Official Rate of Interest</t>
  </si>
  <si>
    <t>Checkman Errors for ZA</t>
  </si>
  <si>
    <t>4030 Donations - IRP5 display and /450 issue</t>
  </si>
  <si>
    <t>Tax Year 2012 - Budget 2011 changes</t>
  </si>
  <si>
    <t>ITA88 Additional Selection criteria &amp; Repeating pernr issue</t>
  </si>
  <si>
    <t>IRP5 report: Last payroll run for Year is a BONUS Run</t>
  </si>
  <si>
    <t>South Africa - COID Threshold changed</t>
  </si>
  <si>
    <t>Company Car Legal Change Enhancement</t>
  </si>
  <si>
    <t>Travel allowance Legal Change 2011-2012</t>
  </si>
  <si>
    <t>4030 Donations Budget Change Financial year 2011-2012</t>
  </si>
  <si>
    <t>SAPKE60434</t>
  </si>
  <si>
    <t>HR LDAP data extraction: Personnel number selection w delta</t>
  </si>
  <si>
    <t>0HRPOSITION_ATTR: Extracts data from incorrect status</t>
  </si>
  <si>
    <t>0HR_PA_OS_1: dump STACK_NO_ROLL_MEMORY</t>
  </si>
  <si>
    <t>0EMPLOYEE_ATTR_CE: Invalid Time Intervals</t>
  </si>
  <si>
    <t>0EMPLOYEE_ID_ATTR: wrong extraction method</t>
  </si>
  <si>
    <t>CATS extractor: Too much data for deltas to several BW syst.</t>
  </si>
  <si>
    <t>Extractor 0HR_PY_PP_1: Short dump with memory problems</t>
  </si>
  <si>
    <t>Reading data in the Human Resource Management System</t>
  </si>
  <si>
    <t>Employee Profile: Organizational Unit text is wrong</t>
  </si>
  <si>
    <t>Missing Doc for 3 Month Rule: Data Element PTRV_TRVCT_R_18</t>
  </si>
  <si>
    <t>Concurrent Employment - Personnel Management</t>
  </si>
  <si>
    <t>Corrections to the documentation for concurrent employment</t>
  </si>
  <si>
    <t>IDM Report Error</t>
  </si>
  <si>
    <t>RPTGENA0: HÃ¶chstentgeltdauer bei verknÃ¼pften Abwesenheiten</t>
  </si>
  <si>
    <t>Vorbelegung MVK-Ende und Abmeldedatum in IT367</t>
  </si>
  <si>
    <t>IT0002 - Feld Aufbereitung ausblendbar</t>
  </si>
  <si>
    <t>PA-PA-CL: Enhancements for Progressive Annual Leaves</t>
  </si>
  <si>
    <t>New Field in the Family Member/Dependents (0021) Infotype</t>
  </si>
  <si>
    <t>Error When Displaying the 0016 Infotype</t>
  </si>
  <si>
    <t>Information of Employee-Related Data (enhancements, part 3)</t>
  </si>
  <si>
    <t>Tax interruption in cases of parental leave w/part-time work</t>
  </si>
  <si>
    <t>TNM: IMG for 2483</t>
  </si>
  <si>
    <t>RELATionship 941 deleted if EVENT status is firmly book</t>
  </si>
  <si>
    <t>TNM: RPCTNM9S_SNAP_GUI for test background snapshots</t>
  </si>
  <si>
    <t>Correction of Note 1550809</t>
  </si>
  <si>
    <t>New data element for 'Gender' column</t>
  </si>
  <si>
    <t>Users with different authorizations cannot change same 1684</t>
  </si>
  <si>
    <t>TNM-FR: Missing entries in SAP Menu Easy Access</t>
  </si>
  <si>
    <t>IT0088 Not Copying Data for Multiple Employment</t>
  </si>
  <si>
    <t>PA-PA-HK</t>
  </si>
  <si>
    <t>Unique Check for Personal ID in IT0185/01 for HK</t>
  </si>
  <si>
    <t>Incorrect Text Element length &amp; Wage Type text for Reports</t>
  </si>
  <si>
    <t>IT0145: Unexpected error message when delimiting record</t>
  </si>
  <si>
    <t>PA-PA-MY : ER Tax reference no. trucated in IT0198 Screen</t>
  </si>
  <si>
    <t>Address infotype having unwanted space in screen 2014</t>
  </si>
  <si>
    <t>Validation of Dutch tax tables</t>
  </si>
  <si>
    <t>RPIBBLN0: Ann.Salary of EEs with only Special Pay incorrect</t>
  </si>
  <si>
    <t>New CPP codes - CÃ³digo PortuguÃªs de ProfissÃµes</t>
  </si>
  <si>
    <t>SPV-1: some data are missing in the print-form</t>
  </si>
  <si>
    <t>PAY2: subtypes priorities for employee address reading</t>
  </si>
  <si>
    <t>Employee status basing on TAX table is wrong</t>
  </si>
  <si>
    <t>PAY2: issues of working period and payments for years &lt; 2010</t>
  </si>
  <si>
    <t>HR-RU Legal Change: Form 4-FSS(Order N156n, 28.02.2011)</t>
  </si>
  <si>
    <t>DSV-3: The report runs for employer and employees separately</t>
  </si>
  <si>
    <t>IT0077: Validation issue in Add.Personal Data infotype</t>
  </si>
  <si>
    <t>PA-PF-CH: Electronic EHO message</t>
  </si>
  <si>
    <t>RBM: MZ01 corrections/enhancements (05/2011)</t>
  </si>
  <si>
    <t>Pension equalization payment: Corrections/enhancement 3/2011</t>
  </si>
  <si>
    <t>RBM: ZE99 rejected due to Betrag (amount) = Zero</t>
  </si>
  <si>
    <t>RBM: Error when contribution data is determined III</t>
  </si>
  <si>
    <t>RBM: Status change from "Transfer Again" to "With Errors"</t>
  </si>
  <si>
    <t>Course Information Report: Instructor name not dispalyed</t>
  </si>
  <si>
    <t>Problem with Time Scheduling in Business Event Type</t>
  </si>
  <si>
    <t>User exit "on_data_changed" is integrated incorrectly</t>
  </si>
  <si>
    <t>PP61: Employee data: Empty lines in display</t>
  </si>
  <si>
    <t>Requirement assignments are deleted</t>
  </si>
  <si>
    <t>PP61: Runtime optimization for authorization check</t>
  </si>
  <si>
    <t>PP61: Employee selection is lost</t>
  </si>
  <si>
    <t>PP61: Temporary assignments with shift group switch</t>
  </si>
  <si>
    <t>PP61: Incorr personnel no. when time statement list called</t>
  </si>
  <si>
    <t>Requirement assignment for night shifts</t>
  </si>
  <si>
    <t>PP61: Exit ON_DATA_CHANGED missing for drag and drop</t>
  </si>
  <si>
    <t>PT-SP-PS</t>
  </si>
  <si>
    <t>Shift Planning Public Sector</t>
  </si>
  <si>
    <t>Absence planner: Column width</t>
  </si>
  <si>
    <t>[AR] Wrong Month summarization bonus calculation in February</t>
  </si>
  <si>
    <t>[AR]: Advance vac. payment w/ wrong amount of "tope de vac."</t>
  </si>
  <si>
    <t>[AR] Missing correction from note 1384070 in Release 6.04</t>
  </si>
  <si>
    <t>[AR] ARSES is being wrongly filled at correction off-cycle.</t>
  </si>
  <si>
    <t>[AR] Tax tables - updated values for 2011</t>
  </si>
  <si>
    <t>[AR] Tax tables - adjustment for new values 2011</t>
  </si>
  <si>
    <t>U-Bahnsteuer - Anzahl 'DN befreit' fehlt</t>
  </si>
  <si>
    <t>RPCLSTAE: Falsche Anzeige bei Zeilen Selektion</t>
  </si>
  <si>
    <t>RPCBETA1: Wechsel des Finanzamts</t>
  </si>
  <si>
    <t>BV: HW 1528424 verursacht die falschen BV im Feld RTE</t>
  </si>
  <si>
    <t>SV: falsche SV-Tage bei inaktivem Zeitraum und Abwesenheit</t>
  </si>
  <si>
    <t>IT0527 Freiwillige Abfertigung</t>
  </si>
  <si>
    <t>UEKV: RÃ¼ckrechnungsdatum der Abrechnung nach Hinweis 1554967</t>
  </si>
  <si>
    <t>Korrekturen zur gesetzlichen Ã„nderung des Montageprivilegs</t>
  </si>
  <si>
    <t>PCALZ: Falsche Gemeindenummer fÃ¼r L16</t>
  </si>
  <si>
    <t>RPCKSJA1 - Report bricht im Batch ab</t>
  </si>
  <si>
    <t>PfÃ¤ndung: Keine PfÃ¤ndungsergebnisse im Ãœberweisungsmonat</t>
  </si>
  <si>
    <t>RPUELDA0: Vorschlagswert fÃ¼r die DatentrÃ¤gernummer</t>
  </si>
  <si>
    <t>Altersteilzeit /TE*-Lohnarten</t>
  </si>
  <si>
    <t>ELDA-Meldung VM: * im Feld Titel bei einer Anmeldung</t>
  </si>
  <si>
    <t>RPCKSJA1: Gemeindenummer nicht richtig gelesen</t>
  </si>
  <si>
    <t>PCALZ: LZ-Art 18 - fehlende EintrÃ¤ge b.FehlerprÃ¼fung</t>
  </si>
  <si>
    <t>RPCUBSA0RA: BefreiungsgrÃ¼nde pro Person</t>
  </si>
  <si>
    <t>PCALZ: Beendigung und Neubeginn DV im selben Monat</t>
  </si>
  <si>
    <t>IT0527: Vorschlag Urlaubskontingent fehlerhaft</t>
  </si>
  <si>
    <t>PCALZ: Feld UVBG bei einigen FÃ¤llen falsch</t>
  </si>
  <si>
    <t>Nachtrag zu den neuen ELDA-Meldungen P6(AK) und P7(AW)</t>
  </si>
  <si>
    <t>PCALZ: Neue ELDA Meldungsart P8 fÃ¼r Schwerarbeitsmeldung BVA</t>
  </si>
  <si>
    <t>RPCSVBA2PBS: dumpt mit COLLECT OVERFLOW TYPE P</t>
  </si>
  <si>
    <t>Payment Summary: NAT no. in ETP smartform, /LSA WT &amp; others</t>
  </si>
  <si>
    <t>SFSS flag displayed 'Y' for tax scale 'IS' in TFN report</t>
  </si>
  <si>
    <t>Foreign employment Payment summary corrections</t>
  </si>
  <si>
    <t>Bonus does not cumulate in Total Gross(/101) Wage Type</t>
  </si>
  <si>
    <t>Fair work act effective 01.01.2010 - Carer leave limit</t>
  </si>
  <si>
    <t>Incorrect tax when company code changes in mid period</t>
  </si>
  <si>
    <t>Payment Summary:Unix file &amp; field update in IT0849,0850,3348</t>
  </si>
  <si>
    <t>Default tax scale in IT0188 in case of future Org assignment</t>
  </si>
  <si>
    <t>Super report(RPLSPRQ0) does not display SGC contributions</t>
  </si>
  <si>
    <t>Payment Summary Reprint- batch session error due to LSA Type</t>
  </si>
  <si>
    <t>RPLSUMQ0 - Offcycle payroll- results displayed are incorrect</t>
  </si>
  <si>
    <t>Leave Provision:  EOM check in function QLVPR</t>
  </si>
  <si>
    <t>Deduction Listing Report 'RPLDEDQ0' - ALV (PAL Log) display</t>
  </si>
  <si>
    <t>Incorrect Base entitlement for Seniority years</t>
  </si>
  <si>
    <t>RPCALCQ0: Dump while calculating post-93 extended leave.</t>
  </si>
  <si>
    <t>Invalidity retirement - Incorrect Calculation (RPCTRMQ0_PBS)</t>
  </si>
  <si>
    <t>Lump Sum D amount &amp; LSL amount while termination</t>
  </si>
  <si>
    <t>Number of day of abscence read from field SEQNO in 4.7 (PC)</t>
  </si>
  <si>
    <t>Dimona 2010 - Preparation Report - Dimi date and IN overlapp</t>
  </si>
  <si>
    <t>Activa allowance - calculations for each period (SI)</t>
  </si>
  <si>
    <t>Employee Tax Reduction - Work Bonus</t>
  </si>
  <si>
    <t>DmfA (PPL): Notification and Update Notification (Q1 2011)</t>
  </si>
  <si>
    <t>Legal Changes for DmfA Original Decl, Quarter 1 2011</t>
  </si>
  <si>
    <t>BELCOTAX: Retrieval of data from infotype 0100</t>
  </si>
  <si>
    <t>Dimona 2010 - Preparation Report - Double and Rehiring - 2</t>
  </si>
  <si>
    <t>IT3271 - Field Paym. ID (OBJPS) can't be hidden via T588M</t>
  </si>
  <si>
    <t>Dimona 2010 - Preparation Report - Various Corrections</t>
  </si>
  <si>
    <t>Defaulting employee's official language</t>
  </si>
  <si>
    <t>Capelo changes &amp; BAdI fix: Involving BEEVL</t>
  </si>
  <si>
    <t>Dimona: Wrong XML version during Generation of Declaration</t>
  </si>
  <si>
    <t>Flemish tax reduction obsolete as of January 1st 2011</t>
  </si>
  <si>
    <t>Payroll &amp; SVEVL: entries in SVEVL are double after BAL0</t>
  </si>
  <si>
    <t>Dimona 2010 - Preparation Report - DIMI date equal to Entry</t>
  </si>
  <si>
    <t>Adjust CAPELO periods from DMFA</t>
  </si>
  <si>
    <t>Capelo changes &amp; DmfA fix: Reporting of END dates</t>
  </si>
  <si>
    <t>DmfA (PPL): Consult Answer and Update Original (Q1 2011)</t>
  </si>
  <si>
    <t>Legal Changes for DmfA Original Decl, Quarter 1 2011 (prt 2)</t>
  </si>
  <si>
    <t>SEFIP: Field "Ocorrencia" is incorrect when category 05/06</t>
  </si>
  <si>
    <t>HBRSEF00: Field BASDT in register type 30 w/ negative value</t>
  </si>
  <si>
    <t>CL_HR_BR_READ_PAYROLL: Wage type split</t>
  </si>
  <si>
    <t>HBRRTER2: Retrocalculated amounts for field 23</t>
  </si>
  <si>
    <t>Termination Term: Selection screen period</t>
  </si>
  <si>
    <t>DIRF/Income Declaration: Payments in 1313 not reported</t>
  </si>
  <si>
    <t>New TRCT - CEF instruction NÂº 537 - Field 27</t>
  </si>
  <si>
    <t>DIRF: Event Date grouped with its pre-requisite</t>
  </si>
  <si>
    <t>CL_HR_BR_READ_PAYROLL: Code improvements</t>
  </si>
  <si>
    <t>Salary increase only allowed in 1st day of the month(IT0008)</t>
  </si>
  <si>
    <t>IT0006: Field HSNMR (House Number) too short</t>
  </si>
  <si>
    <t>'Modifie' not shown for T4 and Rl-1 Amendments (French)</t>
  </si>
  <si>
    <t>YE10: Cancelled Run created unneccessarily during Amendment</t>
  </si>
  <si>
    <t>Error in the ISEL XML file (empty XML tag "numeroVoie")</t>
  </si>
  <si>
    <t>FamZReg: Reqd entry field check missing for entitlement per.</t>
  </si>
  <si>
    <t>WHT VD: MP ACI: "NoSequenceDecompte" XML field is incorrect</t>
  </si>
  <si>
    <t>Withholding tax accounting: Printing work center canton</t>
  </si>
  <si>
    <t>ISEL: Street type/street binder type in XML not in lowercase</t>
  </si>
  <si>
    <t>PY-CL: Wrong number of days/hours in Payroll rule CLPS</t>
  </si>
  <si>
    <t>PY-CL: Country grouping description error in features</t>
  </si>
  <si>
    <t>PY-CL: General corrections for Garnishments</t>
  </si>
  <si>
    <t>PY-CL: Wrong amounts in PREVIRED report</t>
  </si>
  <si>
    <t>PY-CL: RUT Id for Infotype payments</t>
  </si>
  <si>
    <t>PY-CL: Heavy Work table maintenance type change</t>
  </si>
  <si>
    <t>PY-CL: Income Certificate issue for Company changes</t>
  </si>
  <si>
    <t>PY-CL: Duplicated Wage Types in IT after P3213 processing</t>
  </si>
  <si>
    <t>PY-CL: General corrections for Terminations and Factoring</t>
  </si>
  <si>
    <t>PY-CL: Additional corrections for note 1544070</t>
  </si>
  <si>
    <t>PY-CL: Proportional payments for Family Allowances</t>
  </si>
  <si>
    <t>PY-CL: HR_CL_TERM_VAC is not considering Holidays correctly</t>
  </si>
  <si>
    <t>PY-CL: New Wage Type for APV payments</t>
  </si>
  <si>
    <t>PY-CL: Incorrect Social Insurance limits calculation</t>
  </si>
  <si>
    <t>Effective Date for Tax Adjustment on Corporation Pension</t>
  </si>
  <si>
    <t>Report HCNCTAX0 Generates Negative value for Tax Base</t>
  </si>
  <si>
    <t>Corrections of China Payroll Documentation</t>
  </si>
  <si>
    <t>RIC EHP6 ZH HCM: Average Salary text elements enlargement</t>
  </si>
  <si>
    <t>Incorrect Amount Value for the /493 Wage Type</t>
  </si>
  <si>
    <t>SI: Enhancement of SI reporting procedure in B2A Manager</t>
  </si>
  <si>
    <t>SKV:ANMEL- Duplication notifs if parental leave+co no change</t>
  </si>
  <si>
    <t>Subapplication SKSV for seasonal RHC SI reimbursement</t>
  </si>
  <si>
    <t>DEUEV data record version 02</t>
  </si>
  <si>
    <t>Company data maintenance: Current changes and corrections II</t>
  </si>
  <si>
    <t>DEUEV (professionals pension): Corrections (8)</t>
  </si>
  <si>
    <t>RPCBDVD0_OUT: Incorr number of company numbers after exclusn</t>
  </si>
  <si>
    <t>ELENA: Current changes and corrections IV</t>
  </si>
  <si>
    <t>AAG: Incorr suppl. to maternity pay for paid absences BV/STA</t>
  </si>
  <si>
    <t>AAG: Incorr number of days in base month for maternity pay</t>
  </si>
  <si>
    <t>Prohibited activities: Error when several maternity cases</t>
  </si>
  <si>
    <t>Garn. PoO: Pension payments w/ retro. accounting before 2006</t>
  </si>
  <si>
    <t>Garnishment acc. to PoO: Correction of diff. amt (IT 0117)</t>
  </si>
  <si>
    <t>Correction 2: SP contributions, reduction of garnishment net</t>
  </si>
  <si>
    <t>Garnishment principle of origin: Payment amnt not sufficient</t>
  </si>
  <si>
    <t>RPUBGDD0 Runtime error if data is incorrect</t>
  </si>
  <si>
    <t>Unpd leave after parental leave for voluntarily insured pers</t>
  </si>
  <si>
    <t>Various notification procedures: Changes to creation log</t>
  </si>
  <si>
    <t>ZMV: Transferring communication data of notification center</t>
  </si>
  <si>
    <t>RPCKULD3: Separate list - ESF support hourly wage earners</t>
  </si>
  <si>
    <t>Calculating annual earned income if tax obligatn changes II</t>
  </si>
  <si>
    <t>ETStmt: Changes 05 2011</t>
  </si>
  <si>
    <t>Structure equalization, subapplication DOST, personal bonus</t>
  </si>
  <si>
    <t>Not enough numbers for OBJPS in infotype 0329</t>
  </si>
  <si>
    <t>Incorr. default value from IT 1005 when creating IT 0008</t>
  </si>
  <si>
    <t>Short dump in infotype 0008 due to too high cap. utilization</t>
  </si>
  <si>
    <t>RPSZNSD0: Corrections for input field EF15</t>
  </si>
  <si>
    <t>Error when calculating late payment fee in retro pension ins</t>
  </si>
  <si>
    <t>Not. calc. of retro. pension ins. amt for late payment fee</t>
  </si>
  <si>
    <t>PensionEqlnPayt 2010: Retro acctg trigger for ref PersNo (2)</t>
  </si>
  <si>
    <t>TDMS for pension admin + retroactive pension insurance admin</t>
  </si>
  <si>
    <t>Tax exemption for pensions: Change to pension equaliz. payt</t>
  </si>
  <si>
    <t>Corrections for pension pay reduction attachment</t>
  </si>
  <si>
    <t>Publ Serv regulatn Bavaria: Incorr dyn modif of preventn amt</t>
  </si>
  <si>
    <t>Public srvcs reg. Bavaria: Check empl.pds pensn pay rdctn II</t>
  </si>
  <si>
    <t>Public Services regulation Hessen: Enhancements III</t>
  </si>
  <si>
    <t>Treaty on the sharing of pension costs (6)</t>
  </si>
  <si>
    <t>Incorr pension pay reduction new Public Services regulatn II</t>
  </si>
  <si>
    <t>Pblic Srvcs. reg. Bavria: Fmily court info bfre Mar 01, 2010</t>
  </si>
  <si>
    <t>Pension equalization payment 2010: Active persons entitled 3</t>
  </si>
  <si>
    <t>Error in notific program for supplement pensions(April 2011)</t>
  </si>
  <si>
    <t>RPLEHAD3 Error with SR, error when change made during month</t>
  </si>
  <si>
    <t>RPCEHCD1 Remuneration structure survey and trainees</t>
  </si>
  <si>
    <t>RPCEHCD1 capping leave days (corrections for Note 1551502)</t>
  </si>
  <si>
    <t>RPCEHCD1: Number of reduced hours in column 19</t>
  </si>
  <si>
    <t>Corrections statements 05/2011</t>
  </si>
  <si>
    <t>RPCTC0E0 A76 rejected because number of days</t>
  </si>
  <si>
    <t>TC: VND complementary BA02 without BA01 or BA01 without BA02</t>
  </si>
  <si>
    <t>TC: Pluriempleo value not entering in total quote value CA50</t>
  </si>
  <si>
    <t>CRT2: No authorization when reading infotype 0001</t>
  </si>
  <si>
    <t>Constant CC3BC not working properly with splits</t>
  </si>
  <si>
    <t>TC: Wrong country code in TRA segment for foreign employees</t>
  </si>
  <si>
    <t>RPCALCE0 using blocked records from infotype 0041</t>
  </si>
  <si>
    <t>RPCTC0E0: Productive Execution with locked employees</t>
  </si>
  <si>
    <t>TC: BOX 105 and 502 with negative signal displaced</t>
  </si>
  <si>
    <t>Incorrect unpaid absence days for part-time employees</t>
  </si>
  <si>
    <t>TC: Retroactive maternity without changes in basis</t>
  </si>
  <si>
    <t>TC: Error collecting DAT for artists in complementary</t>
  </si>
  <si>
    <t>Unpaid Absence problem in next month treatment schema</t>
  </si>
  <si>
    <t>190: Errors in PDF printing of Deductions Certificate</t>
  </si>
  <si>
    <t>GARNT: Problems during payroll calc. in case of cash payment</t>
  </si>
  <si>
    <t>RPCTC0E0 ERE indicator in complementary</t>
  </si>
  <si>
    <t>TC: More than 1 CCC and training contract employee error</t>
  </si>
  <si>
    <t>TC: Number of days in field 1150 for part-time employee</t>
  </si>
  <si>
    <t>CALC: Wrong contribution base when there is split in 31st</t>
  </si>
  <si>
    <t>TC: After note 1562706 problems with bonifications and VND</t>
  </si>
  <si>
    <t>IRPF: Dump in IT0062 for negative gross salary and mortgage</t>
  </si>
  <si>
    <t>TC: Extend functionality of 'No reportar diferencias bonif.'</t>
  </si>
  <si>
    <t>CALC: Two bonifications with the same method with issue</t>
  </si>
  <si>
    <t>Contrat@: Issues in optional TAG 'CLAVE_CONTRATO_TRANS'</t>
  </si>
  <si>
    <t>190: Incorrect birth year information in the 345 model</t>
  </si>
  <si>
    <t>IRPF: Issues applying percentage for expatriates</t>
  </si>
  <si>
    <t>190: Problems in Deductions Certificate due to note 1560264</t>
  </si>
  <si>
    <t>RED 2011/03: New values for Unemployed (PES_CODES) for AFI</t>
  </si>
  <si>
    <t>AFI: Wrong end date of non taken vacation</t>
  </si>
  <si>
    <t>TC: Bonification distribution for daily employees and COT30</t>
  </si>
  <si>
    <t>TC: Wrong reduction indicator for IT with grace period</t>
  </si>
  <si>
    <t>HEXTRAS: Overtime calculation for Legal guardianship</t>
  </si>
  <si>
    <t>FITAX-Reset Tax for Correction Run</t>
  </si>
  <si>
    <t>FITAX: Negative salary</t>
  </si>
  <si>
    <t>HFILAAI0-Annual Accident Insurance Statement</t>
  </si>
  <si>
    <t>Errors in TYEL yearly reporting</t>
  </si>
  <si>
    <t>Legal Change: Employee's Daily Allowance Contribution</t>
  </si>
  <si>
    <t>HFILAAI0:To show the earnings based on risk group level</t>
  </si>
  <si>
    <t>2483 form certification</t>
  </si>
  <si>
    <t>Rounding error in split assessment base calculation</t>
  </si>
  <si>
    <t>View variant VV_T5F99FC_FR_CONDIT: field OPERB missing</t>
  </si>
  <si>
    <t>Table-view in infotype 0064 not showing all records</t>
  </si>
  <si>
    <t>Wrong reset of Fillon reduction accumulation for shifted pay</t>
  </si>
  <si>
    <t>Incorrect employer pensionable pay calculation</t>
  </si>
  <si>
    <t>IT0065 : Leaver date validation</t>
  </si>
  <si>
    <t>IT0088 - incorrect error messages</t>
  </si>
  <si>
    <t>IT0027 - Cost Distribution issues due to wagetypes SXPN/SXPR</t>
  </si>
  <si>
    <t>GBSXP: Employee incorrectly receives OxP</t>
  </si>
  <si>
    <t>ME GBSXP:Part Days wrongly merged with other part days</t>
  </si>
  <si>
    <t>Incorrect OxP offsetting when the GBSPD solution is active</t>
  </si>
  <si>
    <t>Missing variants for report RPLABSG0_SXP_OXP_PAY_SHEET</t>
  </si>
  <si>
    <t>Changes to leaver tax calc. for across tax year payments</t>
  </si>
  <si>
    <t>Issue with tax reference change in Payroll for ME</t>
  </si>
  <si>
    <t>HRGBPS: HESA Legal Changes (2010-11)</t>
  </si>
  <si>
    <t>Loans greater than Â£5000 should be reported in P11d.</t>
  </si>
  <si>
    <t>Issue with C02 Emission in IT442 and Payroll</t>
  </si>
  <si>
    <t>EOY: Temse file extraction for select range of PERNRS</t>
  </si>
  <si>
    <t>Starter forms after tax code uplift &amp; tax reference change</t>
  </si>
  <si>
    <t>Company cars : Car Fuel Benefit Effective From 06.04.2011</t>
  </si>
  <si>
    <t>Issue with the consecutive Loans greater than Â£5000</t>
  </si>
  <si>
    <t>Warning Message for HK Statutory Minimum Wage</t>
  </si>
  <si>
    <t>Correction to Note 1568804: Mistaking Name for Title</t>
  </si>
  <si>
    <t>USC Certificate for the financial years 2011&amp; 2010(enhanced)</t>
  </si>
  <si>
    <t>(Report Prog Enhanced)USC Certificate for leavers in FY 2009</t>
  </si>
  <si>
    <t>HIECEOY0 displays income levy certficate instead of P60 form</t>
  </si>
  <si>
    <t>Runtime error on execution of Form 24 report (rel  604 only)</t>
  </si>
  <si>
    <t>Issues related Form 16 format for year 2010-11</t>
  </si>
  <si>
    <t>Error in Form 16 after implementation of SAP Note 1560838</t>
  </si>
  <si>
    <t>Tax calculations inconsistent for emp. without a vaild PAN</t>
  </si>
  <si>
    <t>Corrections in Form 16 layout for financial year 2010-11</t>
  </si>
  <si>
    <t>Form 24Q: Changes relevant for quater 4</t>
  </si>
  <si>
    <t>HINCALC0:Tax calculation inconsistent in case of invalid PAN</t>
  </si>
  <si>
    <t>HINCF24Q: Run time error occuring in case of invalid PAN</t>
  </si>
  <si>
    <t>Issues related Form 16 report</t>
  </si>
  <si>
    <t>Form 16: Issue related S80, termination and challan details</t>
  </si>
  <si>
    <t>HR-IT: file CBI-F24 automatic credit compensation</t>
  </si>
  <si>
    <t>HR-IT: ICPRV wrong Cong AG and AM prev. employer</t>
  </si>
  <si>
    <t>HR-IT: Conversion of Unicode/Non-Unicode 770 TEMSE files</t>
  </si>
  <si>
    <t>HR-IT: RPULULI0 application server upload support</t>
  </si>
  <si>
    <t>HR-IT: Field CDTMU not used for table T5ITM8 in ITCTM</t>
  </si>
  <si>
    <t>HR-IT: UniEmens multiple section DatiRetributive in XML</t>
  </si>
  <si>
    <t>HR-IT: New TFR: Elaboration log always displayed</t>
  </si>
  <si>
    <t>HR-IT: RPI548I0, IT0548 and ITISP Corrections</t>
  </si>
  <si>
    <t>HR-IT: CUD Correction package IV</t>
  </si>
  <si>
    <t>HR-IT: TFR 2010 corrections 1</t>
  </si>
  <si>
    <t>HR-IT: ITASS RICA - issue with absences without PY result</t>
  </si>
  <si>
    <t>HR-IT: Modello 770-2011</t>
  </si>
  <si>
    <t>HR-IT: additional family deductions revision 2011</t>
  </si>
  <si>
    <t>HR-IT: Uniemens 1.2.1 (section ExIpost)</t>
  </si>
  <si>
    <t>Valuation Bases change for /AO# and M1O# wage types</t>
  </si>
  <si>
    <t>Unemployment Insurance Incorrect for Retro-on-Retro Case</t>
  </si>
  <si>
    <t>Incorrect Income Tax &amp; Total Deduction in retro</t>
  </si>
  <si>
    <t>Redundant Error Check for Editing Infotype 0146</t>
  </si>
  <si>
    <t>RPCEADJ0: Output Layout Contains Inconsistence</t>
  </si>
  <si>
    <t>RPCELVJ0: Kanji-name and Kana-name are on wrong location</t>
  </si>
  <si>
    <t>Data Item Change in Acquisition of Qualification Form (SI)</t>
  </si>
  <si>
    <t>Family/Related Person record copy error</t>
  </si>
  <si>
    <t>Different Income tax between Flexible Payroll switch ON/OFF</t>
  </si>
  <si>
    <t>PY-JP-RP-TX</t>
  </si>
  <si>
    <t>Tax Statement</t>
  </si>
  <si>
    <t>RPCRTSJ0: Payment Amount is Not Correct</t>
  </si>
  <si>
    <t>No Data Displays in Detail Screen of IT0881, Subtype E0~E5</t>
  </si>
  <si>
    <t>LC2011: Workers Compensation Insurance</t>
  </si>
  <si>
    <t>LC2011: EI Premium Rate Increased from 2011.04.01</t>
  </si>
  <si>
    <t>Cannot Print Donation Receipt if only Carry-over Donation</t>
  </si>
  <si>
    <t>LC2011: Social Insurance DME New Formats</t>
  </si>
  <si>
    <t>The Nationality Field on YEA Receipt Displayed Wrong Lang.</t>
  </si>
  <si>
    <t>Errors in Monthly Flat Rate Taxation and EI Premium Calc.</t>
  </si>
  <si>
    <t>HI Adjustment Should be Add in Flat Rate Taxation Base</t>
  </si>
  <si>
    <t>PY-MX: Report HMXCLJN0 is not running correctly</t>
  </si>
  <si>
    <t>PY-MY : Formatting issues in CP39 layout</t>
  </si>
  <si>
    <t>PY-MY : CP39 summary report and download file issue</t>
  </si>
  <si>
    <t>PY-MY: Runtime error when IT185 subtype is of character type</t>
  </si>
  <si>
    <t>PY-MY : Arithmetic overflow error during payroll run</t>
  </si>
  <si>
    <t>PY-MY: Temporary sequential file causing download file error</t>
  </si>
  <si>
    <t>PY-MY: Formatting issues in CP39 report</t>
  </si>
  <si>
    <t>PY-MY : Misalignment of total amount in SOCSO 8A form</t>
  </si>
  <si>
    <t>PY-MY: Incorrect SOCSO 8B download file for STD format</t>
  </si>
  <si>
    <t>PY-MY:Entries not sorted by name in SOCSO 8B report and file</t>
  </si>
  <si>
    <t>PY-MY: Additional tax wagetype generated incorrectly</t>
  </si>
  <si>
    <t>RPCEDTN0: Address of legal person selected incorrectly</t>
  </si>
  <si>
    <t>HCM NO: Usability issues in list output and PDF</t>
  </si>
  <si>
    <t>New Solution for Absence Reimbursement Handling in Norway</t>
  </si>
  <si>
    <t>RPTEMFV0:Employee's old bedrift got incidents with zero days</t>
  </si>
  <si>
    <t>Changes to SST reporting as per new legal change: March 2011</t>
  </si>
  <si>
    <t>PY-NZ : HNZCTR10-value of accrual WT is incorrect</t>
  </si>
  <si>
    <t>PY-NZ : EMS showing incorrect date on same month rehire</t>
  </si>
  <si>
    <t>Incorrect liability calc, NZDTH-not converting days to hours</t>
  </si>
  <si>
    <t>PY NZ : Design change to Rule NZDP</t>
  </si>
  <si>
    <t>PY-NZ : Incorrect Student Loan calculation below threshhold</t>
  </si>
  <si>
    <t>PY-NZ : Issue with IT0310 field P0310-NEXMPT and P0310-ACSAC</t>
  </si>
  <si>
    <t>Missing Tax Code 'SH'(Secondary High) in table V_T7NZTC</t>
  </si>
  <si>
    <t>PY NZ : Leave liability calculation is incorrect.</t>
  </si>
  <si>
    <t>Leave liability calculation is incorrect due to 2 decimals</t>
  </si>
  <si>
    <t>PY NZ : Incorrect public holiday wage type amount</t>
  </si>
  <si>
    <t>PY NZ : Incorrect ADP rates in case of multiple employees</t>
  </si>
  <si>
    <t>PY-NZ : HNZLKED0 shows incorrect data for rehiring</t>
  </si>
  <si>
    <t>Public Holiday on Termination Pays at ADP rate only</t>
  </si>
  <si>
    <t>PY-NZ : HNZLLVL0 displaying incorrect rate for entitlement</t>
  </si>
  <si>
    <t>HNZLBTD0:Layout variant is saving with incorrect report name</t>
  </si>
  <si>
    <t>PY-NZ : Incorrect hours displayed in payroll log under NZLVR</t>
  </si>
  <si>
    <t>RPCIIDP0: split for regions in individual income declaration</t>
  </si>
  <si>
    <t>RPCIIDP0 : Error in reporting SSC payment</t>
  </si>
  <si>
    <t>Income declarations with income/taxes reduction</t>
  </si>
  <si>
    <t>Remuneration sheet is miscalculating the total tax rate</t>
  </si>
  <si>
    <t>Single Report: wrong reporting of strikes in attachment E</t>
  </si>
  <si>
    <t>RPCSSRP0: wrong reference period with retroactive accounting</t>
  </si>
  <si>
    <t>RPCSSRP0: correction in summary sheet</t>
  </si>
  <si>
    <t>Single Report: legal changes for 2010 reporting</t>
  </si>
  <si>
    <t>Single Report: Attachment C / Anexo C</t>
  </si>
  <si>
    <t>Single Report: new information Company data</t>
  </si>
  <si>
    <t>Single Report:Wrong value to Supplemental Hours Attachment A</t>
  </si>
  <si>
    <t>RPCSSRP0: General Corrections to R2 records</t>
  </si>
  <si>
    <t>RPCSSRP0: General Corrections to Summary and list</t>
  </si>
  <si>
    <t>Single Report: legal changes for 2010 reporting - Attac. D</t>
  </si>
  <si>
    <t>Single Report: error in source code of attachment C</t>
  </si>
  <si>
    <t>PY-PT-PS: retroactive accounting with income/taxes reduction</t>
  </si>
  <si>
    <t>ADSE XML report: General corrections</t>
  </si>
  <si>
    <t>Reduction of remuneration for Public Sector: legal reports</t>
  </si>
  <si>
    <t>HCM PT PS: Infotype 0021/0335 - new fields</t>
  </si>
  <si>
    <t>ADSE XML: differences in retroactivity are not considered</t>
  </si>
  <si>
    <t>ADSE XML report: Fields Transf_NIPC_Entidade, Transfer_Data</t>
  </si>
  <si>
    <t>HR-RU: wrong wtype customizing if retro over tax schemas</t>
  </si>
  <si>
    <t>HR-RU: Error in payroll rule RU-6 w/o operation TABLEY0299</t>
  </si>
  <si>
    <t>Report defines employee status incorrectly</t>
  </si>
  <si>
    <t>RPSSBKS0 Incorrectly reports employee older than 64 years</t>
  </si>
  <si>
    <t>STAX0: There is an error when annual amount is huge</t>
  </si>
  <si>
    <t>SG-Payroll : Negative CPF if Offcycle payroll has run</t>
  </si>
  <si>
    <t>Correction to note 1543151</t>
  </si>
  <si>
    <t>IR8A: incorrect address in Appendix 8A e-submission file</t>
  </si>
  <si>
    <t>Foreign Worker Daily Levy rate change (w.e.f. 01.07.2011)</t>
  </si>
  <si>
    <t>CPF rate changes effective from September 1, 2011</t>
  </si>
  <si>
    <t>CPF calculation for employer contribution</t>
  </si>
  <si>
    <t>PATline: incorrect IR8A file for EE with two or more pernrs</t>
  </si>
  <si>
    <t>ECC 6.0 &amp; 6.4 - Change to Retirement benefits/Death gratuity</t>
  </si>
  <si>
    <t>PY-TH:Records displayed in ITF1A download file are incorrect</t>
  </si>
  <si>
    <t>PY-TH:Issues in Social security detailed report-Thai version</t>
  </si>
  <si>
    <t>Actual LI Days When Employee Quit at the End of February</t>
  </si>
  <si>
    <t>PAY: Documentation update for schema ULK9</t>
  </si>
  <si>
    <t>PAY:Documentation correction in IMG for Payroll USA</t>
  </si>
  <si>
    <t>PY-US-PS: Absence Donation (IT0613) errors</t>
  </si>
  <si>
    <t>REC: Line breaks in Payroll Recon in background and printing</t>
  </si>
  <si>
    <t>TR: Change length of fields and negative wages in SUI XML FL</t>
  </si>
  <si>
    <t>TR: W-2 magnetic media for the State of Vermont corrections</t>
  </si>
  <si>
    <t>TR: New Form 941 and Form 941-PR valid from Q1/2011</t>
  </si>
  <si>
    <t>TR: Issues with record E and incorrect order in SUI CSV PA</t>
  </si>
  <si>
    <t>TR: Divergence in Schedule B with cross-quarters retro</t>
  </si>
  <si>
    <t>TR: New DE 9 SUI PDF and XML forms for California</t>
  </si>
  <si>
    <t>TR: Corrections to ICESA file for SUI Ohio</t>
  </si>
  <si>
    <t>PY-US-TR: Incorrect TID location in the IN W-2 Tape/Diskette</t>
  </si>
  <si>
    <t>TR: Short dump when XML Schema files are not found</t>
  </si>
  <si>
    <t>TR: Ceiling is not displayed in SUI New Hampshire</t>
  </si>
  <si>
    <t>SACC2 classification for PDF forms</t>
  </si>
  <si>
    <t>TR: Line 15 (Overpayment) of Form 941 Federal is incorrect</t>
  </si>
  <si>
    <t>TAX: Regular wages treated as supplemental wages.</t>
  </si>
  <si>
    <t>TAX: /Ixx wage types generated in NAMC run.</t>
  </si>
  <si>
    <t>TAX:UOTX0 copying incorrect taxes into retro payroll result.</t>
  </si>
  <si>
    <t>[VE] Currency validation issue at PA70 for infotype 0399.</t>
  </si>
  <si>
    <t>IRP5 Download File has SARS codes in incorrect Order</t>
  </si>
  <si>
    <t>Donations SARS Code 4030 not appearing in ALV view</t>
  </si>
  <si>
    <t>ITA88 Currency And Multiple records across the year issue</t>
  </si>
  <si>
    <t>Multiple Company Cars with same car info for future issue</t>
  </si>
  <si>
    <t>RPITAEW0 - Deletion, Employee No. and Error messages issues</t>
  </si>
  <si>
    <t>SAPKE60435</t>
  </si>
  <si>
    <t>Object manager search help: Deleting invalid entries</t>
  </si>
  <si>
    <t>HR LDAP data extraction: Update of delta table</t>
  </si>
  <si>
    <t>HR LDAP data extraction: Blank time stamp in delta mode</t>
  </si>
  <si>
    <t>HRALE: Locked PA infotype (field SPRPS) present in IDoc</t>
  </si>
  <si>
    <t>BC-BMT-OM-EBP</t>
  </si>
  <si>
    <t>Org. Managem. EBP</t>
  </si>
  <si>
    <t>HRALX: Customer not created from business partner</t>
  </si>
  <si>
    <t>SRM@ERP, BP integration: Address is deleted in BP</t>
  </si>
  <si>
    <t>BC-UPG</t>
  </si>
  <si>
    <t>BC-UPG-PRP</t>
  </si>
  <si>
    <t>Upgrade Preparation</t>
  </si>
  <si>
    <t>Delivery of function groups 31DE and 3101</t>
  </si>
  <si>
    <t>Extractor 0CA_TS_IS_1 returns no data</t>
  </si>
  <si>
    <t>HCM ATC corrections - no customer action needed</t>
  </si>
  <si>
    <t>Program RHDIREPO fetched delegating UserName incorrectly</t>
  </si>
  <si>
    <t>Personal Data Iview is showing incorrect country</t>
  </si>
  <si>
    <t>Business Trip Mgmt.</t>
  </si>
  <si>
    <t>Web/WDA Completion and Search Help Reason not based on PERNR</t>
  </si>
  <si>
    <t>F1 Help for breakfast deduction in expert view is incomplete</t>
  </si>
  <si>
    <t>No spool created when RPRTEF00_PDF is started in background</t>
  </si>
  <si>
    <t>PR05 : impossible to add element in Personnal Search list</t>
  </si>
  <si>
    <t>Error during batch input on PA30</t>
  </si>
  <si>
    <t>todo</t>
  </si>
  <si>
    <t>Missing default value for PA10, PA20 and so on</t>
  </si>
  <si>
    <t>Erweiterungen SperrfunktionalitÃ¤t</t>
  </si>
  <si>
    <t>T77S0: Documentation for PLOGI TEXTD was enhanced</t>
  </si>
  <si>
    <t>IT0219: Decoupling class error during infotype operations.</t>
  </si>
  <si>
    <t>BEN: Age Eligibility Check Error</t>
  </si>
  <si>
    <t>Conc.Empl.-Benefits</t>
  </si>
  <si>
    <t>BEN: Benefit Salary calculated incorrectly</t>
  </si>
  <si>
    <t>COBRA Termination/Unavailability letter does not have Emp No</t>
  </si>
  <si>
    <t>BEN:COBRA - Exception raised in RPUCOB02 for function call</t>
  </si>
  <si>
    <t>BEN:COBRA - Error in COBRA Invoice Total amount field</t>
  </si>
  <si>
    <t>PA-BN-PL</t>
  </si>
  <si>
    <t>Plans</t>
  </si>
  <si>
    <t>HSA:Wrong catch-up limit proration in full contrib.rule.</t>
  </si>
  <si>
    <t>PA-CM</t>
  </si>
  <si>
    <t>Compensation Manag.</t>
  </si>
  <si>
    <t>RPIPSR00: Result Log may be incorrect with several subtypes</t>
  </si>
  <si>
    <t>Reclassification using Time-In-Grade as decision criteria</t>
  </si>
  <si>
    <t>T750x: Incorrect entries are written when person is fired</t>
  </si>
  <si>
    <t>IT1018: Segment field not transferred</t>
  </si>
  <si>
    <t>PP01: IT1610 and changes to IT1000</t>
  </si>
  <si>
    <t>Budget period field is not available in HCM</t>
  </si>
  <si>
    <t>PPOME: Account assignment</t>
  </si>
  <si>
    <t>PPOME: IT1613/1610 Dump GATWA_NOT_ASSIGNED</t>
  </si>
  <si>
    <t>PPOME: Inheriting account assignment features in the future</t>
  </si>
  <si>
    <t>PPOSE: Authorization error when displaying IT1018</t>
  </si>
  <si>
    <t>PPOME: The text "Terminieren" is replaced with "Abgrenzen"</t>
  </si>
  <si>
    <t>RHINTE30: IT0001 split for customer-specific IT fields</t>
  </si>
  <si>
    <t>User-defined IT0001 data is not transferred correctly</t>
  </si>
  <si>
    <t>RHINTE30: Update IT0001 without change (user-defined fields)</t>
  </si>
  <si>
    <t>Field TITL2 in corrsp. for Training and Event Management</t>
  </si>
  <si>
    <t>Correcting the report RHT750XADJUSTMENT</t>
  </si>
  <si>
    <t>Error report RHT750XADJUSTMENT</t>
  </si>
  <si>
    <t>BAPI_EMPLOYEE_GETDATA causes short dump</t>
  </si>
  <si>
    <t>RHINTE30: Missing dialog status when no person exists</t>
  </si>
  <si>
    <t>Verprobung: Eingetragene Partnerschaft im Infotyp 21</t>
  </si>
  <si>
    <t>DeCavaA - master data consistency update</t>
  </si>
  <si>
    <t>Report RPUPAV00: Generate PA3211 Record for IT View</t>
  </si>
  <si>
    <t>Dump when IT0537 has custom fields</t>
  </si>
  <si>
    <t>Destroying absences for data privacy protection reasons</t>
  </si>
  <si>
    <t>Sick pay supplement in TV-OeD and TV-L</t>
  </si>
  <si>
    <t>IT2001: User-defined period calculation</t>
  </si>
  <si>
    <t>Information of Employee-Related Data (PA data)</t>
  </si>
  <si>
    <t>Corrections and enhancements in "Destroy Absences" report</t>
  </si>
  <si>
    <t>PA-PA-DK</t>
  </si>
  <si>
    <t>Denmark</t>
  </si>
  <si>
    <t>IBAN field not customizable for Denmark MP000900/2009 screen</t>
  </si>
  <si>
    <t>Report HFIUCPL0 unlocks all the pernrs at the end.</t>
  </si>
  <si>
    <t>Performance issue when saving a TN in a large TP</t>
  </si>
  <si>
    <t>TNM Booking: F4-Help Enhancements</t>
  </si>
  <si>
    <t>Catalog Assignment saved without validation</t>
  </si>
  <si>
    <t>Dump in RPCTNMFR_2483 if selection returns no employees</t>
  </si>
  <si>
    <t>TN Child does not allow to modify number of days</t>
  </si>
  <si>
    <t>Snapshot includes Training courses outside selection period</t>
  </si>
  <si>
    <t>Introduction of new subtypes GBA2 &amp; GBA8 in IT0048</t>
  </si>
  <si>
    <t>No Certificate has been provided - Incorrect Warning message</t>
  </si>
  <si>
    <t>IT0146: Ins.pro.ty Not to Be Displayed on Earthquake Tab</t>
  </si>
  <si>
    <t>IT0021: record can't be delimited by copying</t>
  </si>
  <si>
    <t>Enhancement to Employment Insurance Related Reports</t>
  </si>
  <si>
    <t>IT3203: Hiding of Fields Does Not Work Properly</t>
  </si>
  <si>
    <t>IT0888, IT0889 Unexpected Error Message in Part.Status 04</t>
  </si>
  <si>
    <t>PA-PA-NO</t>
  </si>
  <si>
    <t>IT0509: Position text is always the latest one.</t>
  </si>
  <si>
    <t>Check of PIRCT for IT0337-PRCOD on the SAP Query of IT0337</t>
  </si>
  <si>
    <t>Forms SZV-6-3 (ADV-6-4), ADV-8-1 and ADV-6-2</t>
  </si>
  <si>
    <t>HR-RU: Negative payment amount in form T-61</t>
  </si>
  <si>
    <t>HR-RU: 4-FSS Wrong Address Data on Title Page</t>
  </si>
  <si>
    <t>HR-RU: Calculation of average employees number via it 1001</t>
  </si>
  <si>
    <t>ADV-6-2: printing canceling</t>
  </si>
  <si>
    <t>Infotype 0876, check with absence started next day</t>
  </si>
  <si>
    <t>Changes in the Q2.2001 Synchronisation HRSP (600, 604)</t>
  </si>
  <si>
    <t>HR-RU: superfluous F4 for Action Reason Details in IT0298</t>
  </si>
  <si>
    <t>IT0185: Subtypes in the view V_T584A.</t>
  </si>
  <si>
    <t>Add Status Change Reason Field in IT0354, IT0355, and IT0818</t>
  </si>
  <si>
    <t>IT0210:Navigation issue on detailed screens of Infotype 0210</t>
  </si>
  <si>
    <t>IT0077: "Display/Maintain Text" icon is not displayed.</t>
  </si>
  <si>
    <t>BEN: Wrong 401(k) Roth catch-up contribution for HCE.</t>
  </si>
  <si>
    <t>BEN: 403(b) ER match not limited in HCE transition period.</t>
  </si>
  <si>
    <t>BEN: 401(k) generic catch-up wrong in HCE transition period.</t>
  </si>
  <si>
    <t>BEN: Pension plan tax qualification for Puerto Rico</t>
  </si>
  <si>
    <t>IT0021 Subtype 15 "Registered Partner": Gender proposal</t>
  </si>
  <si>
    <t>Relationship A008 deleted: Infotype 0001 not updated</t>
  </si>
  <si>
    <t>IT0001: Error 5A 367 for temporary hiring</t>
  </si>
  <si>
    <t>IT0001:Personnel subarea incorrectly transferred from IT1008</t>
  </si>
  <si>
    <t>PA40: Personnel number is not blocked</t>
  </si>
  <si>
    <t>New cluster-ID 'TV' for cluster PCL1</t>
  </si>
  <si>
    <t>RPU51000: Runtime error COMPUTE_BCD_OVERFLOW</t>
  </si>
  <si>
    <t>RPIBRT00: generated Batch Input Session is incorrect</t>
  </si>
  <si>
    <t>IT0001: Message 'Object 01 S 00000000 does not exist'</t>
  </si>
  <si>
    <t>Action can be executed for non existing personnel number</t>
  </si>
  <si>
    <t>Infotype 0001: Additional Query Field House number</t>
  </si>
  <si>
    <t>Create Reference Personnel Number: ENAME is not updated</t>
  </si>
  <si>
    <t>Dynamic Action is triggered independently of field change</t>
  </si>
  <si>
    <t>IT0009: Address information gets stored on the Database</t>
  </si>
  <si>
    <t>Lock entries for tables PREL/PLOGI are removed</t>
  </si>
  <si>
    <t>PA30: System is not asking for Delimitation Date</t>
  </si>
  <si>
    <t>Delimitation of Time Infotypes: Short Dump MESSAGE_TYPE_X</t>
  </si>
  <si>
    <t>Individual screen of tab page infotypes is exited</t>
  </si>
  <si>
    <t>Runtime error RAISE_EXCEPTION Exception INTERNAL_ERROR</t>
  </si>
  <si>
    <t>PBA7: Applicant data missing during data transfer (II)</t>
  </si>
  <si>
    <t>MP000800/MPV00800: SELECT on T539A bypasses the table buffer</t>
  </si>
  <si>
    <t>PA30: Maintained infotype text is not displayed [2]</t>
  </si>
  <si>
    <t>PA48: Infotype 4001 ('Applications') is displayed</t>
  </si>
  <si>
    <t>IT0057: Fields are not empty when a record is created</t>
  </si>
  <si>
    <t>PA70: Error PG 045 when creating batch input session</t>
  </si>
  <si>
    <t>Disable authority check in CL_IM_HRCCE_USER_ASSIGN_BY_CP</t>
  </si>
  <si>
    <t>Dynamic Action: Default Values are not defaulted anymore</t>
  </si>
  <si>
    <t>Personnel Action: Proposed Start Date is not correct</t>
  </si>
  <si>
    <t>Transaction PA41: Error message PG432</t>
  </si>
  <si>
    <t>Enhancing customer-defined infortypes</t>
  </si>
  <si>
    <t>Country reassignment: Reference Personnel Number cleared</t>
  </si>
  <si>
    <t>Leaving action: Holder relationship is not delimited</t>
  </si>
  <si>
    <t>IT 0041: Date types are not deleted when the date is initial</t>
  </si>
  <si>
    <t>IT0105: Overview: E-mail address displayed as too short</t>
  </si>
  <si>
    <t>Display all facsimiles: Incorrect Message PG424/PG425</t>
  </si>
  <si>
    <t>BAPI_USER_DELETE: Exception CX_HRPA_VIOLATED_PRECONDITION</t>
  </si>
  <si>
    <t>Processing initial values which are not valid in V_T588Z</t>
  </si>
  <si>
    <t>Function HR_EVENT_CREATE is triggered twice</t>
  </si>
  <si>
    <t>Infotype menus incorrectly displayed in PA51 transaction</t>
  </si>
  <si>
    <t>Switch CCURE/CPAUT: Value cannot be maintained in T77S0</t>
  </si>
  <si>
    <t>Correction to HR_MAKE_ADDRESS</t>
  </si>
  <si>
    <t>Dynamic action: Subtype cannot be proposed</t>
  </si>
  <si>
    <t>Infotype Header: Field ENAME is truncated (II)</t>
  </si>
  <si>
    <t>IT0001: Change to position not recognized by system</t>
  </si>
  <si>
    <t>IBAN/SEPA: Message RP 614 despite entering payee key</t>
  </si>
  <si>
    <t>Performance of the function RPAQ_GET_AF_0019</t>
  </si>
  <si>
    <t>PRAA: Short dump SAPSQL_ARRAY_INSERT_DUPREC (II)</t>
  </si>
  <si>
    <t>Employee search terminates in runtime error</t>
  </si>
  <si>
    <t>Infotype 0001: visible length of the Field 'Grant' too short</t>
  </si>
  <si>
    <t>Vacancy during the Organizational Reassignment</t>
  </si>
  <si>
    <t>Subtype-dependent retroactive accounting trigger</t>
  </si>
  <si>
    <t>Maximum length of text symbols of program SAPFP50M</t>
  </si>
  <si>
    <t>Actions overview: Message PG114 issued incorrectly</t>
  </si>
  <si>
    <t>IT0009: Field TCURT-LTEXT cannot be controlled via T588M</t>
  </si>
  <si>
    <t>PE03 returns incorrect check result in tree maintenance</t>
  </si>
  <si>
    <t>IT0001: Position checks on incorrect position</t>
  </si>
  <si>
    <t>Infotype Header: Future record content is displayed</t>
  </si>
  <si>
    <t>PM01: Error message (PG452) when creating view infotypes</t>
  </si>
  <si>
    <t>Technical change in includes MP50AO00/MPPERS00</t>
  </si>
  <si>
    <t>RPSTRF00: Misaligned payscale columns</t>
  </si>
  <si>
    <t>IT0008: Cannot add/delete wage type due to warning message</t>
  </si>
  <si>
    <t>Infotype 0712: employment data read for the wrong period</t>
  </si>
  <si>
    <t>PA-PA-XX-TL</t>
  </si>
  <si>
    <t>PA-PA-XX-TL-SEN</t>
  </si>
  <si>
    <t>Calc. of empl.period</t>
  </si>
  <si>
    <t>different results after implementation of note 895659</t>
  </si>
  <si>
    <t>Fields of infotyp 0552 cannot be controlled with table T588M</t>
  </si>
  <si>
    <t>Log tables f. calc.of time specifications filled incorrectly</t>
  </si>
  <si>
    <t>PA-PD-DP</t>
  </si>
  <si>
    <t>Development Plans</t>
  </si>
  <si>
    <t>PPDPIM/PPPM: Error during status change</t>
  </si>
  <si>
    <t>PA-PF-CH: EHO: BADI: Incorrect changing parameters</t>
  </si>
  <si>
    <t>RBM: MZ01 notifications are rejected with error 0602</t>
  </si>
  <si>
    <t>BAV: Error when creating a pension plan (IT0323)</t>
  </si>
  <si>
    <t>CPS: Incorrect indicator for old VE in mass runs</t>
  </si>
  <si>
    <t>RBM: Error 4101/4202 due to adjustment amount 0.00</t>
  </si>
  <si>
    <t>CPS: Data transfer report in process model (II)</t>
  </si>
  <si>
    <t>Archiving pension fund with RPLPKSC0/RPLPKSN0</t>
  </si>
  <si>
    <t>PA-PM-OM</t>
  </si>
  <si>
    <t>Org. Management</t>
  </si>
  <si>
    <t>Activation status of FM dimension determined incorrectly</t>
  </si>
  <si>
    <t>ADT: Example implementation for BadI HRFPM_ADT</t>
  </si>
  <si>
    <t>Job index: Gender-specific abbreviations</t>
  </si>
  <si>
    <t>PBAW : Output is not sorted correctly</t>
  </si>
  <si>
    <t>Infotype 4005 screen is incorrectly aligned</t>
  </si>
  <si>
    <t>Day-to-Day Activity</t>
  </si>
  <si>
    <t>Error while booking learners on a Business Event</t>
  </si>
  <si>
    <t>In subroutine BRIEFANREDE Language passed was not considered</t>
  </si>
  <si>
    <t>PA30: Deduction of shared quotas</t>
  </si>
  <si>
    <t>RPUCCONVCL: New parameter for processing of PCL2 records</t>
  </si>
  <si>
    <t>KNTAG: Missing entry for start of break at 24:00h</t>
  </si>
  <si>
    <t>Documentation for DAYPG &gt; OFF supplemented as necessary</t>
  </si>
  <si>
    <t>RPTIME00: Operation OUTAL with parameter PLANS causes error</t>
  </si>
  <si>
    <t>PT-EV-MP</t>
  </si>
  <si>
    <t>Time Manag. Pool</t>
  </si>
  <si>
    <t>PT50 (CE): Missing Update on Absence Quota tab</t>
  </si>
  <si>
    <t>Function RAB: Param. 3 for country version China and Norway</t>
  </si>
  <si>
    <t>Function XNAB: Seniority from exit is overwritten</t>
  </si>
  <si>
    <t>PT-IN</t>
  </si>
  <si>
    <t>PT-IN-AA</t>
  </si>
  <si>
    <t>Activity Allocation</t>
  </si>
  <si>
    <t>PT68: Duplicate postings in FI/CO</t>
  </si>
  <si>
    <t>PA30/PA61: "Different Payment" dialog box</t>
  </si>
  <si>
    <t>PA30/PA40: Using dynamic actions for IT 0007</t>
  </si>
  <si>
    <t>PA71: This subtype is only permitted for absences</t>
  </si>
  <si>
    <t>PA61 Weekly calendar: Lines are not ready for input</t>
  </si>
  <si>
    <t>Previous day indicator field for list entry for attendances</t>
  </si>
  <si>
    <t>PA61: List entry: Field REFEX (Primary/Secondary Costs)</t>
  </si>
  <si>
    <t>Error message HRTIM00REC 066 contains incorrect DWS</t>
  </si>
  <si>
    <t>PT40: Missing ALV context menu function</t>
  </si>
  <si>
    <t>IT 2003: Different payment and time information</t>
  </si>
  <si>
    <t>Prerequisite country-enhancement for Quota texts</t>
  </si>
  <si>
    <t>PT02: Missing transport connection for ALV list</t>
  </si>
  <si>
    <t>PA71: Fields BEGUZ and ENDUZ not ready for input</t>
  </si>
  <si>
    <t>PA61: IT2011 permits change of read-only field SATZA</t>
  </si>
  <si>
    <t>PT-RC-EX</t>
  </si>
  <si>
    <t>HR-PDC</t>
  </si>
  <si>
    <t>LIST_TOPOFPAGE_OVERFLOW dump in report RPTEXTPT</t>
  </si>
  <si>
    <t>RPTEXTPT: Error message HRTIM00EXTERN 030</t>
  </si>
  <si>
    <t>Updating time events: UNAME and AEDTM not filled</t>
  </si>
  <si>
    <t>PT-RC-UI-IA</t>
  </si>
  <si>
    <t>Internet Applics.</t>
  </si>
  <si>
    <t>More robust authorization checks for PT_DEBUG_MINIAPP_WAP</t>
  </si>
  <si>
    <t>PTMW/RPTEXTPT: Long runtimes for absences</t>
  </si>
  <si>
    <t>Call of BAdI PT_BLP_RET_MESS not in posting</t>
  </si>
  <si>
    <t>PT61 print macros - Storage in BDS</t>
  </si>
  <si>
    <t>Runtime problems due to external requirements</t>
  </si>
  <si>
    <t>Shift Planning PS</t>
  </si>
  <si>
    <t>PP63: Shift group when called outside current period</t>
  </si>
  <si>
    <t>PP61:Detail view:Work availability deletes time substitution</t>
  </si>
  <si>
    <t>Data destruction in HCM (SP assignment SAP_HR, EA-HR)</t>
  </si>
  <si>
    <t>[AR] Documentation of ceiling compensation wage types</t>
  </si>
  <si>
    <t>PY-AR: Consider Wage Type /445 on report HARCDGI1</t>
  </si>
  <si>
    <t>PY-AR: Re-process of fire event for withheld 2010 tax (/445)</t>
  </si>
  <si>
    <t>[AR] New General Ledger for Argentina</t>
  </si>
  <si>
    <t>[AT] New GL - Neue Hauptbuchhaltung fÃ¼r Ã–sterreich</t>
  </si>
  <si>
    <t>PCALZ: RÃ¼ckzug HW 1465569 und weitere Korrektur wegen AGNUM</t>
  </si>
  <si>
    <t>PCALZ: Vergleich Soll-Ist fehlerhaft wegen Sortierung</t>
  </si>
  <si>
    <t>PfÃ¤ndung: Warnung aus Hinweis 1558133 vereinfacht</t>
  </si>
  <si>
    <t>Altersteilzeit mit Infotyp 0662</t>
  </si>
  <si>
    <t>PCALZ: irrtÃ¼mlich erzeugte AD-Stornomeldung ohne Neumeldung</t>
  </si>
  <si>
    <t>IT0042: Lohnzettelart 18 in PCALZ</t>
  </si>
  <si>
    <t>AT: Doku fÃ¼r Zuordnung Anschrift ArbeitsstÃ¤tte zu Gemeinde</t>
  </si>
  <si>
    <t>IT0751: Vorschlagswert fÃ¼r EmpfÃ¤ngerschlÃ¼ssel</t>
  </si>
  <si>
    <t>PCALZ: LZ SV bei Austritt mit UE und Wiedereintritt</t>
  </si>
  <si>
    <t>RPCMSVA4PBSRA: unpaarige Klammerstruktur *{ INSERT</t>
  </si>
  <si>
    <t>ETP tax-free component incorrectly added into /106 by QTRR</t>
  </si>
  <si>
    <t>Payment Summary - Lump Sum E Payments from Override table</t>
  </si>
  <si>
    <t>Addition of ABN no. field in ATO employee declaration report</t>
  </si>
  <si>
    <t>Payment Summary reports : Correction in specific scenarios</t>
  </si>
  <si>
    <t>Bonus is added twice in Total Gross(/101) in case of retro</t>
  </si>
  <si>
    <t>Payment Summary : Header for ETP summary &amp; FE PS batch</t>
  </si>
  <si>
    <t>Incorrect Override date - RPUGCOQ0</t>
  </si>
  <si>
    <t>QLVPR: Leave provision calculations incorrect</t>
  </si>
  <si>
    <t>Payment Summary smartform change</t>
  </si>
  <si>
    <t>Super not calculated for PSSAP on termination</t>
  </si>
  <si>
    <t>DmfA Update: Error reporting employees with cancelled SI</t>
  </si>
  <si>
    <t>Extensions for payroll account and remuneration statement</t>
  </si>
  <si>
    <t>New General Ledger (GL) Localization Payroll Belgium</t>
  </si>
  <si>
    <t>Legal Changes for DmfA Original Decl, Quarter 1 2011 (prt 3)</t>
  </si>
  <si>
    <t>Dimona Preparation report - duplicates &amp; processing</t>
  </si>
  <si>
    <t>RPTGENB0 - Statement AT SELECTION-SCREEN missing</t>
  </si>
  <si>
    <t>DmfA: Incorrect FSF contribution rates when retrocalculation</t>
  </si>
  <si>
    <t>Translation of wage type /113 incorrect</t>
  </si>
  <si>
    <t>Social Insurance: exclude EEs with low wages (958 &amp; 722)</t>
  </si>
  <si>
    <t>DMFA: Error at selection screen</t>
  </si>
  <si>
    <t>Dimona 2010: DIMI Date and Update of Leaving Date</t>
  </si>
  <si>
    <t>DmfA rejected because of missing start date for restruct.</t>
  </si>
  <si>
    <t>New General Ledger for Brazil</t>
  </si>
  <si>
    <t>HR-BR:BRISS generates vacations difference in off-cyle AJUS.</t>
  </si>
  <si>
    <t>HLACTRM0: incorrect amounts in "Total Term. Payments" column</t>
  </si>
  <si>
    <t>Termination Term: Field 66 with wrong period</t>
  </si>
  <si>
    <t>HBRRTER2: Unjustified absences deducted in field 50</t>
  </si>
  <si>
    <t>HBRFICHA: timeschedule entries is overlaping workday entries</t>
  </si>
  <si>
    <t>SEFIP: Maternity retro differences not read</t>
  </si>
  <si>
    <t>HBRCEDT0: Duplicated number of dependents</t>
  </si>
  <si>
    <t>Income Declaration: Pensioner payment not filled</t>
  </si>
  <si>
    <t>Enabling New General Ledger functionality for Canada</t>
  </si>
  <si>
    <t>RPUTRBK0 does not check the object P_ORGIN</t>
  </si>
  <si>
    <t>Amendment Reason Report has employees missing</t>
  </si>
  <si>
    <t>PIER Report error when multiple account numbers</t>
  </si>
  <si>
    <t>IT0006: Extension field blanks out</t>
  </si>
  <si>
    <t>YE10: Unecessary T4A amendments generated for 2009 and prior</t>
  </si>
  <si>
    <t>YE10:MRQ Cancelled Run generation issues</t>
  </si>
  <si>
    <t>YE10: Production run with 0 forms generated during amendment</t>
  </si>
  <si>
    <t>3PR: Details not displayed for G/L documents</t>
  </si>
  <si>
    <t>3PR: RPURME00 not working for non CE cases</t>
  </si>
  <si>
    <t>[CH] Integr. HCM-NewGL:Neue Hauptbuchhaltung fÃ¼r die Schweiz</t>
  </si>
  <si>
    <t>Multiple payroll:Incorr OASI/UI contr. in gross/net gross up</t>
  </si>
  <si>
    <t>ISEL: Access to incorrect infotype 0002 record</t>
  </si>
  <si>
    <t>Withhold. tax: Control for output of canton of place of work</t>
  </si>
  <si>
    <t>TA PCC1: Payroll unit wage statement changed</t>
  </si>
  <si>
    <t>FamZReg: Payroll log does not display bonus with FI</t>
  </si>
  <si>
    <t>QST VD: EMP ACI: Field "montantCommission" in LC invalid</t>
  </si>
  <si>
    <t>PY-CL: Changes in Accumulations for Wage Type /104</t>
  </si>
  <si>
    <t>[CL] Occupational Group ID in INE report</t>
  </si>
  <si>
    <t>PY-CL: Documentation for operations and HLACTRM0</t>
  </si>
  <si>
    <t>PY-CL: Missing customizing in DAQ tables for Legal Reports</t>
  </si>
  <si>
    <t>PY-CL: Enhancements and Corrections for Reliquidation - v2</t>
  </si>
  <si>
    <t>PY-CL: Missing middle name in PREVIRED report</t>
  </si>
  <si>
    <t>[CL] Enable RUT ID field (IT0185) to be used in payslip form</t>
  </si>
  <si>
    <t>PY-CL: Customizing correction for Reliquidation process</t>
  </si>
  <si>
    <t>[CL] Wrong language for months names at Income Certif. Form.</t>
  </si>
  <si>
    <t>[CL] Incorrect date for Limits calculation on Termination</t>
  </si>
  <si>
    <t>[CL] Wrong UF conversion date for WT /CUF on Termination</t>
  </si>
  <si>
    <t>Corporate Pension, New Payroll Function Downport to EHP5</t>
  </si>
  <si>
    <t>China Payroll Enhancement: Arrears and Deductions</t>
  </si>
  <si>
    <t>Update of model process model SAPDEPAY</t>
  </si>
  <si>
    <t>B2A Manager: Small corrections</t>
  </si>
  <si>
    <t>ZFA/PRN: Error when sending more than 9,999 files</t>
  </si>
  <si>
    <t>Construction Industr</t>
  </si>
  <si>
    <t>Capital formation construction ind.: Using inv. types 6 or 7</t>
  </si>
  <si>
    <t>Payroll operation DBAU IF with specification B</t>
  </si>
  <si>
    <t>Company data maintenance: Runtime error in distributed rptg</t>
  </si>
  <si>
    <t>DEUEV (professionals pension): corrections (9)</t>
  </si>
  <si>
    <t>DEUEV data record version 02: Corrections</t>
  </si>
  <si>
    <t>DEUEV: Error w/ confirm. for persons covered by miners' ins.</t>
  </si>
  <si>
    <t>Creating infotype 0700 from HR_MAINTAIN_MASTERDATA</t>
  </si>
  <si>
    <t>Infotype 0700: Ad Hoc Query</t>
  </si>
  <si>
    <t>Infotype 0700: Subtype-dependent retroactive acctg trigger</t>
  </si>
  <si>
    <t>New protected earnings as of July 01, 2011</t>
  </si>
  <si>
    <t>Compensation benefits data exchange</t>
  </si>
  <si>
    <t>BVV: Err in case of salary conversn during sick pay supplmnt</t>
  </si>
  <si>
    <t>Problems when processing health insurance fund notifications</t>
  </si>
  <si>
    <t>Assigning error confirmations: Recognition changed</t>
  </si>
  <si>
    <t>Incorrect check for March clause in contribution group AV 0</t>
  </si>
  <si>
    <t>EEL: Administrator list processes (technicl advnce delivery)</t>
  </si>
  <si>
    <t>ZMV: Considering successor funds during import</t>
  </si>
  <si>
    <t>Changes to slide zone and unpaid leave</t>
  </si>
  <si>
    <t>ETS: Tax exemptions for children in zero notification</t>
  </si>
  <si>
    <t>Tax calculation for foreign pension insurance</t>
  </si>
  <si>
    <t>Tax flowcharts for December 2011 and for 2012</t>
  </si>
  <si>
    <t>ZfA: Same wage types in salary and pension</t>
  </si>
  <si>
    <t>ZfA: Technical correction (New ADMIN method CREATE_NOTIF)</t>
  </si>
  <si>
    <t>SR: TV FlexAZ (VKA) and TV Bund - Part 1</t>
  </si>
  <si>
    <t>Enhancements for registered partnership</t>
  </si>
  <si>
    <t>Personnel level statistics 2011</t>
  </si>
  <si>
    <t>Spec. feat. for std pay increase TV-L 2011 for guarantee amt</t>
  </si>
  <si>
    <t>ZfA: Respond to ZK01 query "Hans-Peter" with "Hans Peter"</t>
  </si>
  <si>
    <t>Indirect valuation: Error in module DOZUL w/ variant A</t>
  </si>
  <si>
    <t>RPIPSR00: Incorrect warning message for infotype 509</t>
  </si>
  <si>
    <t>Pension recipient statistics on January 01, 2012</t>
  </si>
  <si>
    <t>Termin. of ind. valn in SPS "Recurring Payts &amp; Deductions"</t>
  </si>
  <si>
    <t>Program RPUDELPN terminates during import of physical docs</t>
  </si>
  <si>
    <t>Incl. fctr sec. 5 para. 1 w/ uppr limit sec. 53 para. 2 no 1</t>
  </si>
  <si>
    <t>Pension pay increase identified as reduction</t>
  </si>
  <si>
    <t>Error when capping study times</t>
  </si>
  <si>
    <t>Public sec. EEs from former East Germany and transitionl law</t>
  </si>
  <si>
    <t>Proportional family reduction: No automatic calculation</t>
  </si>
  <si>
    <t>Treaty on the sharing of pension costs (7)</t>
  </si>
  <si>
    <t>Display of net present value section 58 BeamtVG in statement</t>
  </si>
  <si>
    <t>Public Services regulation for soldiers: Enhancements I</t>
  </si>
  <si>
    <t>DNeuG: Checking employment periods for pension pay reduction</t>
  </si>
  <si>
    <t>Special age limit check not only for Pub. Serv. reg. Hessen</t>
  </si>
  <si>
    <t>Validation for NIF/NIE does not generate error in IT0021</t>
  </si>
  <si>
    <t>Changes in the NIE/NIF validation</t>
  </si>
  <si>
    <t>Prorrate: Create/Update/Delete register /34C in IT 0015</t>
  </si>
  <si>
    <t>Contrat@ - new contract schemas of Royal Decree-Law 1/2011</t>
  </si>
  <si>
    <t>Multiple Employment not working properly with VNDs</t>
  </si>
  <si>
    <t>IRPF: RPIGA0E0 not considering the Ren Irregular(18,3) value</t>
  </si>
  <si>
    <t>RPC190E0: Issues in retroactive Legal Person changes</t>
  </si>
  <si>
    <t>TC: Missing worked days of part-time employee textile sector</t>
  </si>
  <si>
    <t>TC: Issue compensating BA20, BA21 and BA22 segments</t>
  </si>
  <si>
    <t>CALC: Changes in Surcharge of 36%</t>
  </si>
  <si>
    <t>Textile sector and Research bonifications issues</t>
  </si>
  <si>
    <t>TC: Advanced period in A76 liquidations</t>
  </si>
  <si>
    <t>IRPF: IGA generates a cut after 1/10 regularization</t>
  </si>
  <si>
    <t>BRD for fijos discontinuos</t>
  </si>
  <si>
    <t>TC: Error in A76 with retroactive differences</t>
  </si>
  <si>
    <t>CALC: Negative contribution base in VND collision and split</t>
  </si>
  <si>
    <t>Determining workable days for temporary incapacity (IT)</t>
  </si>
  <si>
    <t>TC: Error in contribution calculation of EDTCA50</t>
  </si>
  <si>
    <t>Issue distributing bonification with HOCON = 100 and VND</t>
  </si>
  <si>
    <t>TC: Issue with next month treatment and split</t>
  </si>
  <si>
    <t>TC: Issue with retroactive run without previous payroll</t>
  </si>
  <si>
    <t>Bonification 49,15% missing for contract 109</t>
  </si>
  <si>
    <t>Synchronization issue in include RPC19ME0 in release 6.04</t>
  </si>
  <si>
    <t>SAP Query using old CNO-94 instead of the new CNO-2011</t>
  </si>
  <si>
    <t>TC: Issue with number of worked days in complementary</t>
  </si>
  <si>
    <t>Garnishment: missing check on IBAN flag for IT0887</t>
  </si>
  <si>
    <t>Bonification Missing: EUR 125 - Violencia de GÃ©nero</t>
  </si>
  <si>
    <t>IRPF2011: Limit of 120000,00 EUR for irregular incomes(18.2)</t>
  </si>
  <si>
    <t>TC: L04 with CD01 and CD03 in same DAT without basis</t>
  </si>
  <si>
    <t>190: Dump in Deductions Certificate through PDF form</t>
  </si>
  <si>
    <t>[ES] New General Ledger for Spain</t>
  </si>
  <si>
    <t>TC: Issue after applying SAP note 1579262</t>
  </si>
  <si>
    <t>Finland: New G/L enablement for HCM (Payroll) localization</t>
  </si>
  <si>
    <t>Legal change :New KELA form (Y17 12/10)</t>
  </si>
  <si>
    <t>FITAX-Reset Tax for Normal Run followed by Retro Run.</t>
  </si>
  <si>
    <t>HFILAAI0:Earning is not correct based on risk group</t>
  </si>
  <si>
    <t>DADS-U: S45.G05.15.002.001 / S45.G05.20</t>
  </si>
  <si>
    <t>DUCS EDI: Incorrect headcount in COT lines</t>
  </si>
  <si>
    <t>FCRE: incorrect OCRT leads to incorrect reintegration</t>
  </si>
  <si>
    <t>ISO/IEC 8859-1 output character compliance in french reports</t>
  </si>
  <si>
    <t>Garnishments: IJSS not taken into account in /S00</t>
  </si>
  <si>
    <t>No common threshold A for all CSG, resp. CRDS, contributions</t>
  </si>
  <si>
    <t>Disregard of seniority evolution for entitlement calculation</t>
  </si>
  <si>
    <t>RPLCOTF2: Incorrect basis sum if 'Work Contract' is showed</t>
  </si>
  <si>
    <t>TNM - Usage of international objects</t>
  </si>
  <si>
    <t>Documentation of Data element TPART_D in Infotype 0064</t>
  </si>
  <si>
    <t>2483 Declaration: Link to view V_T5F42 added</t>
  </si>
  <si>
    <t>N4DS: Relevant Master Data in cluster (overlapping)</t>
  </si>
  <si>
    <t>PY-FR: BADI HRPAYFR_PAR misses MOPAR in method CHANGE_MODIFI</t>
  </si>
  <si>
    <t>Report RPUTCUG0 doesn't work with GLEMP</t>
  </si>
  <si>
    <t>Update Manager Changes</t>
  </si>
  <si>
    <t>Incorrect LGPS proration during mid period rate change</t>
  </si>
  <si>
    <t>Absence Overview report - issue with output &amp; enhancement</t>
  </si>
  <si>
    <t>Incorrect NI calculation for a late leaver</t>
  </si>
  <si>
    <t>Absence payments</t>
  </si>
  <si>
    <t>HRGB: Stringer (Annual Leave during SxP absences)</t>
  </si>
  <si>
    <t>Correction to Note no 1578510 (RPLABSG0_ABSENCE_OVERVIEW).</t>
  </si>
  <si>
    <t>HRGB: GBSXP: ASPP Part Week Payment Error</t>
  </si>
  <si>
    <t>PY-GB-NT-GR</t>
  </si>
  <si>
    <t>Court Orders</t>
  </si>
  <si>
    <t>Issue with Student Loan calculations during MPT scenarios</t>
  </si>
  <si>
    <t>Introduction of Security Payments effective from 06.04.2011</t>
  </si>
  <si>
    <t>Negative Cumulative values in table PENS</t>
  </si>
  <si>
    <t>It0442, TT &amp; Door Plan and CO2 field  Issue</t>
  </si>
  <si>
    <t>Leaver report processing employees with p45 already issued</t>
  </si>
  <si>
    <t>Changes to Pension report selection screen</t>
  </si>
  <si>
    <t>Payroll Hongkong: Localization for New General Ledger</t>
  </si>
  <si>
    <t>Document Enhanced for IR56B, IR56E, IR56G, and IR56F Reports</t>
  </si>
  <si>
    <t>Cannot show rental amount in IR56B tax form</t>
  </si>
  <si>
    <t>HK Statutory Minimum Wage Ordinance 2011 - Phase 2</t>
  </si>
  <si>
    <t>PY-ID New G/L</t>
  </si>
  <si>
    <t>ALV output for P35 V7 as part of Legal change 2011.</t>
  </si>
  <si>
    <t>PY-IE(2011) Pension Issue when /AP3 /ZP3 Wage Type exists.</t>
  </si>
  <si>
    <t>Supplementary USC Cert issued during late pay'ts(across yr)</t>
  </si>
  <si>
    <t>PY-IE End-of-Employment PRD selection screen fields enhanced</t>
  </si>
  <si>
    <t>Correction Note to resolve some issues of NOTE 1556697.</t>
  </si>
  <si>
    <t>Company name is completely not displayed on Form 16</t>
  </si>
  <si>
    <t>Multiple claims disbursed for employee through HINCREMP</t>
  </si>
  <si>
    <t>HINCEPF1: Display issues in PDF format for Form 3A</t>
  </si>
  <si>
    <t>HINCALC0:MP PTAX calculation inconsistent for terminated emp</t>
  </si>
  <si>
    <t>HINCF160:Inconsistency during TAN based reporting for emp.</t>
  </si>
  <si>
    <t>MP professional tax calculated incorrectly incase of splits</t>
  </si>
  <si>
    <t>HINUCMAP: Challan details not getting selected while mapping</t>
  </si>
  <si>
    <t>Exceptions missing for Customer exit 'EXIT_HINCALC0_007'</t>
  </si>
  <si>
    <t>Previous Exemptions not getting calculated consistently</t>
  </si>
  <si>
    <t>Budget Changes 2011</t>
  </si>
  <si>
    <t>HINCEDT0: Hiring date not displayed consistently on payslip</t>
  </si>
  <si>
    <t>HINCPTX0: Run date displayed inconsistently in SAP script</t>
  </si>
  <si>
    <t>Subscriber details displayed inconsistently for Form12A</t>
  </si>
  <si>
    <t>PF cont. not added to /3F6 incase of nominal basis method</t>
  </si>
  <si>
    <t>Report text 'INR' in legal forms instead of text 'Rs'</t>
  </si>
  <si>
    <t>HINCREMS:Reimbursements display inconsistent in ALGRP change</t>
  </si>
  <si>
    <t>Salary and tax details(Form 24Q) not reporting terminated EE</t>
  </si>
  <si>
    <t>Form 16 issues related to perquisite on page 1 and Form 12BA</t>
  </si>
  <si>
    <t>HINUCMAP:Serial No. for challans not displayed consistently</t>
  </si>
  <si>
    <t>Form 16 issue related to Employer address, tax ded details</t>
  </si>
  <si>
    <t>HINCLAC0: Ptax not geting calculated consistently for MP</t>
  </si>
  <si>
    <t>HINCF160:Tax details on Page1 are displayed inconsistent</t>
  </si>
  <si>
    <t>HINCALC0: PTax deductions getting refunded for inactive emp.</t>
  </si>
  <si>
    <t>Layout corrections for form 16</t>
  </si>
  <si>
    <t>HINCF24Q: Changes related to Form 24Q for Sec 80CCF for Q4</t>
  </si>
  <si>
    <t>Section 80CCD amount reported incorrectly on Form 16</t>
  </si>
  <si>
    <t>Salary and tax details inconsistent for COCD change on F24Q</t>
  </si>
  <si>
    <t>Form 16 and Form 12BA layout correction</t>
  </si>
  <si>
    <t>Form24Q picking data incorrectly for paydate in next period</t>
  </si>
  <si>
    <t>Form 24Q e-file displays error while validation</t>
  </si>
  <si>
    <t>E-file not getting generated consistently for Form 24Q</t>
  </si>
  <si>
    <t>BAdI 'HR_IN_PTX_REG' to change PTax details while reporting</t>
  </si>
  <si>
    <t>Form 16 issues related to Section 80C and Section 80CCC</t>
  </si>
  <si>
    <t>Ptax calculations inconsistent in splits for terminated emp</t>
  </si>
  <si>
    <t>Digitally signed Form 16 mailed to incorrect email id</t>
  </si>
  <si>
    <t>Form 16 and Form 12BA related issues</t>
  </si>
  <si>
    <t>Enabling New General Ledger functionality for India</t>
  </si>
  <si>
    <t>Form 16 layout in PDF displays designation incompletely</t>
  </si>
  <si>
    <t>HR-IT: Syntax Errors in Report RPCEUDI0 (Incl RPCEUDI9)</t>
  </si>
  <si>
    <t>HR-IT: CUD 2011 correction package V</t>
  </si>
  <si>
    <t>HR-IT: F24 - "filiale azienda" section INPS cococo</t>
  </si>
  <si>
    <t>HR-IT: UniEmens V 1.2</t>
  </si>
  <si>
    <t>HR-IT: 730/2011</t>
  </si>
  <si>
    <t>HR-IT: New General Ledger for Payroll Italy</t>
  </si>
  <si>
    <t>This is created for some specific correction no-need note</t>
  </si>
  <si>
    <t>LC2010 Tax System Revision Phase 3: Paper Reports Related</t>
  </si>
  <si>
    <t>Incorrect Selection Screen Behaviors for Wage Ledger Japan</t>
  </si>
  <si>
    <t>Texts displayed in release 604 different from release 600</t>
  </si>
  <si>
    <t>IT3204: Allowance Deduction Amount is Not Read Correctly</t>
  </si>
  <si>
    <t>RPCRTSJ0: Address on submission date is improper</t>
  </si>
  <si>
    <t>Split Assignments Not Cleared for /128 during Net Retro</t>
  </si>
  <si>
    <t>[EHP4 CI] Decoupling Reh. Following Ret. and Flex. Payroll</t>
  </si>
  <si>
    <t>Custom Form Names Not Used in Output: RPCSICJ0 and RPCSIEJ0</t>
  </si>
  <si>
    <t>LC2011: Employment&amp;Workers Compensation Insurance Adjustment</t>
  </si>
  <si>
    <t>LC2011: Maximum Monthly Premium for National Pension</t>
  </si>
  <si>
    <t>Activate CRT Parameter for ADDWT Operation &amp; RFRSH Function</t>
  </si>
  <si>
    <t>PY-MX: Documentation for NPRNA and HLACTRM0</t>
  </si>
  <si>
    <t>PY-MX: Update of the table T7MX63 according to INEGI</t>
  </si>
  <si>
    <t>[MX] New General Ledger for Mexico</t>
  </si>
  <si>
    <t>CP38 amount incorrectly picked in PCB II</t>
  </si>
  <si>
    <t>New General Ledger for Malaysia</t>
  </si>
  <si>
    <t>PY-MY: EPF contribution for voluntary rates</t>
  </si>
  <si>
    <t>PY-MY : Incorrect arrears amount in CP8D download file</t>
  </si>
  <si>
    <t>PY-MY:Alignment error for employer tax number in CP22 form</t>
  </si>
  <si>
    <t>PY-MY: CP39A and CP22A format isssue</t>
  </si>
  <si>
    <t>PY-MY : Terminated employee has incorrect net payment</t>
  </si>
  <si>
    <t>Tabung Haji form does not display employer reference number</t>
  </si>
  <si>
    <t>RPCALCN0: Settlement of Wagetype 'Negative Surplus' (/476)</t>
  </si>
  <si>
    <t>WCR: Data maintenance in future IN periods</t>
  </si>
  <si>
    <t>RPCALCN0: Ann.Salary Calc.(/439) &amp; JUPER split in Corp.Group</t>
  </si>
  <si>
    <t>RPCALCN0: Commuter Traffic incorrect when gap in IT0127</t>
  </si>
  <si>
    <t>RPCWCRN0: Enter View Maintenance always with Overview Screen</t>
  </si>
  <si>
    <t>RPCNETN0: Update of indirectly evaluated wage types (IT0008)</t>
  </si>
  <si>
    <t>Annual Wage Return: Legal Changes for 2011</t>
  </si>
  <si>
    <t>WCR: Data maintenance in future IN periods (part 2)</t>
  </si>
  <si>
    <t>Aangifte LH &amp; WCR: Improvement Documentation of P_NL_LA06</t>
  </si>
  <si>
    <t>Localization of New GL for Netherlands - Customizing (Doc)</t>
  </si>
  <si>
    <t>Aangifte LH: Changes in Recognition of Corrections</t>
  </si>
  <si>
    <t>RPCALCN0: Basis Minimum Wage is calculat. for inactive empl.</t>
  </si>
  <si>
    <t>New statutory minimum wages as of July 1st, 2011</t>
  </si>
  <si>
    <t>Norway: New G/L enablement for HCM (Payroll) localization</t>
  </si>
  <si>
    <t>Corrections to ATS Reporting April 2011</t>
  </si>
  <si>
    <t>RPLGARV0: incorrect amounts in some cases</t>
  </si>
  <si>
    <t>Employment status check and handling negative amounts in SSB</t>
  </si>
  <si>
    <t>Legal Change - New Code for LTO 2011 : 927A and 927</t>
  </si>
  <si>
    <t>RPOVTMV0 displays employee no. but no employee name &amp; ID no.</t>
  </si>
  <si>
    <t>ATS: Selection screen changes to run ATS based on duration</t>
  </si>
  <si>
    <t>Education Grant:Contract Validity</t>
  </si>
  <si>
    <t>New General Ledger for Non Profit Organizations</t>
  </si>
  <si>
    <t>Change in format for education grant statistic output file</t>
  </si>
  <si>
    <t>Incorrect dependency allowance calculation</t>
  </si>
  <si>
    <t>Wrong Rental Subsidy Calculation based on arrival date at DS</t>
  </si>
  <si>
    <t>Usability aspects</t>
  </si>
  <si>
    <t>Enabling of New G/L for HR in New Zealand country version</t>
  </si>
  <si>
    <t>HNZLREM0 : Incorrect results during payroll area change</t>
  </si>
  <si>
    <t>PY NZ : Incorrect leave liability calculations</t>
  </si>
  <si>
    <t>PY-NZ : Incorrect tax for STC tax code in redundancy payment</t>
  </si>
  <si>
    <t>Cashup annual leave calculation &amp; rate display are incorrect</t>
  </si>
  <si>
    <t>PY-NZ - Missing customizing changes for wage type /406</t>
  </si>
  <si>
    <t>PY-NZ : Incorrect calculation for the cashup annual leave</t>
  </si>
  <si>
    <t>Incorrect display of finish date in the EMS exception report</t>
  </si>
  <si>
    <t>Incorrect leave liability calculation for multiple employees</t>
  </si>
  <si>
    <t>New General Ledger for Philippines</t>
  </si>
  <si>
    <t>PY-PH: Wrong tax using Projection method for multiple EE's</t>
  </si>
  <si>
    <t>Incorrect sorting in SS table in rule NUM with option PBAMT</t>
  </si>
  <si>
    <t>RPCSSRP0: General Corrections to Summary Sheet</t>
  </si>
  <si>
    <t>RPCSSRP0: Additional Corrections</t>
  </si>
  <si>
    <t>Single Report: missing eval class 12 values for attachment A</t>
  </si>
  <si>
    <t>Single Report: new leave codes for attachment B version 2010</t>
  </si>
  <si>
    <t>PTX00: error calculating taxes for category B</t>
  </si>
  <si>
    <t>Single Report: further corrections for 2010 version</t>
  </si>
  <si>
    <t>HR-PT:New Voluntary Social Insurance SSV</t>
  </si>
  <si>
    <t>New General Ledger (GL) for Portugal</t>
  </si>
  <si>
    <t>Single Report: wrong header data in XML of attachmend D</t>
  </si>
  <si>
    <t>Single Report: reason for remuneration difference not filled</t>
  </si>
  <si>
    <t>New and changed documentation for Payroll Portugal</t>
  </si>
  <si>
    <t>Single Report: wrong absence code in attachment 0</t>
  </si>
  <si>
    <t>Single Report: Correction on schemaLocation for Attachment E</t>
  </si>
  <si>
    <t>Single Report: additional parameter in BAdI of attachment 0</t>
  </si>
  <si>
    <t>Social Balance PS: General corrections 3</t>
  </si>
  <si>
    <t>Incorrect calculation of averages in regular after off-cycle</t>
  </si>
  <si>
    <t>Sweden: New G/L enablement for HCM (Payroll) localization</t>
  </si>
  <si>
    <t>Incorrect calculation of Absences in payroll Function SNAB</t>
  </si>
  <si>
    <t>RPLAMFS0: BC Start Date and End Date not displayed in output</t>
  </si>
  <si>
    <t>RPLSPPS2-Retro calculations for previous Juper not included</t>
  </si>
  <si>
    <t>RPLSPPS2- Dept1 all employees report absence percentage</t>
  </si>
  <si>
    <t>The VACS table is not generated correctly in Payroll</t>
  </si>
  <si>
    <t>RPLSPPS2: Alecta Report Legal Changes and Column H29</t>
  </si>
  <si>
    <t>RPLAMFS0-Corrections to Summary and Individual report issues</t>
  </si>
  <si>
    <t>Enabling New GL functionality: Localization for SG payroll</t>
  </si>
  <si>
    <t>Pension Papers : Length of Service in CP86 pension scheme</t>
  </si>
  <si>
    <t>PY-SG-PS: Death paper smart form issues.</t>
  </si>
  <si>
    <t>PY-SG-PS: CPF Refund smart form issues.</t>
  </si>
  <si>
    <t>PY-SG-PS: formatting issues in pension papers smartform</t>
  </si>
  <si>
    <t>PY-SG-PS: formatting issues in pension papers report</t>
  </si>
  <si>
    <t>SS summary report not generated for Bi-weekly employee</t>
  </si>
  <si>
    <t>PY-TH New G/L</t>
  </si>
  <si>
    <t>Employee with no payroll result being picked</t>
  </si>
  <si>
    <t>PY-TH: Incorrect amounts displayed in SOCSO detailed report</t>
  </si>
  <si>
    <t>Payroll Taiwan: Localization for New General Ledger</t>
  </si>
  <si>
    <t>HTWLHIJ0: Runtime Error if Personal ID Is Alphanumeric</t>
  </si>
  <si>
    <t>Delimit NHI Regional Person Contribution (NHFRI)</t>
  </si>
  <si>
    <t>PAY: Large amounts cause Payroll Driver dump.</t>
  </si>
  <si>
    <t>BSI 9.0:Test program wrongly calculating tax for FED/State.</t>
  </si>
  <si>
    <t>TUB 199 &amp; TUB 022: Tax type 89 introduced for Minnesota</t>
  </si>
  <si>
    <t>PY: Pennsylvania ACT 32 Reciprocal Formula</t>
  </si>
  <si>
    <t>GRN: RPCPL3U0 retrieves entries from IT0194 incorrectly.</t>
  </si>
  <si>
    <t>PS: Absence donation (IT0613) field grouping issue</t>
  </si>
  <si>
    <t>New conversion rule for remuneration statement</t>
  </si>
  <si>
    <t>CCR: WBS element not showing properly in downloaded file</t>
  </si>
  <si>
    <t>3PR: BCD field conversion error.</t>
  </si>
  <si>
    <t>3PR: Incorrect calculation in RPURMP00 for $100,000 rule</t>
  </si>
  <si>
    <t>3PR: Write program (HR3PR_REM_WRI) archives wrong entries.</t>
  </si>
  <si>
    <t>3PR: RPURME00 does not process payroll periods in test mode.</t>
  </si>
  <si>
    <t>3PR: Check numbers missing in Garnishment History report.</t>
  </si>
  <si>
    <t>3PR:FCH8 check cancellation not updating Remittance Status</t>
  </si>
  <si>
    <t>TR: Decimal points in Excel magnetic media for WY</t>
  </si>
  <si>
    <t>TR: Error messages in Configuration Checker</t>
  </si>
  <si>
    <t>TAX: Payroll dumps when making large payment to employee.</t>
  </si>
  <si>
    <t>CE:Taxes incorrect when EE had claim in previous period.</t>
  </si>
  <si>
    <t>TAX: Tax not taken WT's are generated with incorrect amount.</t>
  </si>
  <si>
    <t>TAX: Rounding issue for Number (ANZHL) field in XDFRT table.</t>
  </si>
  <si>
    <t>[VE] New General Ledger for Venezuela</t>
  </si>
  <si>
    <t>PU01: Hardcoded Payroll Driver program to check TR results.</t>
  </si>
  <si>
    <t>Translations of HR Payroll Function PAIT missing</t>
  </si>
  <si>
    <t>Enhanced wage type check in the infotype 2010</t>
  </si>
  <si>
    <t>PY-XX: Pension Plan contributions missing in Hiring month</t>
  </si>
  <si>
    <t>Infotype 0128: no icon and text for button "Maintain Text"</t>
  </si>
  <si>
    <t>Company Car:Enhancement to table Pollution Category (T51CET)</t>
  </si>
  <si>
    <t>Error message SG105: Enter rate EUR / USD rate type M</t>
  </si>
  <si>
    <t>IT0009: Incorrect amount &amp; currency in BT due to conversion</t>
  </si>
  <si>
    <t>Shrt dmp OBJECTS_OBJREF_NOT_ASSIGNED during call of RPCALCx0</t>
  </si>
  <si>
    <t>Report H99CWTR0 displays an incorrect amount</t>
  </si>
  <si>
    <t>Payroll: No entry in table T569V for argument 99 01</t>
  </si>
  <si>
    <t>FM HR_FILTER_CUMUL_FIXED_DAY performance improvement</t>
  </si>
  <si>
    <t>Feature ADDRS is not read from pre-DME</t>
  </si>
  <si>
    <t>RPCIPE01: Provide cost planning</t>
  </si>
  <si>
    <t>RPCIPE00: Incrr accnt assgnmnt during pstng to orignl period</t>
  </si>
  <si>
    <t>RPCIPE00: Simulation of payroll with CE</t>
  </si>
  <si>
    <t>RPCIPE01/OCWB: Dump SAPSQL_ARRAY_INSERT_DUPREC</t>
  </si>
  <si>
    <t>RPCIPE00: Log not displayed for rejected personnel numbers</t>
  </si>
  <si>
    <t>RPCIPE00: Provide Cost Planning - Log</t>
  </si>
  <si>
    <t>Run type ER: Posting employer contribution SI (Romania)</t>
  </si>
  <si>
    <t>Performance improvements in class CL_HRPAY99_POSTING_ENGINE</t>
  </si>
  <si>
    <t>RPCIPE01: Update of PCALAC in case of void</t>
  </si>
  <si>
    <t>RPCIPE01/CE: Provide cost planning</t>
  </si>
  <si>
    <t>RPCIPE00: Clearing line due to posting balance in RA chain</t>
  </si>
  <si>
    <t>RPCIPE00 Performance problems for many errors II</t>
  </si>
  <si>
    <t>RPCIPE00: Table C1 not available in user exit during RA</t>
  </si>
  <si>
    <t>PY-XX-DT-PM</t>
  </si>
  <si>
    <t>Posting payments</t>
  </si>
  <si>
    <t>H99_POST_PAYMENT: Posting a reversal of the payment</t>
  </si>
  <si>
    <t>RPCEDTx0: reading Infotype 0041 in case of acc. split</t>
  </si>
  <si>
    <t>Payroll Journal not picking up the right amount in Reversal</t>
  </si>
  <si>
    <t>Short Dump in Wage Type Reporter with Master Cost Center</t>
  </si>
  <si>
    <t>Potential directory traversal in utility report RPUOTFL0</t>
  </si>
  <si>
    <t>Fast entry: Field "Reason for change" is missing in IT0267</t>
  </si>
  <si>
    <t>Offcycle Reversal type incorrectly determined by the system.</t>
  </si>
  <si>
    <t>Error HRPAY99LOAN065 when viewing infotype 0045</t>
  </si>
  <si>
    <t>Error in currency conversion of IT0045 (loan) during payroll</t>
  </si>
  <si>
    <t>Rounding in payroll function SPC</t>
  </si>
  <si>
    <t>Special payment: Dump if entry is moved</t>
  </si>
  <si>
    <t>HR Attributes: Only first attribute value returned</t>
  </si>
  <si>
    <t>Dump (runtime error) in view: "V_T596M" due to missing entry</t>
  </si>
  <si>
    <t>Form Output Table Framework - Output options for Smartforms</t>
  </si>
  <si>
    <t>Error message in IT3270 IT3271 does not display wage type</t>
  </si>
  <si>
    <t>API for querying and manipulating DAQ generated data</t>
  </si>
  <si>
    <t>Views of function group HR99S00_VIMOB not time dependant</t>
  </si>
  <si>
    <t>PY-XX-RS: Wrong currency format in HLACTRM0 output for Chile</t>
  </si>
  <si>
    <t>Default package interface for package HRGXX</t>
  </si>
  <si>
    <t>Transaction HR99S00_TEMSE_VIEWER includes SM30 for S_TCODE</t>
  </si>
  <si>
    <t>Status Handler Viewer: Redefinition of DELETE function</t>
  </si>
  <si>
    <t>Proxies in SWC SAP_HR: Package changes of DDIC objects</t>
  </si>
  <si>
    <t>HR Attribute June 2011</t>
  </si>
  <si>
    <t>Inconsistencies in HR Application Log between version</t>
  </si>
  <si>
    <t>Wagetype Copier does not copy tables T5DRA and T5DWW</t>
  </si>
  <si>
    <t>Error message "wrong handle" issued in report RPCPL2D0</t>
  </si>
  <si>
    <t>PE04 / FUXCALL: 'Object can only be created in SAP package'</t>
  </si>
  <si>
    <t>Wagetype Copier does not copy tables T5D45</t>
  </si>
  <si>
    <t>Val.Bas wagetypes are incorrectly copied by Wagetype Copier</t>
  </si>
  <si>
    <t>SARS Code 4493 - Employers medical aid contributions</t>
  </si>
  <si>
    <t>Email Address not printing on the UIF report</t>
  </si>
  <si>
    <t>Incorrect Medical Aid Contribution</t>
  </si>
  <si>
    <t>New General Ledger for South Africa</t>
  </si>
  <si>
    <t>RPBLKEW0 - Upload Income Tax Reference Number</t>
  </si>
  <si>
    <t>SRD</t>
  </si>
  <si>
    <t>SRD-HR</t>
  </si>
  <si>
    <t>SRD-HR-PAD</t>
  </si>
  <si>
    <t>SRD-HR-PAD-US</t>
  </si>
  <si>
    <t>AIO: All In One Best Practices Migration for Data Services</t>
  </si>
  <si>
    <t>XX-TRANSL-EN</t>
  </si>
  <si>
    <t>Translation EN</t>
  </si>
  <si>
    <t>Correction of translation of '&lt;ENGLISH TEXT&gt;'</t>
  </si>
  <si>
    <t>Translation JA</t>
  </si>
  <si>
    <t>Correction of translation of 'List'</t>
  </si>
  <si>
    <t>SAPKE60436</t>
  </si>
  <si>
    <t>Extractor 0TRAINING_HIER not fetching objects 'EK'</t>
  </si>
  <si>
    <t>0HAP_VB_TEXT: Runtime error TABLE_INVALID_INDEX</t>
  </si>
  <si>
    <t>Cross-Application Components</t>
  </si>
  <si>
    <t>CA-GTF</t>
  </si>
  <si>
    <t>General Application Functions</t>
  </si>
  <si>
    <t>CA-GTF-DRT</t>
  </si>
  <si>
    <t>Data Retention Tool</t>
  </si>
  <si>
    <t>FTW1A: Not all Travel Master data are extracted</t>
  </si>
  <si>
    <t>CA-TS</t>
  </si>
  <si>
    <t>Time Sheet</t>
  </si>
  <si>
    <t>CA-TS-IA</t>
  </si>
  <si>
    <t>Internet Applications</t>
  </si>
  <si>
    <t>CA-TS-IA-XS</t>
  </si>
  <si>
    <t>Self Services Web Dynpro</t>
  </si>
  <si>
    <t>Dump while saving timesheet data</t>
  </si>
  <si>
    <t>Travel management for Poland,Russia and Ukraine in rel. EhP5</t>
  </si>
  <si>
    <t>FITV_UI_EMPLOYEELIST: Error messages not displayed</t>
  </si>
  <si>
    <t>WEB: Country/Region value not in the list of valid entries</t>
  </si>
  <si>
    <t>WEB: Dump STRING_LENGTH_TOO_LARGE in milage view</t>
  </si>
  <si>
    <t>Web: EES Mileage input field enable but trip segments active</t>
  </si>
  <si>
    <t>Travel request estimated costs are not displayed</t>
  </si>
  <si>
    <t>NO: Legal change to travel expenses January 01, 2011</t>
  </si>
  <si>
    <t>PR05/Web: Internal entertainment participants + authorizatns</t>
  </si>
  <si>
    <t>WD ABAP: Official Business tab visible in accessibility mode</t>
  </si>
  <si>
    <t>RPRTAX_FINLAND: trip reported to wrong tax reference number</t>
  </si>
  <si>
    <t>PR05: Wrong default cost assignment object</t>
  </si>
  <si>
    <t>Pre-/post-/overwrite exits are not processed</t>
  </si>
  <si>
    <t>WD ABAP: Dump after selecting 29th or 30th of June</t>
  </si>
  <si>
    <t>PRRW: Balance in transaction currency or incorrect postings</t>
  </si>
  <si>
    <t>WEB ABAP: receipt itemization fails with trip country/region</t>
  </si>
  <si>
    <t>Texts for internal orders</t>
  </si>
  <si>
    <t>Complete 24 hours ignored in case of times table</t>
  </si>
  <si>
    <t>NO: Bruspenger for stopovers with trip type: 'Private'</t>
  </si>
  <si>
    <t>RPRTEF00: Display of tax-exempt meals per diem</t>
  </si>
  <si>
    <t>Web: Tax jurisdiction code for negative document amounts</t>
  </si>
  <si>
    <t>Dump CONVT_NO_NUMBER for non-numeric country grouping</t>
  </si>
  <si>
    <t>Web: Error when deleting document</t>
  </si>
  <si>
    <t>PRRW: FF 747 during posting of posting run</t>
  </si>
  <si>
    <t>Scaling Amounts Report - new output</t>
  </si>
  <si>
    <t>FI-TV-COS-PS</t>
  </si>
  <si>
    <t>Travel Management Public Sector</t>
  </si>
  <si>
    <t>Genehmigung DZ mit paralleler DR:  Versteuerungsdatum falsch</t>
  </si>
  <si>
    <t>Beginnuhrzeit von 24:00 auf 00:00 gesetzt</t>
  </si>
  <si>
    <t>PS-DE: Incorrect statistical data for flat-rate tax</t>
  </si>
  <si>
    <t>Dienstantrittsreise: Ãœbernahme Ort und Versteuerung aus DZ</t>
  </si>
  <si>
    <t>PS DE: HinzurechnungsbetrÃ¤ge im Formular bei KÃ¼rzung</t>
  </si>
  <si>
    <t>FI-TV-PL</t>
  </si>
  <si>
    <t>Travel Planning</t>
  </si>
  <si>
    <t>Flight reservation error handling</t>
  </si>
  <si>
    <t>PDF Travel Request: Additional Destination w/ wrong order</t>
  </si>
  <si>
    <t>FI-TV-PL-AET</t>
  </si>
  <si>
    <t>Interface Amadeus e-Travel Management</t>
  </si>
  <si>
    <t>eTravel: External Approval Correction</t>
  </si>
  <si>
    <t>FI-TV-PL-SAB</t>
  </si>
  <si>
    <t>API Interface SABRE GetThere</t>
  </si>
  <si>
    <t>Wrong DDIC in interface for TP_GETTHERE_LOCATOR_READ_WS</t>
  </si>
  <si>
    <t>PA-AS</t>
  </si>
  <si>
    <t>HR Processes&amp;Forms</t>
  </si>
  <si>
    <t>Resizing problem in adobe form</t>
  </si>
  <si>
    <t>Annual Salary is displayed incorrect in employee profile</t>
  </si>
  <si>
    <t>HCM P&amp;F:Parameter for refreshing start process employee data</t>
  </si>
  <si>
    <t>DTT - Potential disclosure and modification of stored data</t>
  </si>
  <si>
    <t>Syntax error when creating a new form scenario version</t>
  </si>
  <si>
    <t>Minor performance improvements in the SAP_PA service</t>
  </si>
  <si>
    <t>0HR_PACP_1: Internal WBS element number is displayed</t>
  </si>
  <si>
    <t>Adopt Budget Data from Personnel Cost Planning</t>
  </si>
  <si>
    <t>Detail Planning: Cost Unit selection not possible</t>
  </si>
  <si>
    <t>Copy Detail Plan Changes: Dump when Release the Plan</t>
  </si>
  <si>
    <t>Check or post plan with quantities: Message BM 035 w/o unit</t>
  </si>
  <si>
    <t>Release Plan: Message KI222 for Cost Center in Future</t>
  </si>
  <si>
    <t>PA-EC</t>
  </si>
  <si>
    <t>Enterprise Compensation Management</t>
  </si>
  <si>
    <t>No transaction defined for report  RHECM_BUDGET_DELETE</t>
  </si>
  <si>
    <t>Unauthorized use of application functions in PA-EC</t>
  </si>
  <si>
    <t>PA-EC-AD</t>
  </si>
  <si>
    <t>Compensation Administration</t>
  </si>
  <si>
    <t>Budgets not read correctly in planning UI</t>
  </si>
  <si>
    <t>PA-EIC</t>
  </si>
  <si>
    <t>Employee Interaction Center</t>
  </si>
  <si>
    <t>EIC: Flexible Activity View</t>
  </si>
  <si>
    <t>HREIC:SLA misses upon creating an activity to "closed"</t>
  </si>
  <si>
    <t>Infotype 0101 - Defaulting of field 'Children at charge'</t>
  </si>
  <si>
    <t>Chinese Name Field Missing in a Scenario for China</t>
  </si>
  <si>
    <t>Runtime Error: TABLE_INVALID_INDEX</t>
  </si>
  <si>
    <t>ESS : No input help for Tax Office field in Spouse subtype</t>
  </si>
  <si>
    <t>HR-RU: 4-FSS Table 3 Wrong Amounts for Non-Residents</t>
  </si>
  <si>
    <t>RSV-1: uppercase organization name in XML</t>
  </si>
  <si>
    <t>PA-PA-SG: Additions to note 1564382 for ESS scenaios</t>
  </si>
  <si>
    <t>IT0210:EIC Status field no longer valid but still displayed.</t>
  </si>
  <si>
    <t>ESS: W-4 Tax Withholding Exemption Texts in ABAP WebDynpro</t>
  </si>
  <si>
    <t>Personnel Development</t>
  </si>
  <si>
    <t>Objective Setting and Appraisals</t>
  </si>
  <si>
    <t>PM: Organizational reassignment and team goals  (I)</t>
  </si>
  <si>
    <t>PM: Success message when changing a goal</t>
  </si>
  <si>
    <t>HAP_CALIBRATION: Refresh does not work</t>
  </si>
  <si>
    <t>PHAP_CATALOG: Preview for print layout</t>
  </si>
  <si>
    <t>Funds and Position Management</t>
  </si>
  <si>
    <t>Personnel Budget Plan Management</t>
  </si>
  <si>
    <t>HRPBCM: PERSK/PERSG inheritance in "Basic Data" tab page</t>
  </si>
  <si>
    <t>HRPBCM: Feldsteuerung im Popup Umbuchen</t>
  </si>
  <si>
    <t>PA-PM-CP</t>
  </si>
  <si>
    <t>Automatic Commitment/Budget Creation</t>
  </si>
  <si>
    <t>Difficulties when implementing Note 1406960</t>
  </si>
  <si>
    <t>RHRFPM_REQMAN determined incorrect financing requirement</t>
  </si>
  <si>
    <t>Runtime err CX_BADI_NOT_IMPLEMENTED when creating commitment</t>
  </si>
  <si>
    <t>BSP-Page Correction</t>
  </si>
  <si>
    <t>Negative and positive commitments for same acct assgmt II</t>
  </si>
  <si>
    <t>Cross Application Tools</t>
  </si>
  <si>
    <t>Financing rules: Inheritance of data</t>
  </si>
  <si>
    <t>PA-TM</t>
  </si>
  <si>
    <t>Talent Management</t>
  </si>
  <si>
    <t>TMS / Search: Indexing fails with HRTMC_REL_S_MANAGER</t>
  </si>
  <si>
    <t>Improvements for function module HRTMC_PERFORMANCE_UPDATE</t>
  </si>
  <si>
    <t>Talent search: Program termination in the result list</t>
  </si>
  <si>
    <t>TMC Suche: Termination of indexing of HRTMC_CENTRALPERSON</t>
  </si>
  <si>
    <t>Reasons for nomination/approval are not transferred</t>
  </si>
  <si>
    <t>TMC search: Delta indexing for former employees</t>
  </si>
  <si>
    <t>Extractor 0PA_TMC_7: Runtime problem</t>
  </si>
  <si>
    <t>Talent information: Displaying talent group assignment</t>
  </si>
  <si>
    <t>Unnecessary object locks when reading scale information</t>
  </si>
  <si>
    <t>No development plans displayed in talent profile overview</t>
  </si>
  <si>
    <t>TRM: Grid boxes misshaped with single point scale</t>
  </si>
  <si>
    <t>PE-LSO-LPO</t>
  </si>
  <si>
    <t>Learning Portal</t>
  </si>
  <si>
    <t>Admin portal: The customer specific extension does not work</t>
  </si>
  <si>
    <t>LSO: Report RHXVORM0_LSO, Input help on Object Selection</t>
  </si>
  <si>
    <t>Web-Based Training: "Pass" field is inconsistent in report</t>
  </si>
  <si>
    <t>Participation Statistics report for EK object type</t>
  </si>
  <si>
    <t>Course Administrator Portal: WBT is not followed up</t>
  </si>
  <si>
    <t>Training Admin- Course Price and costs - Time unit</t>
  </si>
  <si>
    <t>Code injection vulnerability in LSO_WIZ4_TEXT_VARIABLES</t>
  </si>
  <si>
    <t>Payment Summary: Message for negative amt in sub report, ETP</t>
  </si>
  <si>
    <t>Australia: EOY Legal Changes 2011/2012 - Part 2</t>
  </si>
  <si>
    <t>Payment Summary CE ESS Scenario</t>
  </si>
  <si>
    <t>Error in Q4 Cluster display program 'HAU_DISPLAY_PAYRESULT'</t>
  </si>
  <si>
    <t>Corrections provided for Term Org issue with IT0416</t>
  </si>
  <si>
    <t>ABAP Runtime Error for 'Error Local File' for the EEA Report</t>
  </si>
  <si>
    <t>Entgeltnachweis: Kleinere Korrekturen in HRForms-Formular</t>
  </si>
  <si>
    <t>DEUEV old occupational code: Conversion</t>
  </si>
  <si>
    <t>Incorrect CI include in structure HCMT_BSP_PA_DE_R0329</t>
  </si>
  <si>
    <t>Changes to IT0065 for 0T tax code</t>
  </si>
  <si>
    <t>Salary and tax projection statement Downport</t>
  </si>
  <si>
    <t>Korea ESS Address phone number field validation incorrect</t>
  </si>
  <si>
    <t>SPV Issue with reporting dates</t>
  </si>
  <si>
    <t>RPCNORS0_CE Temse file should not have blank lines</t>
  </si>
  <si>
    <t>SPV reporting issues field BeloppIapen and Anstallningsnumme</t>
  </si>
  <si>
    <t>PY-US-CE</t>
  </si>
  <si>
    <t>Concurrent Employment - Payroll USA</t>
  </si>
  <si>
    <t>CE: Error in payroll operation USUIH during sync-point.</t>
  </si>
  <si>
    <t>CE:Pre-DME not run when no results for a personnel assignmt</t>
  </si>
  <si>
    <t>SV</t>
  </si>
  <si>
    <t>Service</t>
  </si>
  <si>
    <t>SV-SMB</t>
  </si>
  <si>
    <t>SAP for small and midsize businesses</t>
  </si>
  <si>
    <t>SV-SMB-AIO</t>
  </si>
  <si>
    <t>SAP Business All-in-One Development</t>
  </si>
  <si>
    <t>SV-SMB-AIO-AET</t>
  </si>
  <si>
    <t>SAP All-in-One Enabling Technologies</t>
  </si>
  <si>
    <t>SV-SMB-AIO-AET-UIE</t>
  </si>
  <si>
    <t>UI Enhancement - Framework</t>
  </si>
  <si>
    <t>SAP Best Practices for UI Enhancement - further corrections</t>
  </si>
  <si>
    <t>SAPK-60514</t>
  </si>
  <si>
    <t>WD CATS: Consolidated note 2 for Time Recording and Approval</t>
  </si>
  <si>
    <t>Incorrect exception handling in Time Leveling functionality</t>
  </si>
  <si>
    <t>MSS delegation with relationship 904</t>
  </si>
  <si>
    <t>Personalization (settings) in OADP does not work</t>
  </si>
  <si>
    <t>Dump CONVT_NO_NUMBER in RPRTEC00 or PR05.</t>
  </si>
  <si>
    <t>WEB: Country/Region value not in the list of valid</t>
  </si>
  <si>
    <t>WEB ABAP: New Country region fields: additional corrections</t>
  </si>
  <si>
    <t>RPRTAX_FINLAND: Wrong number of per diems</t>
  </si>
  <si>
    <t>WD ABAP: Approval of trip success message disappears</t>
  </si>
  <si>
    <t>BAPI_TRIP_CREATE_FROM_DATA: Problems with overlap</t>
  </si>
  <si>
    <t>RPRCCC_READ_KR1025: Card types and expense categories</t>
  </si>
  <si>
    <t>NO: Names of passengers are required entries</t>
  </si>
  <si>
    <t>RPRCCC00 makes a lot of calls to CC encryption functions</t>
  </si>
  <si>
    <t>EES: Dump GETWA_NOT_ASSIGNED when starting the application</t>
  </si>
  <si>
    <t>WEB ABAP: Express Expense Sheet and TRIP_WEB_CUSTOMIZING</t>
  </si>
  <si>
    <t>Web: Cost center overwritten</t>
  </si>
  <si>
    <t>Mileage : vehicle type class not updated after detail (Web)</t>
  </si>
  <si>
    <t>Short dump when saving a trip</t>
  </si>
  <si>
    <t>WEB: Wrong error message after empty Tax Jurisdiction Code</t>
  </si>
  <si>
    <t>WEB: Country/Region not populated properly in itemization</t>
  </si>
  <si>
    <t>WEB: Default country for mileage not determined as in PR05</t>
  </si>
  <si>
    <t>Locking and unlocking the cluster transaction (payroll runs)</t>
  </si>
  <si>
    <t>Web: ENTER in dialog box for entering participants</t>
  </si>
  <si>
    <t>Authorization check when changing posted travel plan</t>
  </si>
  <si>
    <t>Missing tax jurisdiction code: Inconsistency with amount</t>
  </si>
  <si>
    <t>EES: Dump on the 29th or 30th of June</t>
  </si>
  <si>
    <t>Tooltip for roadmap steps in Floor Plan Manager</t>
  </si>
  <si>
    <t>NO: Per diem settlement, trip abroad, last travel day</t>
  </si>
  <si>
    <t>WD ABAP: Time entry is adjusted automatically</t>
  </si>
  <si>
    <t>TRIP: Company Code Change is not authorized but active</t>
  </si>
  <si>
    <t>KR1025: error raised when local amount is too high</t>
  </si>
  <si>
    <t>Web: Mileage details not saved if only one entry</t>
  </si>
  <si>
    <t>NO: Automatic calculation of 'FRI KOST' and 'Boligtypes'</t>
  </si>
  <si>
    <t>Falsche Behandlung von Mahlzeiten im Unterkunftsbeleg</t>
  </si>
  <si>
    <t>BRKG: Reiseunterbrechungen und Sachbezugsbelege</t>
  </si>
  <si>
    <t>RGV: DZ tÃ¤gl.Kehre: Meldung bei fehlenden Anwesenheiten</t>
  </si>
  <si>
    <t>Kleine Korrekturen</t>
  </si>
  <si>
    <t>PS-DE: Error: MESSAGE_TYPE_UNKNOWN during comparison calc.</t>
  </si>
  <si>
    <t>Web: Deletion of estimated costs does not delete receipt</t>
  </si>
  <si>
    <t>RGV DZ: falsches Dynpro bei Springen in Dienstantrittsreise</t>
  </si>
  <si>
    <t>Dienstantrittsreise: DatenÃ¼bernahme aus DZ: Verkettung</t>
  </si>
  <si>
    <t>Sicherheitsabfrage Navigation zu Periode nach Ã„nderung DZ</t>
  </si>
  <si>
    <t>NRW: Falscher Abzug vom Hotelbeleg im Ausland</t>
  </si>
  <si>
    <t>PS AT: Uhrzeit fÃ¼r AbzÃ¼ge im ESS</t>
  </si>
  <si>
    <t>'Begrenzung DZ-GebÃ¼hr auf 180-Tage' ausblenden</t>
  </si>
  <si>
    <t>PS-DE: Duplication of receipts</t>
  </si>
  <si>
    <t>DZ: Fehlende Reiter bei Dienstzuteilung</t>
  </si>
  <si>
    <t>TRIP: Required entry field "Street" is empty for travel req.</t>
  </si>
  <si>
    <t>Paid by company not taken into account for direct hotel</t>
  </si>
  <si>
    <t>GetThere: Synchronization Error</t>
  </si>
  <si>
    <t>WEB :Paid by company not taken into account for XI Hotel</t>
  </si>
  <si>
    <t>FI-TV-PL-AMA</t>
  </si>
  <si>
    <t>API Interface AMADEUS</t>
  </si>
  <si>
    <t>Best Price - No automatic ticket creation</t>
  </si>
  <si>
    <t>HCM P &amp; F: current comments missing descriptive name in DPF.</t>
  </si>
  <si>
    <t>DTT : Versioning of form scenarios clears value helps</t>
  </si>
  <si>
    <t>Value help does not work in Mass Start Of Process</t>
  </si>
  <si>
    <t>Invalid customizing errors not displayed - SAP_PD service</t>
  </si>
  <si>
    <t>Incorrect events due to HRASR_FORM_WINDOW control (EhP5)</t>
  </si>
  <si>
    <t>Infotype 0666: Error in currency decimal places</t>
  </si>
  <si>
    <t>Flexibility enhancements for the manager UIs</t>
  </si>
  <si>
    <t>Planning unit status missing in Planning UI</t>
  </si>
  <si>
    <t>Currency conversion error in planning UI</t>
  </si>
  <si>
    <t>PA-EC-BD</t>
  </si>
  <si>
    <t>Compensation Budgeting</t>
  </si>
  <si>
    <t>Dokumentation zu BADI HRECM00_BDG_EE nicht klar</t>
  </si>
  <si>
    <t>HREIC: Breadcrumb entry is lost</t>
  </si>
  <si>
    <t>HREIC BI extractor: 0PA_EIC_1 performance and load time</t>
  </si>
  <si>
    <t>CL_HRTNM_INFTY_1689_BL is missing</t>
  </si>
  <si>
    <t>ESS: Module Pool selection for YEA scenario</t>
  </si>
  <si>
    <t>HR-RU:CIA - Output of Several Cards in Single Adobe Form</t>
  </si>
  <si>
    <t>HR-RU: 4-FSS: Table 6 - Issues with Adobe Form and Content</t>
  </si>
  <si>
    <t>NWH: New Hire Report LC 2011</t>
  </si>
  <si>
    <t>ESS Java: W-4: Runtime Exception HRXSS_PER_P0210_SUB_US</t>
  </si>
  <si>
    <t>Follow-up processing in a database LUW</t>
  </si>
  <si>
    <t>Category of personnel appraisals cannot be created</t>
  </si>
  <si>
    <t>PMP: Objective assignment for individual objectives</t>
  </si>
  <si>
    <t>PMP: Evaluation scales repeated in TM configuration</t>
  </si>
  <si>
    <t>Completion deletes potential/performance entries</t>
  </si>
  <si>
    <t>Fehlermeldung "unerwarteter Zustand" bei Finanzierung</t>
  </si>
  <si>
    <t>HRPBC_BULIST, HRPBC_FINLIST: Empty fields in display</t>
  </si>
  <si>
    <t>Error message RE 154 for commitment creation</t>
  </si>
  <si>
    <t>Werte aus T5D7MN werden im Reporting nicht gezogen</t>
  </si>
  <si>
    <t>HRPBC_STRUC_VIEW does not respect parameter PCHISTAT</t>
  </si>
  <si>
    <t>TMC search: Search attributes missing in Succession Planning</t>
  </si>
  <si>
    <t>Status change for successor deletes reason</t>
  </si>
  <si>
    <t>Search in selection dialog for organizational units</t>
  </si>
  <si>
    <t>TMC search: Database locks when change pointers are created</t>
  </si>
  <si>
    <t>PDF document for talent grid in non-unicode systems</t>
  </si>
  <si>
    <t>SEARCH: Multivalue text generation (OrgUnit ID/Time Problem)</t>
  </si>
  <si>
    <t>Object translations not copied when creating a ET object</t>
  </si>
  <si>
    <t>LSO_PV15: Runtime error DBIF_RSQL_INVALID_RSQL</t>
  </si>
  <si>
    <t>Status not displayed in RHXBUCH0_LSO</t>
  </si>
  <si>
    <t>Pre-requisite check error when booking a pernnr</t>
  </si>
  <si>
    <t>Enhancement Spot, Section and Points for xLSO</t>
  </si>
  <si>
    <t>LSO_PV15: Pass field incorrectly set for external wbts</t>
  </si>
  <si>
    <t>[AR] The "Birth date" field is improperly set as mandatory</t>
  </si>
  <si>
    <t>Flood Levy on termination pay not on EE summary/pay details</t>
  </si>
  <si>
    <t>Payment Summary : Truncation issues for CE reports</t>
  </si>
  <si>
    <t>PASUM and MODIF tables get deleted after running RPCDTAQ0_CE</t>
  </si>
  <si>
    <t>Tax installment for the period(TAXIN) in pay.function QTXCE</t>
  </si>
  <si>
    <t>Directory Traversal in PY-AU-CE</t>
  </si>
  <si>
    <t>Missing changes in Note Number 1083002</t>
  </si>
  <si>
    <t>Short-Dump due to Arithmetic Overflow in Termination Org.</t>
  </si>
  <si>
    <t>CE master data: Incorr. grouping reason infotypes 36,38,977</t>
  </si>
  <si>
    <t>Payroll account: Additional wage types</t>
  </si>
  <si>
    <t>ESS Loan corrections</t>
  </si>
  <si>
    <t>India Loan ESS - Additional Checks BAdI error message</t>
  </si>
  <si>
    <t>ESS loan eligibility check correction</t>
  </si>
  <si>
    <t>HR-RU: Form "Individual Account Card" - CE version</t>
  </si>
  <si>
    <t>EA-HR: Change in the structure PRU_GARN_DOC</t>
  </si>
  <si>
    <t>REC: Off-Cycle runs not taken into account for accumulation</t>
  </si>
  <si>
    <t>PY-XX-HF</t>
  </si>
  <si>
    <t>HR Smart Forms</t>
  </si>
  <si>
    <t>HRFORMS-Enhancements</t>
  </si>
  <si>
    <t>XX-TRANSL-NL</t>
  </si>
  <si>
    <t>Translation into Dutch</t>
  </si>
  <si>
    <t>Correction of translation of 'Course Content Static'</t>
  </si>
  <si>
    <t>SAPK-60515</t>
  </si>
  <si>
    <t>LSO: BW extraction - Incorrect Course type dates retrived</t>
  </si>
  <si>
    <t>Score is not updated in extractor 0HR_LSO_1</t>
  </si>
  <si>
    <t>CA-MSS</t>
  </si>
  <si>
    <t>Manager Self-service</t>
  </si>
  <si>
    <t>CA-MSS-HCM</t>
  </si>
  <si>
    <t>Manager Self-service (HR)</t>
  </si>
  <si>
    <t>Performance Enhancement to Home Page - MSS Addon-On 1.0</t>
  </si>
  <si>
    <t>Performance improvement with respect to cProjects in CATS</t>
  </si>
  <si>
    <t>CATS WD: Dump if Attendance/Absence type is deactivated</t>
  </si>
  <si>
    <t>Serialization error while web service call due to time 24:00</t>
  </si>
  <si>
    <t>Field search help doesnot reflect default values</t>
  </si>
  <si>
    <t>CATS:Worklist table headers doesnot reflect period selection</t>
  </si>
  <si>
    <t>WD ABAP OADP: Support for image URLs</t>
  </si>
  <si>
    <t>Web: VAT Europe G/L Account of Company Code is not defined</t>
  </si>
  <si>
    <t>2)Web/WDA Completion &amp; Search Help Reason not based on PERNR</t>
  </si>
  <si>
    <t>Itemization: only one private expense type is considered</t>
  </si>
  <si>
    <t>PR05/TRIP: Transferring statuses from status screen</t>
  </si>
  <si>
    <t>ITS: Cannot select entry for vehicle class / vehicle type</t>
  </si>
  <si>
    <t>Message PG 602 also issued w/o integration in payroll acctg</t>
  </si>
  <si>
    <t>IT: Maximum rate validation for 'S' receipts with EUR 9,999</t>
  </si>
  <si>
    <t>Sales order Item description not shown in cost assignment.</t>
  </si>
  <si>
    <t>PR05: Error message persistent during display of PDF form</t>
  </si>
  <si>
    <t>EES: Data in USER goes missing</t>
  </si>
  <si>
    <t>Field 'street' hidden for additional destination</t>
  </si>
  <si>
    <t>NO: Warning 56 106 when creating passengers</t>
  </si>
  <si>
    <t>PR05: Button for results of travel request displayed</t>
  </si>
  <si>
    <t>Web: Default vals for domestic departure + return trip times</t>
  </si>
  <si>
    <t>PRCC: Terminated import cannot be repeated</t>
  </si>
  <si>
    <t>TG: Fehler beim Ã„ndern der Tatigkeit / Reiseart untern.spez.</t>
  </si>
  <si>
    <t>Anzeige der Dienstantritts- bzw. DienstrÃ¼ckreise aus TGANZ</t>
  </si>
  <si>
    <t>Trennungsgeld tÃ¤gl. RÃ¼ckkehr: Steuerfreibetrag falsch</t>
  </si>
  <si>
    <t>fehlende Versteuerung fÃ¼r WegstreckenentschÃ¤digung</t>
  </si>
  <si>
    <t>PS Bayern: VerpflegungsabzÃ¼ge und AbzÃ¼ge fÃ¼r Ãœbernachtung</t>
  </si>
  <si>
    <t>PS DE: Formular 'Einzelnachweis Ã–VM in Euro' nicht andrucken</t>
  </si>
  <si>
    <t>PS AT: Falsches Aktionsdatum bei Korrekturprog. (Verkettung)</t>
  </si>
  <si>
    <t>TGV: Nacht wird nicht im Trennungsreisegeld reduziert</t>
  </si>
  <si>
    <t>PS DE: Sachbezugsbeleg wird fÃ¤lschlicherweise erzeugt</t>
  </si>
  <si>
    <t>Flight reservation: booking classes not compatible</t>
  </si>
  <si>
    <t>Plan Address: Street field not visible after EHP5 upgrade</t>
  </si>
  <si>
    <t>dummy note to release objects</t>
  </si>
  <si>
    <t>FI-TV-PL-HTL</t>
  </si>
  <si>
    <t>XI Interface Hotel</t>
  </si>
  <si>
    <t>Web : Hotel XI guarantee by company credit card</t>
  </si>
  <si>
    <t>In-Correct Number of Initial Lines</t>
  </si>
  <si>
    <t>In-Correct display of process list in PD start application</t>
  </si>
  <si>
    <t>Work item 0000000XXXXX locked by user XXXXXX (enqueue error)</t>
  </si>
  <si>
    <t>Records in PD process are corrupted if PT structure is used</t>
  </si>
  <si>
    <t>HCM P&amp;F : Withdrawal of process does not work</t>
  </si>
  <si>
    <t>HCM P&amp;F: Wrong F4 values in WDA application on reselection</t>
  </si>
  <si>
    <t>Inconsistent clearing of memory area - EIC</t>
  </si>
  <si>
    <t>HCM Processes &amp; Forms - "Collision with another time entry"</t>
  </si>
  <si>
    <t>Employee Self-Service</t>
  </si>
  <si>
    <t>ESS:Adjustment reason permission not considered</t>
  </si>
  <si>
    <t>Cost item disappears in Detail Planning unintentionally</t>
  </si>
  <si>
    <t>Detail Planning: Error during Organizational Reassignment</t>
  </si>
  <si>
    <t>Detail Planning: Account Assignment View</t>
  </si>
  <si>
    <t>Extractor 0HR_PA_EC_14 under some conditions does not work</t>
  </si>
  <si>
    <t>Planning UI impedes submit with an error message</t>
  </si>
  <si>
    <t>More then one one budget structure for the same org unit</t>
  </si>
  <si>
    <t>Error creating budgets after reinstating terminated employee</t>
  </si>
  <si>
    <t>Adjust Compensation does not change values</t>
  </si>
  <si>
    <t>EIC Web Request - Text is not copied to the Activity Notes</t>
  </si>
  <si>
    <t>EIC SLA error message when resolving or closing an activity</t>
  </si>
  <si>
    <t>EIC Attachment does not open for https url.</t>
  </si>
  <si>
    <t>Incorrect inheritance for controlling area in Infotype 1008</t>
  </si>
  <si>
    <t>Activation of Enhancement Implementation TNM-LSO</t>
  </si>
  <si>
    <t>ESS Personal Information NL: Family Member/Dependents</t>
  </si>
  <si>
    <t>Postal code error message in screen 2019 of CE 0006 infotype</t>
  </si>
  <si>
    <t>HR-RU: 4-FSS Table 3 Wrong Amounts for Disabled Person</t>
  </si>
  <si>
    <t>HR-RU: Potential directory traversal</t>
  </si>
  <si>
    <t>IT0021 ESS: Female EE unable to modify spouse record</t>
  </si>
  <si>
    <t>Potential directory traversals in PA-PA-US</t>
  </si>
  <si>
    <t>PMP: Yes/no scales are not supported</t>
  </si>
  <si>
    <t>PMP: Manager: Part appraisal for previous documents</t>
  </si>
  <si>
    <t>Follow-up: Potential and performance not updated</t>
  </si>
  <si>
    <t>PMP: Calibration does not save changes</t>
  </si>
  <si>
    <t>PMP: Employee does not see part appraisals or notes</t>
  </si>
  <si>
    <t>HRPBCM: No display of file number or reason on tab page</t>
  </si>
  <si>
    <t>Various errors when creating budgeting rules</t>
  </si>
  <si>
    <t>Commitment processor: Activity 30 in auth object p_enctype</t>
  </si>
  <si>
    <t>Lock problems when creating commitments</t>
  </si>
  <si>
    <t>Posting fixed costs is ignored during commitment creation</t>
  </si>
  <si>
    <t>IT1514: Field FLGK2 not hidden</t>
  </si>
  <si>
    <t>PPOME/PPOSE: Termination CX_SY_PROVIDE_INTERVAL_OVERLAP</t>
  </si>
  <si>
    <t>Print Grid: Accessibility</t>
  </si>
  <si>
    <t>TMC search: Performance problems with large result set</t>
  </si>
  <si>
    <t>Talent profie overview: DIsplay of derailers</t>
  </si>
  <si>
    <t>Error correction in the report RPTMC_SET_KEY_INDICATION</t>
  </si>
  <si>
    <t>Development plan: No status for newly added trainings</t>
  </si>
  <si>
    <t>Talent assessment without error message during follow-up</t>
  </si>
  <si>
    <t>TM: Various corrections with regard to development plan</t>
  </si>
  <si>
    <t>Processing member - Search only in area of responsibility</t>
  </si>
  <si>
    <t>HRTMC_PPOM: Qualifications are not displayed correctly</t>
  </si>
  <si>
    <t>TRM: Comparison of agenda topic and support team</t>
  </si>
  <si>
    <t>Talent search is not initialized correctly</t>
  </si>
  <si>
    <t>Correspondence sent to incorrect participants when Rebook</t>
  </si>
  <si>
    <t>Participant list not displayed in correspondence</t>
  </si>
  <si>
    <t>PE-LSO-CP</t>
  </si>
  <si>
    <t>Content Player</t>
  </si>
  <si>
    <t>Performance problem while running scorm report</t>
  </si>
  <si>
    <t>PE-LSO-IPO</t>
  </si>
  <si>
    <t>Instructor and Tutor</t>
  </si>
  <si>
    <t>Location and Room name displayed are incorrect</t>
  </si>
  <si>
    <t>Admin portal : code refinement of LSO_RC_RESOURCE_HELP</t>
  </si>
  <si>
    <t>Multiple ET objects getting created when booking</t>
  </si>
  <si>
    <t>Incorrect search results in learning portal</t>
  </si>
  <si>
    <t>RHSCORM2004_LSO doesnt display the whole column value</t>
  </si>
  <si>
    <t>LSO - Incorrect WBT Content Displaying</t>
  </si>
  <si>
    <t>Unable to launch VLR training in LSO</t>
  </si>
  <si>
    <t>Follow up incorrectly enabled in course worklist</t>
  </si>
  <si>
    <t>Correspondence: Incorrect Form of Address</t>
  </si>
  <si>
    <t>Event creation/change resource selection performance issue</t>
  </si>
  <si>
    <t>Incorrect name of resource and location in learning portal</t>
  </si>
  <si>
    <t>Incorrect fee assignment for N.N. booking</t>
  </si>
  <si>
    <t>Incorrect course owner displayed in admin portal</t>
  </si>
  <si>
    <t>Incorrect resources are displayed in admin portal</t>
  </si>
  <si>
    <t>Incorrect authorization check for transaction LSO_PSVR</t>
  </si>
  <si>
    <t>Dump when assigning a resource or resource type</t>
  </si>
  <si>
    <t>LSO_PV11 - authorization error with create course</t>
  </si>
  <si>
    <t>Dump in view VI_SEARCH_HELP of component LSO_VC_SRCH_CATALOG</t>
  </si>
  <si>
    <t>Report RHUMBU00_LSO shows incorrect delivery method</t>
  </si>
  <si>
    <t>LSO Admin portal: Tabs does not work</t>
  </si>
  <si>
    <t>unable to book external web-based training</t>
  </si>
  <si>
    <t>'Participant Tab' spelling Error in transaction LSO_PSV1/2/3</t>
  </si>
  <si>
    <t>Error while loading LSO proxies in SPROXY.</t>
  </si>
  <si>
    <t>PE-LSO-TM-TC</t>
  </si>
  <si>
    <t>Course Catalogue</t>
  </si>
  <si>
    <t>LSO: BADI LSO_CHECK_BOOKING does not show warning messages</t>
  </si>
  <si>
    <t>PE-PR</t>
  </si>
  <si>
    <t>Training and Event Preparation</t>
  </si>
  <si>
    <t>PE-PR-RM</t>
  </si>
  <si>
    <t>Resource Management</t>
  </si>
  <si>
    <t>Resource reservation: Wrong display with split time</t>
  </si>
  <si>
    <t>Course program follow-up does not work</t>
  </si>
  <si>
    <t>Time Data Recording and Management</t>
  </si>
  <si>
    <t>User Interface</t>
  </si>
  <si>
    <t>PT-RC-UI-XS</t>
  </si>
  <si>
    <t>Dump in Create Leave Request scenario in Employee Calendar</t>
  </si>
  <si>
    <t>ESS: Diverse Korrekturen in Entkopplungsklassen</t>
  </si>
  <si>
    <t>WT /E11 duplicates in CRT for back payments across fin yr</t>
  </si>
  <si>
    <t>Leave request used for Brazilian specific requirements</t>
  </si>
  <si>
    <t>ESS: Various corrections in decoupling classes</t>
  </si>
  <si>
    <t>Issue with IT0065 tax basis</t>
  </si>
  <si>
    <t>Note 1439234 doesnot include changes for CE extension</t>
  </si>
  <si>
    <t>To correct accessibility issues in Tax Simplifier Statement</t>
  </si>
  <si>
    <t>HR-RU:CIA - Wrong Values in Over-Limit Fileds on Sev. Pages</t>
  </si>
  <si>
    <t>ESS: Minguo calandar issue ITY 0002</t>
  </si>
  <si>
    <t>REC: Regular Pays not taken into account for accumulation</t>
  </si>
  <si>
    <t>NWH: Hire date and Birth date for Nevada</t>
  </si>
  <si>
    <t>Reuse Services for Country Development</t>
  </si>
  <si>
    <t>Infotype 3228</t>
  </si>
  <si>
    <t>Translation from German into English</t>
  </si>
  <si>
    <t>Correction of Spelling of 'Cancelation Price/Currency'</t>
  </si>
  <si>
    <t>SAPK-60516</t>
  </si>
  <si>
    <t>Payroll extractor cannot determine country grouping</t>
  </si>
  <si>
    <t>Compilation error with CL_HRWPC_SEARCH_VIA_SELID=====CP</t>
  </si>
  <si>
    <t>Neue Altersgrenze fÃ¼r Befreiung AV ab 01.07.2011</t>
  </si>
  <si>
    <t>IT367 / ELDA / BVA: Grund 61 Abmeldung, Verprobung EBSV</t>
  </si>
  <si>
    <t>Customer Include missing in structures PS3270 &amp; PS3271</t>
  </si>
  <si>
    <t>Execution time for reports RPUCIDB0 &amp; RPUCIPB0 increases</t>
  </si>
  <si>
    <t>Field Registr.child_fund(BVAKA) to short on infotype 0101</t>
  </si>
  <si>
    <t>Report RPUPAV00 consolidation issue</t>
  </si>
  <si>
    <t>An Error About Search Help of Social Insur.Auth.Instn.Name</t>
  </si>
  <si>
    <t>Incorr. date for automatically generated leave compensation</t>
  </si>
  <si>
    <t>Information of employee-related data (PA data) (2)</t>
  </si>
  <si>
    <t>Overview screen: TN Icon color wrong if LSO-TNM is active</t>
  </si>
  <si>
    <t>Regulatory Compliance not updated when booking in DC/EC</t>
  </si>
  <si>
    <t>Dummy Note no need release</t>
  </si>
  <si>
    <t>LC2010 Tax System Revision Phase 3: EhP5 Forms</t>
  </si>
  <si>
    <t>IT3203 and IT3204: Total Allowance is not consistent</t>
  </si>
  <si>
    <t>HJPUCP_DTFTM: Employee who left company is in the result</t>
  </si>
  <si>
    <t>Incorrect behaviors on screens of IT0889 &amp; IT0890</t>
  </si>
  <si>
    <t>RPCEWGJ2: Characters Overlap in PDF Form HR_JP_EWGJ2</t>
  </si>
  <si>
    <t>IT3203: Total Amount Does Not Consider Deduction</t>
  </si>
  <si>
    <t>RPCSIIJ0: User Specified Payroll Area Not Read by Report</t>
  </si>
  <si>
    <t>New CPP codes: update 0337 infotype report (RPUCPPP0)</t>
  </si>
  <si>
    <t>ADSE: wrong amount calculation of unreimbursed treatments</t>
  </si>
  <si>
    <t>New CPP codes: corrections in report RPUCPPP0</t>
  </si>
  <si>
    <t>New DAQ function modules for T7RU9A reading</t>
  </si>
  <si>
    <t>PAY2: organization's address doesn't contain city name</t>
  </si>
  <si>
    <t>HR-RU: HRUCPL10 - truncated vendor's name and address</t>
  </si>
  <si>
    <t>IC type update w.e.f. July 01, 2011</t>
  </si>
  <si>
    <t>SG-MSS: Incorrect employee address in MSS profile</t>
  </si>
  <si>
    <t>SG-MSS: Additions to note 1593671</t>
  </si>
  <si>
    <t>Add Ethnic Group Field in Sub Type 01 of IT0185</t>
  </si>
  <si>
    <t>RBM: Data in module "Header" is displayed incorrectly</t>
  </si>
  <si>
    <t>RBM: Corrections/enhancements MZ01 (06/2011)</t>
  </si>
  <si>
    <t>RBM: Transfer status change incorrectly (error 0008)</t>
  </si>
  <si>
    <t>Pension rcpt notif.: Corrections/enhancements MZ01 (07/2011)</t>
  </si>
  <si>
    <t>Pension rcpt notif: Sts chg from corrected to transfer again</t>
  </si>
  <si>
    <t>Pens. rcpt notif: Displaying creation dte in notif. overview</t>
  </si>
  <si>
    <t>Prerequisites country-enhancement for substitutions</t>
  </si>
  <si>
    <t>Error in Note 1574313</t>
  </si>
  <si>
    <t>PT-TL</t>
  </si>
  <si>
    <t>HCM: Directory traversal in PT-TL</t>
  </si>
  <si>
    <t>New SAC provision and Variable incomes definition for ART</t>
  </si>
  <si>
    <t>PY-AR: Wagetypes /344 /346 not generating based on abs. type</t>
  </si>
  <si>
    <t>Einkommensbericht aufgrund Gleichbehandlungsgesetz</t>
  </si>
  <si>
    <t>Laufende HBG wird um 0,01 Ã¼berschritten</t>
  </si>
  <si>
    <t>ASV00: "keine SV-Tage vorhanden" wird nicht mehr generiert</t>
  </si>
  <si>
    <t>RPCSVBA2: Negative und positive Grundlagen pro Zeile</t>
  </si>
  <si>
    <t>P0042: ST-Split Neue Parameter fÃ¼r Funktion P0042</t>
  </si>
  <si>
    <t>Korrektur: HW 1565125 erh. Pens.abs.betrag ab 2011</t>
  </si>
  <si>
    <t>BMV: untermonatige  Beendigung BV-Pflichtigkeit</t>
  </si>
  <si>
    <t>PY-AT Reporting: Matchcode fÃ¼r BuchungsÃ¼berleitung falsch</t>
  </si>
  <si>
    <t>RPCKTOA0 - Wiedereintritt - Andruck Daten falsches Monat</t>
  </si>
  <si>
    <t>BVA ELDA AnAbmeldung: GrÃ¼nde 08 und 61</t>
  </si>
  <si>
    <t>rpldetq1 - page numbering issue.</t>
  </si>
  <si>
    <t>Foreign employment PS: Smartforms, IT3348 update issue</t>
  </si>
  <si>
    <t>Australia: EOY Legal Changes 2011/2012 - Part 1</t>
  </si>
  <si>
    <t>Avera: Payroll Results not picked in a mid-period transfer</t>
  </si>
  <si>
    <t>QPWCT: /GPT has incorrect value for superannuation retro</t>
  </si>
  <si>
    <t>Min. Severence payment not calcutaed in some scenarios</t>
  </si>
  <si>
    <t>Payment summary : Truncation, Messages, ETP forms &amp; summary</t>
  </si>
  <si>
    <t>EE Pay Details report : Mid-period Payroll area change</t>
  </si>
  <si>
    <t>Salary sacrifice Wagetype not added to /GPT or /GWC</t>
  </si>
  <si>
    <t>'Employee Inactive' (INCT) check incorrect in payroll schema</t>
  </si>
  <si>
    <t>RPCLADQ0 - Not using last stored ORT&amp;OCRT for simulation</t>
  </si>
  <si>
    <t>Term Org: Employee age is calculated incorrectly</t>
  </si>
  <si>
    <t>BELCOTAX: Fiche 281.25 now supported</t>
  </si>
  <si>
    <t>Garnishments : Second Basis available</t>
  </si>
  <si>
    <t>Activa allowance - Calculations for each period (SI) - Corr.</t>
  </si>
  <si>
    <t>Dimona Preparation report - Double declarations for students</t>
  </si>
  <si>
    <t>RPTGENB0 error in case of illness rule 3m30d</t>
  </si>
  <si>
    <t>Dimona Upload Notification - remove doubles for leave</t>
  </si>
  <si>
    <t>SOCIAL BALANCE: Field 1210C with errors</t>
  </si>
  <si>
    <t>BELCOTAX: Error when evaluating customizing of T5BX4</t>
  </si>
  <si>
    <t>DMFA for DecavaA employees: error in field CMRNT</t>
  </si>
  <si>
    <t>Capelo &amp; DmfA fix: Use of Employment Number NREMP in BEEVL</t>
  </si>
  <si>
    <t>P3270 &amp; P3271 - Groupings for wage type permissibility</t>
  </si>
  <si>
    <t>BELCOTAX: Fiche 281.25 printout</t>
  </si>
  <si>
    <t>Short dump COMPUTE_BCD_OVERFLOW in garnishment calculation</t>
  </si>
  <si>
    <t>Legal Changes for DmfA Quarter 1 2011 (CAPELO only)</t>
  </si>
  <si>
    <t>Advance taxes on additional youth/senior holidays</t>
  </si>
  <si>
    <t>Capelo &amp; Payroll: Correction of data from last BEEVL</t>
  </si>
  <si>
    <t>Legal changes for DmfA/DmfAPPL 2011 Quarter 2</t>
  </si>
  <si>
    <t>Dimona 2010 - Preparation Report - Perid not found if cancel</t>
  </si>
  <si>
    <t>Directory Traversal in Payroll Belgium PY-BE</t>
  </si>
  <si>
    <t>BELCOTAX: Retrieval of data from infotype 0100 II</t>
  </si>
  <si>
    <t>DMFA: Dismissal allowance paid monthly with FIRE entry (II)</t>
  </si>
  <si>
    <t>Reduction 1521(DMFA+): service code 74 wrongly included</t>
  </si>
  <si>
    <t>Brazilian Group Function log: Technical Log</t>
  </si>
  <si>
    <t>HBRCCED0: Pensioner payment not displayed in January</t>
  </si>
  <si>
    <t>HBRRTER2: Company name in the 151 field (Stamp)</t>
  </si>
  <si>
    <t>DIRF/Income Declaration: Technical Log</t>
  </si>
  <si>
    <t>Termination Term: Clearing field counters of 66, 67, 95, 115</t>
  </si>
  <si>
    <t>TAX: Vacation Pay incorrect on change of accrual year</t>
  </si>
  <si>
    <t>TAX: Legal Changes for Mid-Year 2011</t>
  </si>
  <si>
    <t>TAX : Flat tax on bonus deducted for exempt employees</t>
  </si>
  <si>
    <t>Hire Date error when running RPLEEAK0</t>
  </si>
  <si>
    <t>Additional authority check for IT0003 in RPUTRBK0</t>
  </si>
  <si>
    <t>IT0600: Default values not displayed for infotype 0600</t>
  </si>
  <si>
    <t>Dokumentation: ErgÃ¤nzung Neue Hauptbuchhaltung (NewGL)</t>
  </si>
  <si>
    <t>Directory traversal in RPLLAWC1</t>
  </si>
  <si>
    <t>Directory traversal in RPUQSTC0</t>
  </si>
  <si>
    <t>LAW2005: Company identification not found</t>
  </si>
  <si>
    <t>Directory traversal in RPLIKAC1</t>
  </si>
  <si>
    <t>[CL] General corrections for bank transfer file generation.</t>
  </si>
  <si>
    <t>[CL] Rounding issue in Income Tax calculation (CLTAX)</t>
  </si>
  <si>
    <t>[CL] Missing CCAF institution name at PREVIRED Summary</t>
  </si>
  <si>
    <t>[CL] New fields for CCAF Interface report - HCLCICAF0</t>
  </si>
  <si>
    <t>Flexible Contribution Frequency for Supplementary Insurance</t>
  </si>
  <si>
    <t>Add new wage types to store taxable amount</t>
  </si>
  <si>
    <t>Errors about Minimum Salaries</t>
  </si>
  <si>
    <t>CN: Minimum Salary for long time sick leave employee</t>
  </si>
  <si>
    <t>Incorrect Payroll Result for Retro with Stock Option Payment</t>
  </si>
  <si>
    <t>PY-DE: Documentatn for processes for notification procedure</t>
  </si>
  <si>
    <t>ELENA: Collective note for corrections and improvements</t>
  </si>
  <si>
    <t>SI: Composite note for improvements and corrections</t>
  </si>
  <si>
    <t>B2A: Management of Encryption PKCS#7 (RPUSVKD0)</t>
  </si>
  <si>
    <t>SV: E-mail error confirmations for immediate notifications</t>
  </si>
  <si>
    <t>ZFA/RBM: Enhancing manual status change</t>
  </si>
  <si>
    <t>Changeover for leave in construction industry IT 0005-&gt;2006</t>
  </si>
  <si>
    <t>BAdI implementation from Note 1552012: Supplement</t>
  </si>
  <si>
    <t>DEUEV: Data record version 02: Corrections II</t>
  </si>
  <si>
    <t>DEUEV: Corrections during notification creation</t>
  </si>
  <si>
    <t>SI reporting: Inbound notification deletes infotype text</t>
  </si>
  <si>
    <t>ELENA: Current changes and corrections V</t>
  </si>
  <si>
    <t>ELENA: Current changes and corrections VI</t>
  </si>
  <si>
    <t>Endless loop when creating infotype 0700 with subtype DBKE</t>
  </si>
  <si>
    <t>Payroll acount: Incorrect background for DK01 in language EN</t>
  </si>
  <si>
    <t>Construction remuneration statement (DFB1): Absence quotas</t>
  </si>
  <si>
    <t>Unpaid absence prohibited activities</t>
  </si>
  <si>
    <t>Prohibition of employment: Error in split in assessment per.</t>
  </si>
  <si>
    <t>Subapplicatn for fictitious runs + individual bank transfer</t>
  </si>
  <si>
    <t>Dump when proposing first name in note to payee</t>
  </si>
  <si>
    <t>Declaration made by third-party debtor: Error on PDF form</t>
  </si>
  <si>
    <t>AAG fictitious run/incapacity to work: Corrections III</t>
  </si>
  <si>
    <t>Correction for unpaid leave and voluntarily insured persons</t>
  </si>
  <si>
    <t>Cession of confirmation methods in SI notification procedure</t>
  </si>
  <si>
    <t>EEL: Corrections and enhancements 1</t>
  </si>
  <si>
    <t>Part time for pensioners</t>
  </si>
  <si>
    <t>Error for tax-free pension scheme benefit</t>
  </si>
  <si>
    <t>Negative amounts in accrual wage types for SR value credit</t>
  </si>
  <si>
    <t>Checking outflow of pension payments</t>
  </si>
  <si>
    <t>ETStmt: Changes in July, 2011</t>
  </si>
  <si>
    <t>SR: TV FlexAZ (VKA) and TV Bund - Part 2</t>
  </si>
  <si>
    <t>Sideline Job infotype: Unit "Semesters" cannot be selected</t>
  </si>
  <si>
    <t>SR: TV FlexAZ (VKA) and TV Bund - Part 3</t>
  </si>
  <si>
    <t>TemSe download for census</t>
  </si>
  <si>
    <t>TV-L structure compariso: Missing entries n in T5DPBS3D</t>
  </si>
  <si>
    <t>Abbruch in ind.Bewertung des Infotypes 0008</t>
  </si>
  <si>
    <t>Aliquotierung Auszubildende bei null bezahlten Tagen</t>
  </si>
  <si>
    <t>State of Hessen Public Services regulation: Enhancements IV</t>
  </si>
  <si>
    <t>Public Services regulation for soldiers: Enhancements II</t>
  </si>
  <si>
    <t>Public Srvc.reg. Bavaria: Incorr pensn pct after eighth adj.</t>
  </si>
  <si>
    <t>Incorr suspension amt sec. 53 par. 10 in case of high income</t>
  </si>
  <si>
    <t>Pension payts too low in case of proportional fam reductn II</t>
  </si>
  <si>
    <t>Incorr WT manl child bonus+bonus for care of family memb II</t>
  </si>
  <si>
    <t>Amount list: Incorrect record in case of locked infotype</t>
  </si>
  <si>
    <t>RPLEHAD3: Various errors</t>
  </si>
  <si>
    <t>Evaluating IT0700 for stmt of employment sect. 312 SGB III</t>
  </si>
  <si>
    <t>Corrections for statements 07/2011</t>
  </si>
  <si>
    <t>Off-Cycle: incorrect imports for re-entries in leaving month</t>
  </si>
  <si>
    <t>Artists: Number of VND days in case of change of regime</t>
  </si>
  <si>
    <t>RPCFINE0: CEREMP using VND time within the last 180 days</t>
  </si>
  <si>
    <t>CALC: Issue in maximum contribution base calculation</t>
  </si>
  <si>
    <t>Changes and Missing Bonifications</t>
  </si>
  <si>
    <t>Changes RED 05/2011</t>
  </si>
  <si>
    <t>Contrat@: incorrect reference for field Q0480-MODAEXCL</t>
  </si>
  <si>
    <t>Issue checking EU tax number</t>
  </si>
  <si>
    <t>NIF check for models 216 or 296 in the RPC190E0 report</t>
  </si>
  <si>
    <t>RPCFINE0 does not read CNO2011 for CODOCU field</t>
  </si>
  <si>
    <t>TC: Issue in compensation of L04 (devoluciÃ³n prestaciones)</t>
  </si>
  <si>
    <t>TC: Issue with incentive group (COLIN) field</t>
  </si>
  <si>
    <t>TC: Issue with arrears surcharge (recargo de mora)</t>
  </si>
  <si>
    <t>CRT2: Issue processing employees on return XML</t>
  </si>
  <si>
    <t>Correction on contract attributes for 389 contract</t>
  </si>
  <si>
    <t>Date validations  for Upper Age Limit</t>
  </si>
  <si>
    <t>Factoring of company car benefit</t>
  </si>
  <si>
    <t>Corrections due to EDI Certification (CNAMTS)</t>
  </si>
  <si>
    <t>N4DS: Enable features to use master data saved in cluster</t>
  </si>
  <si>
    <t>Payroll France Customizing: Deletion of OHAFKL000 activity</t>
  </si>
  <si>
    <t>RPLDMOF0: New field "Restructuration" / Effectifs de l'Ã‰tab.</t>
  </si>
  <si>
    <t>RPUSEN61FPBS: Seniority IT0576 not taken into consideration</t>
  </si>
  <si>
    <t>Great Britain: New G/L enablement for HCM (Payroll)</t>
  </si>
  <si>
    <t>Tax code uplift program not removing YTD figures</t>
  </si>
  <si>
    <t>Student loan deductions are incorrect after apply HRSP 31</t>
  </si>
  <si>
    <t>EOY: Business validation on Name and tax code</t>
  </si>
  <si>
    <t>HRGB: Issues with the SxP and OxP conversion report</t>
  </si>
  <si>
    <t>Report RPLABSG0_SXP_OXP_COSTS is getting an ABAP dump.</t>
  </si>
  <si>
    <t>Incorrect offsetting for ME while retro across the year.</t>
  </si>
  <si>
    <t>Issue with limiting absences for Absence Overview Report.</t>
  </si>
  <si>
    <t>Correction to Note 1578510 (Absence Overview Report) .</t>
  </si>
  <si>
    <t>HRGB: GBSXP: Overlapping absences are not supported</t>
  </si>
  <si>
    <t>RPLABSG0_SXP_OXP_COSTS results incorrect ER's pension.</t>
  </si>
  <si>
    <t>Temse deosnot not produce the number of forms</t>
  </si>
  <si>
    <t>P11D is not generated for leavers in the previous tax year</t>
  </si>
  <si>
    <t>Issues with tax calculation for leavers and late leavers</t>
  </si>
  <si>
    <t>Resolution to multiple issues with P11D</t>
  </si>
  <si>
    <t>Payroll error in function P0442 for co2 emission</t>
  </si>
  <si>
    <t>P11D does not display values on P11D form,for release 500</t>
  </si>
  <si>
    <t>Defalut value of field PWDST in IT0016 is missing</t>
  </si>
  <si>
    <t>PY-IE: Incorrect PRSI weeks for certain absence periods</t>
  </si>
  <si>
    <t>PY-IE: Ammended XML Generation for EOY Returns (P35)</t>
  </si>
  <si>
    <t>PY-IE: 2011 Supplementary PRSI changes</t>
  </si>
  <si>
    <t>Form 16 changes related to SAP script</t>
  </si>
  <si>
    <t>Form 16 incorrectly downloaded with Digital signature</t>
  </si>
  <si>
    <t>Mid-month TAN change, salary and tax details incorrect</t>
  </si>
  <si>
    <t>Director status not displayed on PDF (release 6.0 and above)</t>
  </si>
  <si>
    <t>BAdI:HR_IN_EPF_CONT-Error</t>
  </si>
  <si>
    <t>Form 16AA and Form 12BA layout related issues</t>
  </si>
  <si>
    <t>Issue in rehire spilts and Form 16AA - sec 80c not reported</t>
  </si>
  <si>
    <t>Round off Exemption for Conveyance</t>
  </si>
  <si>
    <t>Form 24Q: Changes related to alignment on Selection Screen</t>
  </si>
  <si>
    <t>HR-IT: CUD2010 - box 133 issue</t>
  </si>
  <si>
    <t>HR-IT: 770/2011 - Correction Package 1</t>
  </si>
  <si>
    <t>Short dump in RPLSIPJ1 for period later than April 2011</t>
  </si>
  <si>
    <t>RPCEADJ0: Syoukibo Kigyou Kyousai (Y505) not displayed</t>
  </si>
  <si>
    <t>RPCHUGJ0: Data File Items 40-43 in Output Are Empty</t>
  </si>
  <si>
    <t>Incorrect Kijun-gai Dates for LI Calculation and Unsorted IT</t>
  </si>
  <si>
    <t>RPCEWCJ0: Kanji-name and Kana-name are wrongly positioned</t>
  </si>
  <si>
    <t>Hokensha-Santei Coverage Extension for Social Insurance</t>
  </si>
  <si>
    <t>RPCEADJ0: short dump for 13-digit house deduction amount</t>
  </si>
  <si>
    <t>Incorrect Taxable Amount Calculation (Deduction Not Include)</t>
  </si>
  <si>
    <t>RPCEADJ0: Report Output not Comply with the Setting in T5JRA</t>
  </si>
  <si>
    <t>PY-JP-RP-LI</t>
  </si>
  <si>
    <t>Labor Insurance Statement</t>
  </si>
  <si>
    <t>RPCLIAJ0: Insurance Amount Types Displayed Indiscriminately</t>
  </si>
  <si>
    <t>Donation Ded. for All Dependant&amp;YEA Calc. Order Change</t>
  </si>
  <si>
    <t>Missing Entries in the Maintenance View V_T7KRSR</t>
  </si>
  <si>
    <t>Incorrect Currency for IT0538 Tax Deferring Subtype</t>
  </si>
  <si>
    <t>Payroll KR: Localization for New General Ledger (Fix)</t>
  </si>
  <si>
    <t>LC: Split KRSI for EI When Calendar Month and Transfer</t>
  </si>
  <si>
    <t>Wrong Bonus Tax Period with Methods: SIMP/BSIM/STTC/BSTT</t>
  </si>
  <si>
    <t>[MX] State taxes details not shown when base is zero(CIES0)</t>
  </si>
  <si>
    <t>PY-MX: Wrong files generation on report HMXCIPDPBS</t>
  </si>
  <si>
    <t>[MX] New GL - Corrections of messages</t>
  </si>
  <si>
    <t>PY-MY : Issues in SOCSO 8A and 8B download file</t>
  </si>
  <si>
    <t>PY-MY: Incorrect amount displayed in item(a) of CP21 form</t>
  </si>
  <si>
    <t>PY-MY : Change in CP22 form "Income Tax File no." field</t>
  </si>
  <si>
    <t>PY-MY : CP22 form Income Tax no. last digit not shown when 0</t>
  </si>
  <si>
    <t>RPCJWNN1: Error "TRAY1 SIZE MISMATCH"/Incorrect Orientation</t>
  </si>
  <si>
    <t>NST00: Life-Course Leave Tax Credit leads to Neg. Wage Tax</t>
  </si>
  <si>
    <t>Corrections due to the postponing of ELA</t>
  </si>
  <si>
    <t>Correction: New statutory minimum wages as of July 1st, 2011</t>
  </si>
  <si>
    <t>Potential Directory Traversal in PY-NL</t>
  </si>
  <si>
    <t>Incorrect ERC calculation during Payroll retro calculation</t>
  </si>
  <si>
    <t>Norway Reimbursement Reconciliation report</t>
  </si>
  <si>
    <t>Reimbursement - Overriding Basis for Reimbursement</t>
  </si>
  <si>
    <t>Reimbursement issue - wrong dates in 08-30.01</t>
  </si>
  <si>
    <t>New constant value for basic amount, Norway</t>
  </si>
  <si>
    <t>Legal Change - Error due to K37 format change</t>
  </si>
  <si>
    <t>Reimbursement - Errors in Payroll due to new solution</t>
  </si>
  <si>
    <t>SPK Reporting Issues: June 2011</t>
  </si>
  <si>
    <t>Changes to SST reporting: June 2011</t>
  </si>
  <si>
    <t>Error in Calling Pension Fund-Payroll Interface</t>
  </si>
  <si>
    <t>Corrections to EG - Multiple advances for same applicant</t>
  </si>
  <si>
    <t>PY-NZ : Incorrect ESCT calculation for KIWI saver fund</t>
  </si>
  <si>
    <t>HNZLPRR0 : PAYE/ACC Reconciliation Report NZ incorrect</t>
  </si>
  <si>
    <t>HNZLLVL0 does not include employees who has correction run</t>
  </si>
  <si>
    <t>HNZLABQ0 deleting cost center against cost assignment</t>
  </si>
  <si>
    <t>Zero is displayed for Total Work Days in the log under NZLVR</t>
  </si>
  <si>
    <t>Incorrect accrual leave calculation for terminated employees</t>
  </si>
  <si>
    <t>Transferring Public Holiday for employee using Infotype 2003</t>
  </si>
  <si>
    <t>Wrong results in HNZLEMS0,HNZLREM0 for Personnel Area change</t>
  </si>
  <si>
    <t>LC: Meal Allowance wagetype to be classified as De Minimis</t>
  </si>
  <si>
    <t>RPCAIDP0,RPCIIDP0: Reporting difference of /111 WT payments</t>
  </si>
  <si>
    <t>Single Report: General corrections on Attachment E</t>
  </si>
  <si>
    <t>Single Report: wrong leave reporting for rehired employees</t>
  </si>
  <si>
    <t>RPCSSRP0: Flag to determine the rate source</t>
  </si>
  <si>
    <t>Single Report: wrong calculation of hours for attachment 0</t>
  </si>
  <si>
    <t>Single Report: wrong abcense evaluation for active employees</t>
  </si>
  <si>
    <t>Single Report: wrong formatting of attachment 0 fields</t>
  </si>
  <si>
    <t>Single Report: additional field in trainings structure</t>
  </si>
  <si>
    <t>Single Report: wrong counting of sindicalized employees</t>
  </si>
  <si>
    <t>Family allowance: wrong error message in IT0021 maintenance</t>
  </si>
  <si>
    <t>SIOE: new statistical report for Public Sector</t>
  </si>
  <si>
    <t>CGA Magnetic File: rounding issue is amounts calculation</t>
  </si>
  <si>
    <t>SIOE: Company Code field removed from selection screen</t>
  </si>
  <si>
    <t>ADSE: contribution of Christmas and Vacation valid from 2011</t>
  </si>
  <si>
    <t>HR-RU: WType /323 is not created after note 1555598</t>
  </si>
  <si>
    <t>HR-RU: wrong splits assignment after function RUFUP</t>
  </si>
  <si>
    <t>Debt handling on Payslip</t>
  </si>
  <si>
    <t>Employer's leaving certificate report for Private Sector</t>
  </si>
  <si>
    <t>RPLSPPS2: Changes to H17 &amp; H18 reporting for IN and LO event</t>
  </si>
  <si>
    <t>Employer's Ceritificate report gross payment is incorrect</t>
  </si>
  <si>
    <t>IR8A/E - Tax exemption amount(sec.E) and sec.D-8</t>
  </si>
  <si>
    <t>LC: OW monthly limit, TW Capping and Ethnicity</t>
  </si>
  <si>
    <t>PY-SG: Corrections to note 1544597</t>
  </si>
  <si>
    <t>RPCVCLR0: Incorrect VC in offcycle case</t>
  </si>
  <si>
    <t>PY-SG: CPF shortfall for termination and rehired employee</t>
  </si>
  <si>
    <t>PY-SG: CPF calculation for employee with GPML leave</t>
  </si>
  <si>
    <t>PY-SG: CPF total contribution rounding</t>
  </si>
  <si>
    <t>PY-SG:Incorrect AW Medisave contr. incase of Org. change</t>
  </si>
  <si>
    <t>Pension papers: Incorrect Alias retrieved from IT0182</t>
  </si>
  <si>
    <t>PY-TH : Half and Full Disabled dependants allowance issue</t>
  </si>
  <si>
    <t>PY-TH : Issues in ITF1 upload file</t>
  </si>
  <si>
    <t>Company name missing in downloaded SOSCO detailed file</t>
  </si>
  <si>
    <t>Split in Downloaded Social Security Contribution Detail rep.</t>
  </si>
  <si>
    <t>NHI Premium Calculation for Employees from Mainland China</t>
  </si>
  <si>
    <t>TR: SUI ICESA Colorado missing e-mail address on record A</t>
  </si>
  <si>
    <t>TR: Rounding issues in DE 9 California paper form</t>
  </si>
  <si>
    <t>TR: New Form 941-X valid from Q1/2011</t>
  </si>
  <si>
    <t>Role SAP_HR_PT_TIME-MGMT-SPECIALIST was revised</t>
  </si>
  <si>
    <t>PY-XX-RCN</t>
  </si>
  <si>
    <t>Payroll Reconciliation</t>
  </si>
  <si>
    <t>HCM Reconciliation Solution for Norway, Sweden &amp; Finland</t>
  </si>
  <si>
    <t>IRP5 PDF Version</t>
  </si>
  <si>
    <t>Maintenance of OFO and SOC Views in Production System</t>
  </si>
  <si>
    <t>XX-CSC-RO</t>
  </si>
  <si>
    <t>Romania</t>
  </si>
  <si>
    <t>Syntax-Fehler beim Import, da LT_P0021 doppelt deklariert</t>
  </si>
  <si>
    <t>Correction of translation of 'Dependent (Tax)'</t>
  </si>
  <si>
    <t>Correction of translation of Employee No</t>
  </si>
  <si>
    <t>Correction of translation of 'Employee No'</t>
  </si>
  <si>
    <t>SAPKE60437</t>
  </si>
  <si>
    <t>Extractor 0HR_PY_PP_1 without organizational assignments (2)</t>
  </si>
  <si>
    <t>Processing hidden columns in the OADP Function module</t>
  </si>
  <si>
    <t>Wrong defaulting of CIPID when more then 9 records of IT3270</t>
  </si>
  <si>
    <t>Incorrect translation on overview screen of IT0125</t>
  </si>
  <si>
    <t>Tax Area is Overwritten by Default Value in PA42</t>
  </si>
  <si>
    <t>IT 0052: Validity check of the currency</t>
  </si>
  <si>
    <t>IT0217 PCS Code date validation (non-overlapping periods)</t>
  </si>
  <si>
    <t>English header in the overview screen 3000 of infotype 0863</t>
  </si>
  <si>
    <t>RPCTNM9S_ASSIGN does not validate number of hours TN-E</t>
  </si>
  <si>
    <t>Absence/Attendance can be recorded for Ps without RELAT 941</t>
  </si>
  <si>
    <t>TNM: DUMP transaction hrtnm00_repmod</t>
  </si>
  <si>
    <t>TNM Temse labels missing</t>
  </si>
  <si>
    <t>Incorrect tax year check in Infotype 0069</t>
  </si>
  <si>
    <t>IT0069 tax year check - Follow up to note 1595116</t>
  </si>
  <si>
    <t>HR-IT: IT0156 issue with Regional Tax proposal</t>
  </si>
  <si>
    <t>IT0006(J1): Input Help Not Working with 3 Digit Region Code</t>
  </si>
  <si>
    <t>HJPUBP_PNTASN: Calculated Based on Incorrect Target Group</t>
  </si>
  <si>
    <t>HJPUBP_PNTASN: Wrong Employee Selection and Assignment Date</t>
  </si>
  <si>
    <t>Area Menu for Defining Shukko Partners Does Not Work</t>
  </si>
  <si>
    <t>RPCEWGJ2 and RPCEWGJ3: PDF Form Layout Correction</t>
  </si>
  <si>
    <t>Employee's Title is Embedded while Printing Address</t>
  </si>
  <si>
    <t>RPTZKMN2: Dump TSV_TNEW_PAGE_ALLOC_FAILED, Performance Issue</t>
  </si>
  <si>
    <t>0337 Infotype: Call default values is not working</t>
  </si>
  <si>
    <t>Change of descriptions in Parishes (V_T5P6P) view table</t>
  </si>
  <si>
    <t>HR-RU: Long texts in PDF forms for Personnel Orders</t>
  </si>
  <si>
    <t>IT0355: Alter Change Reason Field from Mandatory to Optional</t>
  </si>
  <si>
    <t>Four Screen Fields in IT 0021 Cannot Be Hidden</t>
  </si>
  <si>
    <t>Zipcode format issue for Canada</t>
  </si>
  <si>
    <t>BEN: Roth 457 post-tax contributions</t>
  </si>
  <si>
    <t>BEN: BadI PBENUS_PAY0005 does not work correctly.</t>
  </si>
  <si>
    <t>Monitoring of Task Archive object: Selection parameter label</t>
  </si>
  <si>
    <t>PA-PF-NL</t>
  </si>
  <si>
    <t>Pension Fund Netherlands</t>
  </si>
  <si>
    <t>Functional Improvements for HCM Pensionfund Solution NL</t>
  </si>
  <si>
    <t>Potential Directory Traversal in PA-PF-NL</t>
  </si>
  <si>
    <t>IT0080 maternity protection: Sort sequence not chronological</t>
  </si>
  <si>
    <t>PP61: Runtime when saving</t>
  </si>
  <si>
    <t>PP61: Excel printing: Macro files not found</t>
  </si>
  <si>
    <t>Long runtime sorting internal table</t>
  </si>
  <si>
    <t>[AR] Allow customizing field P0001-ENAME on IT0002</t>
  </si>
  <si>
    <t>[AR] Family Allowance removal from SICOSS report</t>
  </si>
  <si>
    <t>AR: Delimiting in the view V_T7AR05_B erases old entries</t>
  </si>
  <si>
    <t>AR: Error in tax devolution for the Wagetype /445</t>
  </si>
  <si>
    <t>AR: Wrong adjust of work days in february</t>
  </si>
  <si>
    <t>Vorschlagswert fÃ¼r Beginndatum von PfÃ¤ndungs-Infotypen</t>
  </si>
  <si>
    <t>ELDA Meldung AK und AW, SV-Nr und Geburtsdatum</t>
  </si>
  <si>
    <t>HR-AT: RPCSVBA2 - Negative/Positive base w/ special payment</t>
  </si>
  <si>
    <t>Einkommensbericht: TEMSE Korrektur wegen der Statistik</t>
  </si>
  <si>
    <t>ELDA VM: Feld GERF falsch bei einigen Beitragsgruppen</t>
  </si>
  <si>
    <t>PCALZ: Abgrenzen Summenlohnart BVSV fÃ¼r BL6A und BL6G</t>
  </si>
  <si>
    <t>RPCEKSA0: Korrekturen und Erweiterungen</t>
  </si>
  <si>
    <t>Altersteilzeit: Index-ErhÃ¶hung 2011</t>
  </si>
  <si>
    <t>AU: Error in Operation QTAXC in RPCALCQ0/ RPCMSTQ1</t>
  </si>
  <si>
    <t>AVERA Drops Advance pay results in Leave in advance pay prog</t>
  </si>
  <si>
    <t>Cumulation calendar(T54C1) is not generated through RPUCTP10</t>
  </si>
  <si>
    <t>Transitional Payment Pre-payment form issues</t>
  </si>
  <si>
    <t>RPLSPRQ0 - Incorrect Reading of Feature ADDRS</t>
  </si>
  <si>
    <t>FLE Rebates not allowed in IT 0188 for tax scales 2,5,6,7</t>
  </si>
  <si>
    <t>FLE: Med. Levy. Exemptn. Not allowed with tax scale 2,6,7</t>
  </si>
  <si>
    <t>Payment Summary: Company name/Supplier name and smart forms</t>
  </si>
  <si>
    <t>Incorrect leave provision in off cycle for termination emp</t>
  </si>
  <si>
    <t>Tax - Medicare Levy for new flood levy exempt tax scales</t>
  </si>
  <si>
    <t>Tax Scale PS for Threshold 507 missing for Fin. Year 2011/12</t>
  </si>
  <si>
    <t>V_T5QLK - the constant text is not in English</t>
  </si>
  <si>
    <t>Rounding issue with Flood Levy on Termination Payments</t>
  </si>
  <si>
    <t>Absence quota payments excluded during Split-ETP processing.</t>
  </si>
  <si>
    <t>PC00_M13_ATOR_PS not filter Z1 date btw selection period</t>
  </si>
  <si>
    <t>LSL at Half-pay during prior service not taken into account</t>
  </si>
  <si>
    <t>Super Salary Incorrect after application of EHP5</t>
  </si>
  <si>
    <t>Recognized Partial Illness (RPTGENB0) functions</t>
  </si>
  <si>
    <t>DmfA/DmfAPPL - Description data elements/fields extension</t>
  </si>
  <si>
    <t>Legal changes for DmfA/DmfAPPL 2011 Quarter 2 - PART II</t>
  </si>
  <si>
    <t>Garnishments : no retrocalc - correction</t>
  </si>
  <si>
    <t>Activa allowance - hire : Check on hiring date (# months)</t>
  </si>
  <si>
    <t>Capelo &amp; DmfA 2011 Q2: Capelo exempted (DmfA field 01012)</t>
  </si>
  <si>
    <t>DMFA - DeCavaA: errors in fields CMMON and CMRNT</t>
  </si>
  <si>
    <t>Infotype 0007 - Belgium: Default by changing work schedule</t>
  </si>
  <si>
    <t>Tax calculation of exceptional taxes not rounded down</t>
  </si>
  <si>
    <t>CAPELO: Correction of Types Valid for Reorg. Measure 541</t>
  </si>
  <si>
    <t>Dimona 2010 - Various corrections</t>
  </si>
  <si>
    <t>Capelo &amp; BEEVL : Enhancements of interface</t>
  </si>
  <si>
    <t>BELCOTAX: Fiche 281.25 corrections part I</t>
  </si>
  <si>
    <t>Fixed cost bonus when ST split with first part inactive</t>
  </si>
  <si>
    <t>DmfA: Chem. Sector - min.amt incorrect for contr. type 8</t>
  </si>
  <si>
    <t>CAPELO: DMFA Update declaration</t>
  </si>
  <si>
    <t>DmfA 2011 Q2: Occupation Informations Section &amp; Field 01012</t>
  </si>
  <si>
    <t>RPTGENB0 correction error in case of illness rule 3m30d</t>
  </si>
  <si>
    <t>DMFA Update declaration: Students not processed correctly</t>
  </si>
  <si>
    <t>SREP: data import of electronic time register - PIS numbers</t>
  </si>
  <si>
    <t>SREP: generation of AFDT and ACJEF files - Code Enhancements</t>
  </si>
  <si>
    <t>SREP: Time Statement Form Model - Code Enhancements</t>
  </si>
  <si>
    <t>SREP: electronic time register mirror - PDF form</t>
  </si>
  <si>
    <t>HBRCCED0:The CPF field with incorrect format in the txt file</t>
  </si>
  <si>
    <t>Brazilian Payroll - Time services classes</t>
  </si>
  <si>
    <t>Error in posting for CPP and EI wagetypes</t>
  </si>
  <si>
    <t>FamZReg: Entry in B2A Manager despite error message</t>
  </si>
  <si>
    <t>FamZReg:Reversal w/out entitlement period (invalid XML file)</t>
  </si>
  <si>
    <t>Remuneration statement: UI suppl 0 during retroactive acct</t>
  </si>
  <si>
    <t>WHT: Canton of Vaud, duplicate data records for one person</t>
  </si>
  <si>
    <t>Smart Form: HR_CH_ERC corrections for French translation</t>
  </si>
  <si>
    <t>Withholding tax calc.: Print parameters during bdgd proc.</t>
  </si>
  <si>
    <t>Documentation: Addition to report documentation (RPCKTOC1)</t>
  </si>
  <si>
    <t>WHT VD: EMP-ACI: Municipality number missing in XML file</t>
  </si>
  <si>
    <t>QSt: Incrr LC file in case of retroactve calc. in prev. year</t>
  </si>
  <si>
    <t>WHT VD: EMP-ACI: Productive notification despite error</t>
  </si>
  <si>
    <t>WHT VD: EMP-ACI: New event "Veuvage"</t>
  </si>
  <si>
    <t>PY-CH-IE</t>
  </si>
  <si>
    <t>OTMC: Activation of Provider Option for MD Export</t>
  </si>
  <si>
    <t>[CL] Income Certificate - Form 1887</t>
  </si>
  <si>
    <t>[CL] Maximum limit for Agreed Deposits</t>
  </si>
  <si>
    <t>[CL] New evaluation routine for Personnel Action Code</t>
  </si>
  <si>
    <t>[CL] Additional customizing for note 1552138</t>
  </si>
  <si>
    <t>[CL] Absences evaluation for Monthly Gratuity calculation</t>
  </si>
  <si>
    <t>[CL] Enhancements and Corrections for Reliquidation - v3</t>
  </si>
  <si>
    <t>[CL] Dependent RUT Id validation removal</t>
  </si>
  <si>
    <t>[CL] Changes to schema CLM2 for Heavy Work processing</t>
  </si>
  <si>
    <t>[CL] Wrong customizing for wage type /ER8</t>
  </si>
  <si>
    <t>[CL] Missing Wage Type in IT when employee has 2 APV records</t>
  </si>
  <si>
    <t>[CL] Missing Off-Cycle Payroll results in Payments Book</t>
  </si>
  <si>
    <t>[CL] Missing results in Legal Reports reading Payroll splits</t>
  </si>
  <si>
    <t>[CL] Worker type evaluation corrections for PREVIRED report</t>
  </si>
  <si>
    <t>Function and UI errors about maintenance view</t>
  </si>
  <si>
    <t>Error in Checking Contributon Month for SUI</t>
  </si>
  <si>
    <t>PY-DE: Docu for notif procedure processes II + var adjstmnts</t>
  </si>
  <si>
    <t>SV: Technical change to B2A Manager for stmnt of contr. paid</t>
  </si>
  <si>
    <t>B2A: Various corrections and improvements B2A Manager</t>
  </si>
  <si>
    <t>Social Fund Procedure: Changes for conversion IT 0005-&gt;2006</t>
  </si>
  <si>
    <t>Urlaub: Erweiterung Urlaubsbezahlung im aktuellen Monat</t>
  </si>
  <si>
    <t>Personnel expenses: Runtime error in FORM MOD_WORKDATES</t>
  </si>
  <si>
    <t>DEUEV occupational code TS2010: Corrections IV</t>
  </si>
  <si>
    <t>German Data Entry Reg. immediate notificatns: Correctns (10)</t>
  </si>
  <si>
    <t>DEUEV data record version 02: Corrections III</t>
  </si>
  <si>
    <t>ELENA: Current changes and corrections VII</t>
  </si>
  <si>
    <t>Allowance for maternity pay: Net amount and V0 table</t>
  </si>
  <si>
    <t>PY-DE-IE</t>
  </si>
  <si>
    <t>OTMD: Activation of Provider Option for MD Export</t>
  </si>
  <si>
    <t>BVV: Enhancements 02</t>
  </si>
  <si>
    <t>HR-DPF: Base interest rate was changed to 0.37%</t>
  </si>
  <si>
    <t>Garn. prncple of origin: Repayt instlmts/new entry of claims</t>
  </si>
  <si>
    <t>Sec. 851c garn. exemp. for retirement pensions - ER commts</t>
  </si>
  <si>
    <t>Rounding during summation of income in garnishment</t>
  </si>
  <si>
    <t>PPO contr. survey: Compulsory contribution check more strict</t>
  </si>
  <si>
    <t>SI reporting: Displaying the adminstratior</t>
  </si>
  <si>
    <t>EEL: Corrections and enhancements 2</t>
  </si>
  <si>
    <t>EEL: Delimitation in V_5D0S_A</t>
  </si>
  <si>
    <t>EEL: Corrections and enhancements 3</t>
  </si>
  <si>
    <t>EEL: Corrections and enhancements 4</t>
  </si>
  <si>
    <t>EEL: Specification of default values for employment company</t>
  </si>
  <si>
    <t>EEL: No selection of absence or incorrect period</t>
  </si>
  <si>
    <t>Error during transfer of pseudo change notification</t>
  </si>
  <si>
    <t>EEL: Corrections and enhancements 5</t>
  </si>
  <si>
    <t>Error bank data in combination with IBAN (health insurance)</t>
  </si>
  <si>
    <t>EEL: Corrections and enhancements 6</t>
  </si>
  <si>
    <t>EEL: Corrections and enhancements 7</t>
  </si>
  <si>
    <t>EEL: Specifying alternative values for statement wage types</t>
  </si>
  <si>
    <t>EEL: Changes to the infotype 0651</t>
  </si>
  <si>
    <t>EEL: Corrections and enhancements 8</t>
  </si>
  <si>
    <t>ZMV: Various corrections and enhancements II</t>
  </si>
  <si>
    <t>Missing capping for /113, /4S1 and /4S3 in the rule DAFK</t>
  </si>
  <si>
    <t>Negative amounts in /168 lead to negative increase</t>
  </si>
  <si>
    <t>Impl of Fed Finance Ministry publication for comp car taxatn</t>
  </si>
  <si>
    <t>Nettourlaubslohn Variante 3 mit Entgeltumwandlung</t>
  </si>
  <si>
    <t>SR: TV FlexAZ (VKA) and TV Bund - part 4</t>
  </si>
  <si>
    <t>Pension recipient statistics: New text descriptions for EF18</t>
  </si>
  <si>
    <t>Census: Incorrect display of output log</t>
  </si>
  <si>
    <t>RPCRSVD0: Error occurs in payroll simulation</t>
  </si>
  <si>
    <t>Treaty on the sharing of pension costs (8)</t>
  </si>
  <si>
    <t>Art. 84 BayBeamtVG: Combining pension payments</t>
  </si>
  <si>
    <t>No input help in query for the infotypes 0322 and 0780</t>
  </si>
  <si>
    <t>Public Services regul.Bavaria: Statemnt creatn terminates II</t>
  </si>
  <si>
    <t>Treaty on the sharing of pension costs (9)</t>
  </si>
  <si>
    <t>Mid-month reactivation without payroll split (2)</t>
  </si>
  <si>
    <t>Redctn sec.57: Using adjstmnt sec.69e in cnjnctn w/ sec. 14a</t>
  </si>
  <si>
    <t>Incorrect crcy in bonus calc for information to family court</t>
  </si>
  <si>
    <t>Incorrect currency during creation of suspension rule</t>
  </si>
  <si>
    <t>Pension equalization payment: Statemnt creatn terminates (2)</t>
  </si>
  <si>
    <t>Incorr empl period for pensn pay reductn if weighting factor</t>
  </si>
  <si>
    <t>I/O error when printing notifications (SAP GUI for HTML)</t>
  </si>
  <si>
    <t>Error in statement creation for section 14a of BeamtVG</t>
  </si>
  <si>
    <t>Convergnce of imputatns according to sectn 54 and section 55</t>
  </si>
  <si>
    <t>Incl factor sect 5 para 1 in upper limit sect 53 and diff</t>
  </si>
  <si>
    <t>Reduction section 57: Adjustment factor section 69e not used</t>
  </si>
  <si>
    <t>Flat rate taxation for fictitious run suppl maternity pay</t>
  </si>
  <si>
    <t>AVWD: No SI additional amounts for contribution amounts</t>
  </si>
  <si>
    <t>Various errors in SP payroll (August 2011)</t>
  </si>
  <si>
    <t>Corrections for statements August 2011</t>
  </si>
  <si>
    <t>RPC190E0 does not check NIF for Select Range of Legal Person</t>
  </si>
  <si>
    <t>190: Problems during arrears calculation at 190 report</t>
  </si>
  <si>
    <t>Artists: Issue in update of contracts with overlapping</t>
  </si>
  <si>
    <t>190: Expansion of irregular incomes reduction for Alava</t>
  </si>
  <si>
    <t>IRPF2011: Wrong percentage in cases of gross salary changing</t>
  </si>
  <si>
    <t>RPCFANE0: OVERFLOW when writing numeric log from EDT segment</t>
  </si>
  <si>
    <t>IGA: Issues including Ren.Irreg.(RENI2) field in batch input</t>
  </si>
  <si>
    <t>IRPF: Irregular incomes calculation for Guipuzcoa</t>
  </si>
  <si>
    <t>Sap Query for field P0062-FAMST with issues</t>
  </si>
  <si>
    <t>BRD: Correction of retroactivity control of note 1406830</t>
  </si>
  <si>
    <t>BRD not being correctly calculated for training contracts</t>
  </si>
  <si>
    <t>TC: Issue with canarian bonif. in retroactive execution</t>
  </si>
  <si>
    <t>BRD for fijos discontinuos - Note 2</t>
  </si>
  <si>
    <t>TC: Number of leave days for part-time employee</t>
  </si>
  <si>
    <t>TC: Locked T5EC1 for employee without payroll result</t>
  </si>
  <si>
    <t>CALC: Issue in prorate contribution on re-hiring and leaving</t>
  </si>
  <si>
    <t>CALC: Issue with bonif. method 0070 for training contract</t>
  </si>
  <si>
    <t>BONIF:Partial Maternity and Next Month Treatment not working</t>
  </si>
  <si>
    <t>Correction in the Contribution Amounts 2011 values - IT, IMS</t>
  </si>
  <si>
    <t>IRPF: Rounding issues during processing of arrears</t>
  </si>
  <si>
    <t>Bonification distribution with contract change and VND</t>
  </si>
  <si>
    <t>Contract Printing - new forms Real Decreto Ley 01/2011</t>
  </si>
  <si>
    <t>190: error in 110/190 amounts due note 1569457 correction</t>
  </si>
  <si>
    <t>Off-Cycle: error in extra-payment in first month of payment</t>
  </si>
  <si>
    <t>TC: Issue in number of worked days of A76 liquidations</t>
  </si>
  <si>
    <t>TC: Issue with complementary classifier in selection screen</t>
  </si>
  <si>
    <t>TC: VND collision and CCC change in the same period</t>
  </si>
  <si>
    <t>CALC: Issue with two bonifications with same method</t>
  </si>
  <si>
    <t>Delt@: Invalid PERNR in 'Economic details proposal' function</t>
  </si>
  <si>
    <t>CC3BC payroll constant with split and leaving or exempt</t>
  </si>
  <si>
    <t>RED 06/2011</t>
  </si>
  <si>
    <t>Limit of EUR 120.000,00 for irregular incomes(18.2) II</t>
  </si>
  <si>
    <t>TC: Issue with CD01 and CD03 after SAP note 1583605</t>
  </si>
  <si>
    <t>BRD: Correction of retroactivity control of note 1406830 II</t>
  </si>
  <si>
    <t>Improvements in the feature EATRA for arrears treatment</t>
  </si>
  <si>
    <t>SAP note 1572977 causing issue on Social Security start date</t>
  </si>
  <si>
    <t>Regional tax code - description changes due to law 19/2011</t>
  </si>
  <si>
    <t>190: Problem during process with employee without payroll</t>
  </si>
  <si>
    <t>PY-ES-IE</t>
  </si>
  <si>
    <t>OTME: Activation of Provider Option for MD Export</t>
  </si>
  <si>
    <t>HFILTYEL1: Employee is terminated before the age of 18</t>
  </si>
  <si>
    <t>Report HFIBNKU0:Infotype0009 with overlapping reocords issue</t>
  </si>
  <si>
    <t>Function FISIC ends with error after SAP Note 1576965</t>
  </si>
  <si>
    <t>Incorrect offcycle correction handling in reports</t>
  </si>
  <si>
    <t>RPCEDTF0: wrong/no RECOT rate if non-current payroll period</t>
  </si>
  <si>
    <t>Wrong prorata for common threshold in case of negative base</t>
  </si>
  <si>
    <t>RPCJDPF0: Assertion if "Cumulated results" option selected</t>
  </si>
  <si>
    <t>Wrong common threshold in case of reset of bases</t>
  </si>
  <si>
    <t>N4DS</t>
  </si>
  <si>
    <t>RPLCOTF2: fillon lines</t>
  </si>
  <si>
    <t>Alsace-Moselle determination not based on personnel subarea</t>
  </si>
  <si>
    <t>Directory traversal in PY-FR</t>
  </si>
  <si>
    <t>RPUGENF1: incorrect NCALE generated</t>
  </si>
  <si>
    <t>No scrollbar on screen 2040 in program MP006400</t>
  </si>
  <si>
    <t>No qualification found for employee hired before 1985</t>
  </si>
  <si>
    <t>Corrections to RPLASMF3 EDI format</t>
  </si>
  <si>
    <t>Alsace-Moselle based on btrtl not working for dads-u, n4ds</t>
  </si>
  <si>
    <t>2011 parameters for French payroll: SMICM on T511K</t>
  </si>
  <si>
    <t>N4DS: M. Data in cluster - Set infotypes as retro relevant</t>
  </si>
  <si>
    <t>PY-FR-IE</t>
  </si>
  <si>
    <t>Directory traversal in PY-FR-IE</t>
  </si>
  <si>
    <t>OTMF: Activation of Provider Option for MD Export</t>
  </si>
  <si>
    <t>Infotype 0008 data not transferred from decrees subscreens</t>
  </si>
  <si>
    <t>Entries missing in transaction PE51_CHECKTAB.</t>
  </si>
  <si>
    <t>Business Error when P6 details exist in p46 statement</t>
  </si>
  <si>
    <t>Incorrect processing of Part Day Absence in payroll.</t>
  </si>
  <si>
    <t>Missing checks for remaining entitlement in IT0088 &amp; payroll</t>
  </si>
  <si>
    <t>Employee rejected in payroll with an error "AWE check error"</t>
  </si>
  <si>
    <t>Processing class setting for SxPE wagetypes</t>
  </si>
  <si>
    <t>IT0572 is not working correctly for a sick pay extension.</t>
  </si>
  <si>
    <t>PY-GB-IE</t>
  </si>
  <si>
    <t>OTMG: Activation of Provider Option for MD Export</t>
  </si>
  <si>
    <t>GB Pension proration incorrect during mid period WPBP splits</t>
  </si>
  <si>
    <t>Issue with the replacement car in the previous tax year</t>
  </si>
  <si>
    <t>IYMV report - Address displayed is incorrect</t>
  </si>
  <si>
    <t>EOY file business validation on fore name</t>
  </si>
  <si>
    <t>E-Filing XML Business error only in 604 release</t>
  </si>
  <si>
    <t>EOY : Business validation on NI contribution band</t>
  </si>
  <si>
    <t>P11D report cannot be executed only for last 7 years</t>
  </si>
  <si>
    <t>Leaver report processing employees across tax year</t>
  </si>
  <si>
    <t>MPT from 4weekly to 4weekly payroll area for student loan</t>
  </si>
  <si>
    <t>Correction to note 1552349 in 604 release</t>
  </si>
  <si>
    <t>hmrc logo</t>
  </si>
  <si>
    <t>Error while executing P11D report for last seven years</t>
  </si>
  <si>
    <t>Issue with values in Section F of P11D form</t>
  </si>
  <si>
    <t>P45 leaver form inflated by previous employment pay</t>
  </si>
  <si>
    <t>Syntax error in include RPCI46G0</t>
  </si>
  <si>
    <t>Report IR56E displaying value outside the brackets Pt no 14</t>
  </si>
  <si>
    <t>HK Statutory Minimum Wage Ordinance 2011 - Phase 3</t>
  </si>
  <si>
    <t>Shortdump in PA30 of IT0346/IT0349</t>
  </si>
  <si>
    <t>HHKCTXB0: Report Dumps Due to Unrecognized HKSCS Charset</t>
  </si>
  <si>
    <t>PY-HK: WT /107 wrongly assigned to WT /202</t>
  </si>
  <si>
    <t>HKMCL Function: Wrong MPF Contribution Upper Limit</t>
  </si>
  <si>
    <t>Payroll: Function ADDCU Error for Special WPBP Split Cases</t>
  </si>
  <si>
    <t>PY-ID: Incorrect ER Tax ID displayed on Annual Tax Report</t>
  </si>
  <si>
    <t>Jamsostek ID not displayed on the 'Pay changes' form</t>
  </si>
  <si>
    <t>Displaying USC in Payroll Journal output as per year 2011.</t>
  </si>
  <si>
    <t>USC legal change for Bonus as per year 2011.</t>
  </si>
  <si>
    <t>Ireland: New G/L enablement for HCM (Payroll)</t>
  </si>
  <si>
    <t>Employer PRSI'able pay (/331) should be made 0 if Negative.</t>
  </si>
  <si>
    <t>PY-IE: PRSI weeks for Subclass are not displayed in XML File</t>
  </si>
  <si>
    <t>Income Levy Certificate for leavers in FY 2009 not displayed</t>
  </si>
  <si>
    <t>PY-IE-NT: PRSI 2011 Adjustment: Automated (Note 1579424)</t>
  </si>
  <si>
    <t>USC paid is not displayed on P35 for Tax basis 'X'.</t>
  </si>
  <si>
    <t>Form 217 report generated for employee with negative gross</t>
  </si>
  <si>
    <t>Form 16 on ESS not displayed incase multiple form 16 active</t>
  </si>
  <si>
    <t>TAN based switch is active, HRESSIN_F16 doesnot display F16</t>
  </si>
  <si>
    <t>FBP: Incorrect delimition of Infotype 0589 (Reimbursements)</t>
  </si>
  <si>
    <t>Ptax deductions inconsistent for multiple F16 COCD change</t>
  </si>
  <si>
    <t>Professional tax changes for Orissa state</t>
  </si>
  <si>
    <t>FORM 16: BAdI to overwrite acknowledgement details</t>
  </si>
  <si>
    <t>ESI not deducted for employees terminated employees</t>
  </si>
  <si>
    <t>ABAP runtime error COMPUTE_BCD_OVERFLOW in MP state Payroll</t>
  </si>
  <si>
    <t>ESI calculations inconsistent during payroll run for emp.</t>
  </si>
  <si>
    <t>Annual Conveyance Exemption not getting rounded off</t>
  </si>
  <si>
    <t>Form 12BA and perquisite amt inconsistent (transfer cases)</t>
  </si>
  <si>
    <t>Form 24Q selecting employees not belonging to particular FY</t>
  </si>
  <si>
    <t>ESI inconsistent for terminated emp. with multpile splits</t>
  </si>
  <si>
    <t>Challan details for multiple offcycle run inconsistent</t>
  </si>
  <si>
    <t>Challan details with balance amount displayed inconsistently</t>
  </si>
  <si>
    <t>Records on third page of Form 16 not displayed consistently</t>
  </si>
  <si>
    <t>Form 16AA not displaying Challan details consistently</t>
  </si>
  <si>
    <t>Page 3 details inconsistently for multiple offcycle runs</t>
  </si>
  <si>
    <t>Form 24Q not displaying results for TAN based reporting</t>
  </si>
  <si>
    <t>Form 16 not getting generated if employee is inactive in FY</t>
  </si>
  <si>
    <t>HR-IT: RPUDUII0 - Input of annotations only in upper case</t>
  </si>
  <si>
    <t>HR-IT: TFR - IT0548 Fund search help / payroll blocking msg</t>
  </si>
  <si>
    <t>HR-IT: UniEmens V1.2 - Correction Package 1</t>
  </si>
  <si>
    <t>HR-IT: Detr. per famiglie numerose 2011 corrections I</t>
  </si>
  <si>
    <t>HR-IT: uniemens 1.2 CP2 management of ELIMINA issue</t>
  </si>
  <si>
    <t>HR-IT: 770/2011 CP2</t>
  </si>
  <si>
    <t>HR-IT: ITASS RICA - Reuse of kenn1-kenn2 for "ricaduta"</t>
  </si>
  <si>
    <t>HR-IT: 730/2011 - Correction Package I</t>
  </si>
  <si>
    <t>Hokensha-Santei: Payment Basis Days Check for Part Timer</t>
  </si>
  <si>
    <t>LC2011: SI Qualification Loss Form Revision</t>
  </si>
  <si>
    <t>RPCRTXJ0:lowercase of katakana is not converted to uppercase</t>
  </si>
  <si>
    <t>Correction of payroll period in RPCELVJ0 &amp; RPCEWCJ0</t>
  </si>
  <si>
    <t>RPCSHSJ0: Item 40-43 in Report Output are Inconsistent</t>
  </si>
  <si>
    <t>RPCEADJ0: Incorrect Output for Otsu-ran Employee</t>
  </si>
  <si>
    <t>RPCEADJ0&amp;RPCEWGJ1: Form Output Related Corrections</t>
  </si>
  <si>
    <t>Mid-YEA 2011: YEA Receipt and Donation Receipt</t>
  </si>
  <si>
    <t>SEP Tax Deferring Statement YEA 2011 Update</t>
  </si>
  <si>
    <t>Generate Reimburse Wage Types for EI and WCI in YEA Payroll</t>
  </si>
  <si>
    <t>LC2011: Maximum HI Monthly Compensation Increased</t>
  </si>
  <si>
    <t>Incorrect NP and EI Premium while Rerun YEA Payroll</t>
  </si>
  <si>
    <t>2011 CI: Enhanced EI &amp; WCI Contribution Rates Customizing</t>
  </si>
  <si>
    <t>Miscalculate the EI Premium for Retiring Employees</t>
  </si>
  <si>
    <t>[MX] Changes in BADI_MXCALC_INFONAVI org. assignment data</t>
  </si>
  <si>
    <t>[MX] Layout update on initial loading report HMXUSARPBS</t>
  </si>
  <si>
    <t>[MX] CURP validation on IT0002</t>
  </si>
  <si>
    <t>[MX] Incorrect value for work days using HMXCSARPBS</t>
  </si>
  <si>
    <t>[MX] Doubled amount of Payment Exempt wage type at HMXCGRI0</t>
  </si>
  <si>
    <t>PY-MY: SOCSO Payment slip for SOCSO 8B report</t>
  </si>
  <si>
    <t>PY-MY: Incorrect year in download filename for CP39A</t>
  </si>
  <si>
    <t>PY-MY : Runtime error due to IT21 subtype in CP22 report</t>
  </si>
  <si>
    <t>PY-MY:TAXE contains previous employee values in retro period</t>
  </si>
  <si>
    <t>PY-MY : Runtime error in Report RPCTDAL0</t>
  </si>
  <si>
    <t>Arithmetic overflow in function LEPF on executing payroll</t>
  </si>
  <si>
    <t>WCR: Assign Wage Types to WCR Codes / WCR Overview Report</t>
  </si>
  <si>
    <t>Aangifte LH: Employee with Spec. EE Group 888 considered</t>
  </si>
  <si>
    <t>Authorization object for temse file download.</t>
  </si>
  <si>
    <t>Norway Reimbursement claim forms in PDF format</t>
  </si>
  <si>
    <t>SPK Reporting Issues - July 2011</t>
  </si>
  <si>
    <t>Legal Change - Error due to K27 format change</t>
  </si>
  <si>
    <t>Report RPLAAMV0 modified for Hourly Employees</t>
  </si>
  <si>
    <t>Reimbursement Redesign - Issues July 2011</t>
  </si>
  <si>
    <t>ERC Report: Output with Ctrl+P is incorrect</t>
  </si>
  <si>
    <t>OREF reading for weekdays - Adding New Solution Go Live Date</t>
  </si>
  <si>
    <t>Reimbursement- error while reading absence grouping</t>
  </si>
  <si>
    <t>Negative number of hours are reported as positive</t>
  </si>
  <si>
    <t>Infotype 0041 record is not read in retroactive payroll run</t>
  </si>
  <si>
    <t>New wagetypes for ERC delta calculations for OREF and VREF</t>
  </si>
  <si>
    <t>Settlement &amp; Recovery dates in IT0965 screen not editable</t>
  </si>
  <si>
    <t>Generation error in Subschema UN21 and schema UN90</t>
  </si>
  <si>
    <t>Additional Hardship Allowance</t>
  </si>
  <si>
    <t>Wrong tax for STC on redundancy, /146 not reported in EMS</t>
  </si>
  <si>
    <t>EMS,REM reports incorrect for mid period change in pers area</t>
  </si>
  <si>
    <t>Incorrect leave liabilty, Non display of leaves in HNZLLVL0</t>
  </si>
  <si>
    <t>HNZLVLL0: Non display of leave liability values</t>
  </si>
  <si>
    <t>Social Balance: wrong data type for HR_PT_SOCPBS_PS BAdI</t>
  </si>
  <si>
    <t>RPCSSRP0: Additional corrections II</t>
  </si>
  <si>
    <t>RPCAIDP0,RPCIIDP0:generating only income from previous years</t>
  </si>
  <si>
    <t>Incorrect rounding for tax amounts of independent workers</t>
  </si>
  <si>
    <t>RPCSSRP0: Additional corrections III</t>
  </si>
  <si>
    <t>RPCALCPO: new include for special development in PS</t>
  </si>
  <si>
    <t>Social Balance: wrong BAdi parameter type on note 1554428</t>
  </si>
  <si>
    <t>Reduction of remuneration for Public Sector</t>
  </si>
  <si>
    <t>RPCSENPT0PBS: Improvement to cover the conversion rule 0100</t>
  </si>
  <si>
    <t>HR-RU: erroneous processing of blocked records in RURAB</t>
  </si>
  <si>
    <t>HR-RU: wrong income tax deduction after Note 1445404</t>
  </si>
  <si>
    <t>HR-RU, 4-FSS: editable numerics, repeatable Part II, T7</t>
  </si>
  <si>
    <t>RPSSFDS0 execution is terminated if employee has no payroll</t>
  </si>
  <si>
    <t>RPLSPPS2-H17 entries in Temse File and Legal Person Changes</t>
  </si>
  <si>
    <t>Employer Certificate form total gross amount changes</t>
  </si>
  <si>
    <t>Inconsistency in V_T5S3 row 17 for 2010</t>
  </si>
  <si>
    <t>Issue with CPF retro for foreign currency payments in IT0015</t>
  </si>
  <si>
    <t>Legal change: Correction to TW ceiling from September 2011</t>
  </si>
  <si>
    <t>PY-SG: Auto computation of value of the place of residence</t>
  </si>
  <si>
    <t>PY-SG: FWL tier text change (w.e.f. 01.07.2011) in V_T5R1D</t>
  </si>
  <si>
    <t>PY-SG: Additions to note 1564382 for IR21</t>
  </si>
  <si>
    <t>PY-SG: Legal change for constant LIMVC w.e.f. 01.01.2011</t>
  </si>
  <si>
    <t>Correction to Note 1576531: CPF rate changes 01.09.2011</t>
  </si>
  <si>
    <t>PY-TH: BADI to project Annual Regular Income in HTHCALC0</t>
  </si>
  <si>
    <t>PY-TH : Insurance Registration and Cessation report</t>
  </si>
  <si>
    <t>PY-TH: Issue with 50BIS form when IT0001 has splits</t>
  </si>
  <si>
    <t>PY-TH: Incorrect value passed to BadI's parameter</t>
  </si>
  <si>
    <t>Legal Change: New Format for 2IN1 and 3IN1 Medium Report</t>
  </si>
  <si>
    <t>HTWLHIM0: Runtime Error if Personal ID Is Alphanumeric</t>
  </si>
  <si>
    <t>CLM: Error in Claims Processing for retrocalculation</t>
  </si>
  <si>
    <t>The Reconciliation Report generates wrong MTD total</t>
  </si>
  <si>
    <t>TR: SUI California DE 9 and DE 9C XML changes</t>
  </si>
  <si>
    <t>PY-US-TR: Incorrect amount on Line 5c (column 2) of Form 941</t>
  </si>
  <si>
    <t>TR: Out of state wages for custom forms in SUI AR</t>
  </si>
  <si>
    <t>TR: Extra magnetic media files being created for localities</t>
  </si>
  <si>
    <t>Q2/2011: Functional changes for U.S. Tax Reporter.</t>
  </si>
  <si>
    <t>TR: California State Unemployment Insurance DE 3D changes</t>
  </si>
  <si>
    <t>TAX: Supplemental wage not taxed properly.</t>
  </si>
  <si>
    <t>TAX:RPCALCU0 Dump during override processing in case of NAMC</t>
  </si>
  <si>
    <t>Absences that reduces yearly seniority</t>
  </si>
  <si>
    <t>IRP5 on ESS - RPCTCFW0</t>
  </si>
  <si>
    <t>Car allowance impact on company car benefit calcualtions</t>
  </si>
  <si>
    <t>Tax Year 2012 : Table T5W2R - Tax Rates Correction</t>
  </si>
  <si>
    <t>Delimit function not delimiting the record in view V_T5WOF</t>
  </si>
  <si>
    <t>South Africa - COID Threshold changed 01.April.2011</t>
  </si>
  <si>
    <t>XX-TRANSL-FR</t>
  </si>
  <si>
    <t>Translation into French</t>
  </si>
  <si>
    <t>French translation not compliant with legal Belgian texts</t>
  </si>
  <si>
    <t>French translation of schemes for Switzerland missing</t>
  </si>
  <si>
    <t>XX-TRANSL-TH</t>
  </si>
  <si>
    <t>Translation correction of Thai</t>
  </si>
  <si>
    <t>Correction of translation of 'Absorbed Tax'</t>
  </si>
  <si>
    <t>SAPKE60438</t>
  </si>
  <si>
    <t>Possible SQL injection</t>
  </si>
  <si>
    <t>ATZ bei vorherigem BeschÃ¤ftigungsgrad kleiner als 100%</t>
  </si>
  <si>
    <t>Dynamische MaÃŸnahme fÃ¼r IT0367 von IT0002 u. IT0006</t>
  </si>
  <si>
    <t>IT0008: Feld Q0008-ZTEXT ist nicht auszublenden</t>
  </si>
  <si>
    <t>Garnish. Historical Overview: Header data errors</t>
  </si>
  <si>
    <t>Dummy Note for De-Coupling</t>
  </si>
  <si>
    <t>Steuerliche Unterbrechung bei Urlaub wÃ¤hrend Teilzeit</t>
  </si>
  <si>
    <t>Fristenberechnung: Aktualisierungen zum Merkmal SWOED</t>
  </si>
  <si>
    <t>Corrections to TNM CRUD behavior</t>
  </si>
  <si>
    <t>Enhancements to TNM-LSO objects (SAP_HCRFR)</t>
  </si>
  <si>
    <t>2483: Length adjustment on certain fields of CADRE B</t>
  </si>
  <si>
    <t>SNAPSHOT: Wrong TEMSE type for Status "11"</t>
  </si>
  <si>
    <t>Incorrect display of NI number check error in IT0048</t>
  </si>
  <si>
    <t>HR-IT: T588M error in IT0021 / dynpro MPV30600/2000</t>
  </si>
  <si>
    <t>IT3203&amp;IT3204: Add CI_P3203 and technical setting</t>
  </si>
  <si>
    <t>Dummy Note for Pilotting Project</t>
  </si>
  <si>
    <t>RPLWPAN0: Incorrect descriptions for Code Welfare Claimant</t>
  </si>
  <si>
    <t>SAP Query of 0337 infotype causes message error</t>
  </si>
  <si>
    <t>HR-RU, T-2: repeated vacations in the part VIII</t>
  </si>
  <si>
    <t>Infotypes 0006 and 0021: text fields updating on screen 2033</t>
  </si>
  <si>
    <t>HRULP4: No Personnel Number in Error Messages on Feature</t>
  </si>
  <si>
    <t>HR-RU Orders: Manager Data by the Order Date</t>
  </si>
  <si>
    <t>HR-RU: Russian Infotype 0294 list(fast) screen change</t>
  </si>
  <si>
    <t>HR-RU: HRUAT7 does not work with IT1655 in CE for EHP5</t>
  </si>
  <si>
    <t>SZV-6-1, SZV-6-2: the rejecting form XML</t>
  </si>
  <si>
    <t>IT0818: Wrong Default Value for the Class(NPCLS) Field</t>
  </si>
  <si>
    <t>VETS: VETS Report RPSVT1U0 retrieves job code incorrectly.</t>
  </si>
  <si>
    <t>VETS: VETS 100A report reading incorrect Employer ID</t>
  </si>
  <si>
    <t>Short dump on IT0021 due to T777D for IT0106</t>
  </si>
  <si>
    <t>EEO Report: Incorrect unit number display.</t>
  </si>
  <si>
    <t>IT0002: SSN not cleared on IT0002 screen.</t>
  </si>
  <si>
    <t>BEN: Payroll log does not display 403(b) limit amounts.</t>
  </si>
  <si>
    <t>Missing lable for field GBDEP and Warning for age in IT0002</t>
  </si>
  <si>
    <t>CPS: Rounding differences during base calculation</t>
  </si>
  <si>
    <t>CPS: IT 3291: Currency fields in the SAP query</t>
  </si>
  <si>
    <t>Hard-coded credentials in PA-PF-NL</t>
  </si>
  <si>
    <t>PP61: Cost assignment is lost II</t>
  </si>
  <si>
    <t>Cost center is missing</t>
  </si>
  <si>
    <t>Day type is missing in closed target plan</t>
  </si>
  <si>
    <t>PY-AR: WT /315 generation after closing normal payroll</t>
  </si>
  <si>
    <t>[AR] Error at field Maternity on SICOSS</t>
  </si>
  <si>
    <t>[AR] New SAC calculation validity setting</t>
  </si>
  <si>
    <t>[AR] Update Min. &amp; Max. Social Insurance for SUSS</t>
  </si>
  <si>
    <t>PCALZ: Korrektur fÃ¼r neue LZ SV bei UE und Wiedereintritt</t>
  </si>
  <si>
    <t>PCALZ: Falsche Stornomeldungen</t>
  </si>
  <si>
    <t>Zahlung nach Austritt: Regel AUK0 funktioniert nicht</t>
  </si>
  <si>
    <t>Missing wage types for Loan functionality in V_T512W_D</t>
  </si>
  <si>
    <t>Correction in documentation of  QTAXC operation</t>
  </si>
  <si>
    <t>Short text for Flood Levy wage type /4F3 incorrect</t>
  </si>
  <si>
    <t>Payment summary : ATO time stamp not getting set in IT0850</t>
  </si>
  <si>
    <t>Super Contribution for EEs terminated before payment date</t>
  </si>
  <si>
    <t>Term workbench not picking up all leave entitlements</t>
  </si>
  <si>
    <t>DeCavaA/DmfA: INSS of substitute employee not correct</t>
  </si>
  <si>
    <t>Additional institutions to be displayed on payroll account</t>
  </si>
  <si>
    <t>Holiday payment : nb of hours in case of carreer interrupt.</t>
  </si>
  <si>
    <t>Dimona 2010 - Generation Report - Get Address Data</t>
  </si>
  <si>
    <t>DmfA - Contribution Adjustment for Dismissed Stat. Staff</t>
  </si>
  <si>
    <t>Low wages - error change blue/white collar during month</t>
  </si>
  <si>
    <t>Dimona 2010 - Preparation Report - Correction on relevancy</t>
  </si>
  <si>
    <t>DeCavaA-wrong SI contribution due to incorrect thresholds</t>
  </si>
  <si>
    <t>DeCavaA/DmfA: INSS of substitute employee not correct II</t>
  </si>
  <si>
    <t>Dimona 2010 - Preparation Report Corrections</t>
  </si>
  <si>
    <t>BELCOTAX: RPCBWPB0 - Printout Form  - Employee address</t>
  </si>
  <si>
    <t>Capelo &amp; DmfA fix: Capelo Exempted change &amp; Occupation split</t>
  </si>
  <si>
    <t>Dimona 2010 - Temse Viewer &amp; Variants corrections</t>
  </si>
  <si>
    <t>Recognized Partial Illness correction - RPTGENB0</t>
  </si>
  <si>
    <t>DeCavaA - CI wrong contribution for difficulty/restructure</t>
  </si>
  <si>
    <t>SOCIAL BALANCE: Section for Leavings with errors</t>
  </si>
  <si>
    <t>Tax calculation of exceptional taxes not rounded - Part II</t>
  </si>
  <si>
    <t>DmfA Update: Problem to generate the XML file</t>
  </si>
  <si>
    <t>BELCOTAX: Preparation for Year 2012</t>
  </si>
  <si>
    <t>Wrong defaulting for infotype 0101 Fiscal Data Belgium</t>
  </si>
  <si>
    <t>Dimona: B2A and notification processing</t>
  </si>
  <si>
    <t>Field label of data element RSZNA wrong</t>
  </si>
  <si>
    <t>SEFIP: Record 00 with incorrect registration type</t>
  </si>
  <si>
    <t>SREP:data import of eletronic time register - Dir. Traversal</t>
  </si>
  <si>
    <t>Termination Term: missing amounts for field 83</t>
  </si>
  <si>
    <t>SEFIP:'Cod.Pagto.GPS' with value for 'Cod. recolhimento' 150</t>
  </si>
  <si>
    <t>PY-BR-IE</t>
  </si>
  <si>
    <t>OMBR: Activation of Provider Option for MD Export</t>
  </si>
  <si>
    <t>WHT accntng: Runtime err 'SUM_OVERFLOW', fld 'QSPRO_MON_DEC'</t>
  </si>
  <si>
    <t>Wthldg tx VD: LR error, change of child benefit to tng bonus</t>
  </si>
  <si>
    <t>WHT Vaud: EMP-ACI: Gross less than 0 due to emp. grp. change</t>
  </si>
  <si>
    <t>Family-rel bonus reg: Early training bonus ends too early</t>
  </si>
  <si>
    <t>WHT VD/GE(ISEL): Invalid value for date of birth in XML</t>
  </si>
  <si>
    <t>Maternity pay: PDF form not found</t>
  </si>
  <si>
    <t>LAW 2005: Logical form is not evaluated</t>
  </si>
  <si>
    <t>ISEL/withholding tax: Canton of Geneva, negative amts in XML</t>
  </si>
  <si>
    <t>Directory traversal in RPLQSTC3</t>
  </si>
  <si>
    <t>Corr of sample for dyn actions for nationality/resid status</t>
  </si>
  <si>
    <t>[CL] Missing Customizing for APVC and Affiliate Voluntary</t>
  </si>
  <si>
    <t>[CL] New Social Insurance basis for Medical Leaves</t>
  </si>
  <si>
    <t>[CL] Subsidy and Complement calculation in Absences</t>
  </si>
  <si>
    <t>[CL] Retroactive differences in Payment period</t>
  </si>
  <si>
    <t>[CL] Missing Reliquidation Wage Types for HCLCINE0 report</t>
  </si>
  <si>
    <t>[CL] Garnishments on Termination</t>
  </si>
  <si>
    <t>[CL] Enhancement for unique RUT ID validation</t>
  </si>
  <si>
    <t>[CL] Enhancements and Corrections for Reliquidation - v4</t>
  </si>
  <si>
    <t>[CL] Missing Payroll results in Legal Reports</t>
  </si>
  <si>
    <t>[CL] Missing Payroll results with Retroactive calculation</t>
  </si>
  <si>
    <t>Tax calculation based on pay date of for period when retro</t>
  </si>
  <si>
    <t>Missing entries in T5D0C for modifiers 09,39,48,49</t>
  </si>
  <si>
    <t>DEUEV: Notif. 60, 61, 63  in status "New" and "Incorrect"</t>
  </si>
  <si>
    <t>DEUEV: Unnecessary registrations with the reason 10</t>
  </si>
  <si>
    <t>DEUEV data record version 02: Corrections IV</t>
  </si>
  <si>
    <t>DEUEV: Report for consistency check of DEUEV notifications</t>
  </si>
  <si>
    <t>DEUEV: Corrections during notification creation II</t>
  </si>
  <si>
    <t>PY-DE-FP-MV</t>
  </si>
  <si>
    <t>SI Notifications</t>
  </si>
  <si>
    <t>EEL: Process view administrator list</t>
  </si>
  <si>
    <t>Monthly manual specification of adjustment amount</t>
  </si>
  <si>
    <t>Incorrect reimbursement /6H5 due to supplementary pension</t>
  </si>
  <si>
    <t>PY-DE-NT-CF</t>
  </si>
  <si>
    <t>Capital Formation</t>
  </si>
  <si>
    <t>IT 0010: DVB10 w/o proposal of no of employer's contributns</t>
  </si>
  <si>
    <t>BVV: Supplements 03</t>
  </si>
  <si>
    <t>Sec. 851c Exmpt from Garnshmnt for Dirct Cnfrmtns - enhncmnt</t>
  </si>
  <si>
    <t>Grnshmnt princple of origin: No termntn w/o clster authorztn</t>
  </si>
  <si>
    <t>EEL: Delivery of CLC September 2011</t>
  </si>
  <si>
    <t>EEL: Corrections and enhancements 9</t>
  </si>
  <si>
    <t>EEL: Incorrect data in status table</t>
  </si>
  <si>
    <t>EEL: Corrections and enhancements 10</t>
  </si>
  <si>
    <t>EEL/BEW: Error in statement function KUZR</t>
  </si>
  <si>
    <t>SV: Improvements for notification retrieval from SHI server</t>
  </si>
  <si>
    <t>EEL: Korrekturen und Erweiterungen 11</t>
  </si>
  <si>
    <t>EEL: Logging determination of gross and net amounts</t>
  </si>
  <si>
    <t>EEL: Corrections and enhancements 12</t>
  </si>
  <si>
    <t>EEL: Notification of income liable to contributions</t>
  </si>
  <si>
    <t>EEL: Corrections and enhancements 13</t>
  </si>
  <si>
    <t>ZMV: Various corrections and enhancements III</t>
  </si>
  <si>
    <t>EEL/BEW: Error with statement function CAAT</t>
  </si>
  <si>
    <t>Miners' insurance: Forwarding position 98094032 closed</t>
  </si>
  <si>
    <t>EEL: Ãœberarbeitung Report 'RÃ¼ckmeldungen EEL verarbeiten'</t>
  </si>
  <si>
    <t>ETStmt: Changes 09 2011</t>
  </si>
  <si>
    <t>No old-age exemption amount for restricted tax liability</t>
  </si>
  <si>
    <t>RPSPSTD0: VdR/RESEARCH statistics 2011 and corr. to PSST</t>
  </si>
  <si>
    <t>Factoring of trainees with subapplication ALQ3</t>
  </si>
  <si>
    <t>ATZ: TV FlexAZ and TV Bund: Processing irregular payments</t>
  </si>
  <si>
    <t>Art. 84 BayBeamtVG: Combining pension payments 2</t>
  </si>
  <si>
    <t>Pension equalization payment 2010: Active persons entitled 4</t>
  </si>
  <si>
    <t>Numratr/denomnatr reduct. for compuls ret. + compuls PT serv</t>
  </si>
  <si>
    <t>Accounting offices for treaty on sharing on pension costs</t>
  </si>
  <si>
    <t>Pension equalization payt 2010: Active liable persons (5)</t>
  </si>
  <si>
    <t>Incorr pension pay reduction acc to sect 14 para 3 BeamtVG</t>
  </si>
  <si>
    <t>PY-DK</t>
  </si>
  <si>
    <t>Missing Authorization in Funciton Module HR_DK_READ_TEXTS</t>
  </si>
  <si>
    <t>IRPF: Extension of work activity for 65 years old employees</t>
  </si>
  <si>
    <t>190: Dump when printing model 190 form through PDF output</t>
  </si>
  <si>
    <t>TC: Issue with retroactive change of IT/ATE</t>
  </si>
  <si>
    <t>TC: Issue with L02 classifier and bonification</t>
  </si>
  <si>
    <t>VND calculation in a period with no active days</t>
  </si>
  <si>
    <t>Dump during the use of class CL_HR_ES_COINEM_DATA_PROVIDER</t>
  </si>
  <si>
    <t>IGA: Problems using REACA for irregular incomes estimation</t>
  </si>
  <si>
    <t>Contrat@:Issue in optional tag after Royal Decree-Law 1/2011</t>
  </si>
  <si>
    <t>SAP note 1572977 causing issues on S.Security start date II</t>
  </si>
  <si>
    <t>TC: Issue with 610 field in TC1 printed form</t>
  </si>
  <si>
    <t>CALC: Retroactivity protection after SAP note 1576828</t>
  </si>
  <si>
    <t>RED 8/2011: Complementary decl. separated in June/July 2011</t>
  </si>
  <si>
    <t>CALC: Wrong number of worked days after SAP note 1554834</t>
  </si>
  <si>
    <t>HPA Report with correction in Absence and Posting handling.</t>
  </si>
  <si>
    <t>KELA _ Translation</t>
  </si>
  <si>
    <t>DUCS: FNAL "rÃ©gularisation nÃ©gative"</t>
  </si>
  <si>
    <t>Corrections to DMMO EDI file</t>
  </si>
  <si>
    <t>RPLCOTF2 wrong display of FILLON contribution</t>
  </si>
  <si>
    <t>DADS-U: Correction of structure P06DAD_T_EMETTEUR4</t>
  </si>
  <si>
    <t>Wrong date format in pay statement for IJSS payments EDI</t>
  </si>
  <si>
    <t>File path might be wrong because of conversion to uppercase</t>
  </si>
  <si>
    <t>Payroll fails as part day absence is treated as overlapping</t>
  </si>
  <si>
    <t>Tax Calculation issues for Late payments and NT tax code</t>
  </si>
  <si>
    <t>EOY and P11D report Documentation updates</t>
  </si>
  <si>
    <t>IR56B Cannot be Printed for All Report Group</t>
  </si>
  <si>
    <t>Only 80 characters in Item 17 can be displayed of IR56F form</t>
  </si>
  <si>
    <t>PY-HK: Employee long name issue on IR56E form</t>
  </si>
  <si>
    <t>The content in IR56B report are displayed in wrong place</t>
  </si>
  <si>
    <t>HK: Dummy for checkman correction about report HHKCWTR0</t>
  </si>
  <si>
    <t>PY-HK: MPF Minimum Income Level Change from November 1, 2011</t>
  </si>
  <si>
    <t>MPF Miscalculated If Employment Ends When Employee over 65</t>
  </si>
  <si>
    <t>Name Display in IR56E Form</t>
  </si>
  <si>
    <t>Correction for Function ADDCU Error when Off-Cycle Payroll</t>
  </si>
  <si>
    <t>Current period is displayed as 00/0000 in Jamsostek form 2A</t>
  </si>
  <si>
    <t>Incorrect layout of Jamsostek 'pay changes' form</t>
  </si>
  <si>
    <t>Incorrect PRSI STAMPS allocation during OFF schedule days</t>
  </si>
  <si>
    <t>/700 shouldn't be flagged as PRSI#able,Correction to 1608104</t>
  </si>
  <si>
    <t>PY:IE /331 ER PRSIable Pay incorrect with Change of PY Area</t>
  </si>
  <si>
    <t>PRSI 2011 Adjustment: Automated (Note 1579424) [Part 2]</t>
  </si>
  <si>
    <t>Legal Change: New Version(7) of P35L for XML submission</t>
  </si>
  <si>
    <t>Form 6A-EPF contribution not considering Ee's contribution</t>
  </si>
  <si>
    <t>Inconsistency in reporting perks on Form 16 for COCD change</t>
  </si>
  <si>
    <t>Error message encountered for successful claims disbursement</t>
  </si>
  <si>
    <t>Form 24Q not displaying records consistently on execution</t>
  </si>
  <si>
    <t>Email of person responsible blank on Form 27A</t>
  </si>
  <si>
    <t>Interest Rate field in T7INJ7 enhanced to store dec. values</t>
  </si>
  <si>
    <t>Form 16 not displaying annual perk amount consistently</t>
  </si>
  <si>
    <t>Slab types for different categories not picked consistently</t>
  </si>
  <si>
    <t>Error while updating Infotype 0581 without using Std T.codes</t>
  </si>
  <si>
    <t>Inconsistent perk reported for multiple Form16 scenarios</t>
  </si>
  <si>
    <t>Claims disbursements happening inconsistently for employees</t>
  </si>
  <si>
    <t>HR-IT: COVER upload report</t>
  </si>
  <si>
    <t>HR-IT: RPULULI0  new upload appl. server logical file</t>
  </si>
  <si>
    <t>HR-IT: UniEmens reports incorrect value in SettimaneUtili</t>
  </si>
  <si>
    <t>HR-IT: UniEmens V1.2 - Correction Package 3</t>
  </si>
  <si>
    <t>HR-IT: ITCIG - Error with WPBP split and previous auth.</t>
  </si>
  <si>
    <t>HR-IT: CUD for employees terminated during 2011</t>
  </si>
  <si>
    <t>HR-IT: Infotype 0154 differences between database and screen</t>
  </si>
  <si>
    <t>HR-IT: UniEMENs wrong TipoCopertura for unauthorized CIG</t>
  </si>
  <si>
    <t>OTMI: Activation of Provider Option for MD Export</t>
  </si>
  <si>
    <t>RPCEADJ0: Start Living Date Displayed Incorrectly</t>
  </si>
  <si>
    <t>Incorrect Syoyo Income Tax When Flexpay OFF and Rehiring ON</t>
  </si>
  <si>
    <t>RPCSHAJ0: Include Total Standardized shoyo Amount in Output</t>
  </si>
  <si>
    <t>Labor Insurance for Hei-ran Employee</t>
  </si>
  <si>
    <t>IT3203: Improper service year in retirement tax calculation</t>
  </si>
  <si>
    <t>Include Retirement Correction Results into Wage Ledger</t>
  </si>
  <si>
    <t>Manage Fee to Multiple Unions in Infotype 0014/0015/0057</t>
  </si>
  <si>
    <t>Instruction Text Update: 2011 Separation Tax Deferring</t>
  </si>
  <si>
    <t>[MX] Wrong INFONAVIT discount after change on minimum wage</t>
  </si>
  <si>
    <t>[MX] HMXCIES0 is considering non relevant payroll areas</t>
  </si>
  <si>
    <t>[MX] HMXCIES0 is considering wrong off-cycle period</t>
  </si>
  <si>
    <t>[MX] Wrong work days in RCV using HMXCSARPBS</t>
  </si>
  <si>
    <t>PY-MY: Incorrect accumulated tax display in payroll log</t>
  </si>
  <si>
    <t>Changes in Maybank 2e.net IRB, SOCSO8A and EPF payment files</t>
  </si>
  <si>
    <t>PY-MY: Incorrect text in Sections G and F of EA form</t>
  </si>
  <si>
    <t>PY-MY : Issues in CP22 and Borang 2 Report</t>
  </si>
  <si>
    <t>Localization of New GL for Netherlands</t>
  </si>
  <si>
    <t>Negative Surplus not working correctly</t>
  </si>
  <si>
    <t>Technical Correction to File Access on Application Server</t>
  </si>
  <si>
    <t>Pension calculation functionality: Missing Texts for EN</t>
  </si>
  <si>
    <t>RPCALCN0: WCR and Offsetting of Commuter Allowance (NSALD)</t>
  </si>
  <si>
    <t>RPLWCON0: Technical Enhancement</t>
  </si>
  <si>
    <t>WCR: Value help for system ID</t>
  </si>
  <si>
    <t>NSV02: Incorrect ZVW-premium calculation</t>
  </si>
  <si>
    <t>Incorrect result by Norway ATS Print Report (RPLATSV0)</t>
  </si>
  <si>
    <t>Overtime report: Weekly record not displayed</t>
  </si>
  <si>
    <t>RPLLONV0: Reports loans completed the previous year</t>
  </si>
  <si>
    <t>Incorrect handling of inactive employees by report RPURMBVO</t>
  </si>
  <si>
    <t>SPK Reporting Issues - August 2011</t>
  </si>
  <si>
    <t>IT0961-Missing validation,Restoration and Actuarial amounts</t>
  </si>
  <si>
    <t>Issues with Pretax Deductions for zero taxable earnings</t>
  </si>
  <si>
    <t>PY-NZ: Incorrect amount for termination leave wagetypes</t>
  </si>
  <si>
    <t>PY-NZ: Non display of retro wage types on termination report</t>
  </si>
  <si>
    <t>PY-NZ: Incorrect tax calculation on termination</t>
  </si>
  <si>
    <t>Incorrect leave liability in case of multidecimal currency</t>
  </si>
  <si>
    <t>PY-PH: MWE status changes 2011 and Taxable HDMF vol. Contr.</t>
  </si>
  <si>
    <t>PY-PH: Issue with the output format of report HPHRSBR0</t>
  </si>
  <si>
    <t>RPCOVRP0: overtime records are not displayed</t>
  </si>
  <si>
    <t>HR-PT: VA contigente for long absences with an year break</t>
  </si>
  <si>
    <t>RPCOVRP0: missing hours for compensatory rest</t>
  </si>
  <si>
    <t>Error in RPTQTA00 vacation quota generation and long absence</t>
  </si>
  <si>
    <t>RPCALCP0: BAdI for Payroll function PNAB</t>
  </si>
  <si>
    <t>Indep. Workers: New field in IT331 to determine tax rate</t>
  </si>
  <si>
    <t>RPCGSRP0: basis remuneration wrongly sums absences deduction</t>
  </si>
  <si>
    <t>RPCSSRP0: Additional corrections IV</t>
  </si>
  <si>
    <t>Single Report: wrong number of hours for training duration</t>
  </si>
  <si>
    <t>Single Report: wrong number of trainings in attachment C</t>
  </si>
  <si>
    <t>PY-PT: wrong return code for non existing features values</t>
  </si>
  <si>
    <t>Wrong family allowance calculation for children under 1 year</t>
  </si>
  <si>
    <t>CGA report: concatenation of consecutive absences</t>
  </si>
  <si>
    <t>RPCSENPT0PBS: Flag to determine professional category source</t>
  </si>
  <si>
    <t>SIADAP: Improvements and corrections to PDF forms</t>
  </si>
  <si>
    <t>HCM PS: Legal relationship for legal reports of PS</t>
  </si>
  <si>
    <t>ADSE XML report generated for employees without ADSE number</t>
  </si>
  <si>
    <t>ADSE: Reimbursement amount is not being updated in IT0896</t>
  </si>
  <si>
    <t>Annual Staff Report: improvements in functionality</t>
  </si>
  <si>
    <t>Family allowance: wrong warning message in IT0021</t>
  </si>
  <si>
    <t>Social Balance PS: bachelor degree is missing on board 4</t>
  </si>
  <si>
    <t>HR-RU: Compensation payments for work accident absence 2011</t>
  </si>
  <si>
    <t>HR-RU: HRULSICK in 2011</t>
  </si>
  <si>
    <t>HR-RU: New Algorithm of SI Compensation Payments Since 2011</t>
  </si>
  <si>
    <t>HRULP4: Output Data of Detached Subdivisions</t>
  </si>
  <si>
    <t>HR-RU: wrong loan in different currencies after Note 1534731</t>
  </si>
  <si>
    <t>HR-RU: Old processing AVERA adjustment for off-cycle</t>
  </si>
  <si>
    <t>HR-RU: Preview delivery for Note 1617139</t>
  </si>
  <si>
    <t>Presentation of Gross Debt wagetypes on Payslip</t>
  </si>
  <si>
    <t>Incorrect calculation for multiple absences in same day</t>
  </si>
  <si>
    <t>Incorrect EE contr display in overview screen of CPF report</t>
  </si>
  <si>
    <t>PATline: Incorrect refund date in IR8S file</t>
  </si>
  <si>
    <t>Correction to Note 1576531: CPF rate changes 01 Sep 2011</t>
  </si>
  <si>
    <t>CPF limits for payroll run after termination</t>
  </si>
  <si>
    <t>Incorrect shortfall/excess calculation (public sector)</t>
  </si>
  <si>
    <t>PY-TH : Issues in Name and Tax ID fields in PIT91 form</t>
  </si>
  <si>
    <t>PY-TH: Monthly salary not being passed to BADI parameter</t>
  </si>
  <si>
    <t>PY-TH: Sequence no. in ITF1 (Monthly report) is not correct</t>
  </si>
  <si>
    <t>New Rule for LI Days Should be Standard Solution</t>
  </si>
  <si>
    <t>PAY: Warning message if no record in IT0221</t>
  </si>
  <si>
    <t>PAY: ULK9 does not generate benefit info for Arrears.</t>
  </si>
  <si>
    <t>PY-US: Missing authorization check in garnishments</t>
  </si>
  <si>
    <t>VETS: New Hires with organizational changes not counted</t>
  </si>
  <si>
    <t>REC: Recon displays records with incorrect pay date</t>
  </si>
  <si>
    <t>TR: Tennessee SUI Form</t>
  </si>
  <si>
    <t>PY-US-TR: Out-of-State for SUI Florida XML</t>
  </si>
  <si>
    <t>TR: Wagetypes /415 and /489 in SUI Minnesota</t>
  </si>
  <si>
    <t>TR: W-2C MQGE TemSe file not displayed in All Mag. Media</t>
  </si>
  <si>
    <t>TR: Performance Issues with Employee Automatic Selection</t>
  </si>
  <si>
    <t>S_DEVELOP Authorization required to use Tax Reporter</t>
  </si>
  <si>
    <t>TR: CSV PA splits data incorrectly for multiple RE records</t>
  </si>
  <si>
    <t>TR: Incorrect Tax Authority data being reported on RT record</t>
  </si>
  <si>
    <t>TR: KY SUI Monthly Employment change</t>
  </si>
  <si>
    <t>TR: HR_F_WLIST_WY incorrectly calculating the Totals (A3+A4)</t>
  </si>
  <si>
    <t>TR: Reporting quarter checkbox inactive in Form 941 PR</t>
  </si>
  <si>
    <t>TR: A short dump is terminating the 1099R form generation</t>
  </si>
  <si>
    <t>PY-US-TR: Minor Enhancements on Tax Reporter</t>
  </si>
  <si>
    <t>TAX: State Unemployment Taxes not calculated for gross-ups.</t>
  </si>
  <si>
    <t>TAX: Regular wages treated as supplemental wages (NY).</t>
  </si>
  <si>
    <t>[VE]Advanced payment not considered for Profit Share payment</t>
  </si>
  <si>
    <t>[VE] Correction on "Participacion de retiro" legal report</t>
  </si>
  <si>
    <t>[VE] Correction on "Constancia de Trabajo" legal report</t>
  </si>
  <si>
    <t>[VE] Show RIF number without mask in report HVECIMP0</t>
  </si>
  <si>
    <t>OMIE: Activation of Provider Option for MD Export</t>
  </si>
  <si>
    <t>OMFI: Activation of Provider Option for MD Export</t>
  </si>
  <si>
    <t>IBAN Button Missing on IT 9, even when IBAN is activated</t>
  </si>
  <si>
    <t>SAPKE60439</t>
  </si>
  <si>
    <t>LSO BW extractors not fetching records for some languages</t>
  </si>
  <si>
    <t>0HR_PA_HAP_3: Wrong hierarchical relationship</t>
  </si>
  <si>
    <t>CATS WD: Dump STRING_LENGTH_TO_LARGE in approval application</t>
  </si>
  <si>
    <t>CATS WD: Lines not deleted properly with 'Delete Row' button</t>
  </si>
  <si>
    <t>CATS WD:Wild Character String Search not working for LSTAR</t>
  </si>
  <si>
    <t>CATS WD: ESS Record Working Time Performance Problem</t>
  </si>
  <si>
    <t>CATS WD: The short text is editable</t>
  </si>
  <si>
    <t>CAT WD:Error Messages truncated when displayed in Webdynpro</t>
  </si>
  <si>
    <t>CATS ESS: Begin time is entered as 00:00</t>
  </si>
  <si>
    <t>CATS WD: The Currency Key(WAERS) is not considered</t>
  </si>
  <si>
    <t>CATS WD: Helper service for Working time services</t>
  </si>
  <si>
    <t>Description for TASKTYPE in collective approval screen</t>
  </si>
  <si>
    <t>CATS WD: Attendance/Absence text is not displayed correctly</t>
  </si>
  <si>
    <t>CATS WD: RAUFNR and RPROJ are editable for Cproject record</t>
  </si>
  <si>
    <t>CATS WD: "PROFILE_NOT_INITIALIZED" error</t>
  </si>
  <si>
    <t>CATS WD: Rejection reason is not read-only</t>
  </si>
  <si>
    <t>CATS WD: wildcard search for Unit of Measurement</t>
  </si>
  <si>
    <t>CATS WD: Technical names are displayed in Error message</t>
  </si>
  <si>
    <t>CATS WD: Search help for Activity type(LSTAR)</t>
  </si>
  <si>
    <t>Changes to  Manager Self Service PFCG role</t>
  </si>
  <si>
    <t>MSS: Text in TeamViewer</t>
  </si>
  <si>
    <t>Reisemanagement</t>
  </si>
  <si>
    <t>INCLUDE PTRA_WEB_GLOBAL_DESCRIPTIONS avoid redundant select</t>
  </si>
  <si>
    <t>BAPI_TRIP_CREATE_FROM_DATA and miles/km addnl info (text)</t>
  </si>
  <si>
    <t>Korrekturen fÃ¼r EHP5e</t>
  </si>
  <si>
    <t>ESS in MSS correction</t>
  </si>
  <si>
    <t>SOA HCM - Corrections to travel satellite services</t>
  </si>
  <si>
    <t>Wrong message</t>
  </si>
  <si>
    <t>Special characters badly rendered in HTML display via portal</t>
  </si>
  <si>
    <t>Travel Management POWL OBN doesn't work with NWBC 3.0</t>
  </si>
  <si>
    <t>Web: Add. Dest: dest. name empty when adding new address</t>
  </si>
  <si>
    <t>Web: Authorizations in exress expense sheet</t>
  </si>
  <si>
    <t>Additional Constants in Travel Expenses IMG</t>
  </si>
  <si>
    <t>Travel ESS: POWL of trips to be approved - personalization</t>
  </si>
  <si>
    <t>Perf. issue when a lot of Travel Expense types are defined</t>
  </si>
  <si>
    <t>RPRCCC_READ_KR1025: missing footer information</t>
  </si>
  <si>
    <t>VAT refund for foreign trip receipts</t>
  </si>
  <si>
    <t>Short dump in PTRA_UTIL_GLOBAL_FIELDS</t>
  </si>
  <si>
    <t>RPRPAY00: Personnel numbers are not selected</t>
  </si>
  <si>
    <t>Addresses for trip legs deleted in PTRV_TRIP_CHAIN</t>
  </si>
  <si>
    <t>PRRW: Sample implementation TRIP_POST_FI, EX_CCARD</t>
  </si>
  <si>
    <t>RPRTEF00: Statement of unconsumed tax exemption amounts</t>
  </si>
  <si>
    <t>RPR_CREATE_PER_DIEMS_FILE: Table T706B2</t>
  </si>
  <si>
    <t>NO: Max rates per diem for hotel receipts per trip country</t>
  </si>
  <si>
    <t>Web: Private deductions from receipt reduce original amount</t>
  </si>
  <si>
    <t>NO: SAL element- New checks (extension of note 1360519)</t>
  </si>
  <si>
    <t>NO: Legal changes on March 1, 2010</t>
  </si>
  <si>
    <t>PDF: PRTV_EXPENSE_FORM</t>
  </si>
  <si>
    <t>RPRTEF00: DRUCK_PAUSCH_18 modified to include trip breaks</t>
  </si>
  <si>
    <t>RPRPAY00: Enhancement/improvement of the log</t>
  </si>
  <si>
    <t>TRIP: HTML form instead of PDF form after error</t>
  </si>
  <si>
    <t>Web: Error deleting credit card receipts from buffer</t>
  </si>
  <si>
    <t>SP01 Korrekturen zu RPRTEF00 / Data provider SPF</t>
  </si>
  <si>
    <t>Status icon of document displayed with incorr message text</t>
  </si>
  <si>
    <t>Incorrect information about max difference violation in PDF</t>
  </si>
  <si>
    <t>RPRTEF10: Additional amounts in totals sheet</t>
  </si>
  <si>
    <t>PDF: PTRV_EXPENSE_FORM not translated to many languages</t>
  </si>
  <si>
    <t>Vehicle classes go missing in expense report</t>
  </si>
  <si>
    <t>Incorrect receipt: System displays incorrect tab page</t>
  </si>
  <si>
    <t>report RPRFLDEL does not update info type 3</t>
  </si>
  <si>
    <t>ITS: Cannot select entry for external participants</t>
  </si>
  <si>
    <t>NO: Bruspenger for statutory trip type 'S'</t>
  </si>
  <si>
    <t>Web: Change cost assignment button triggers receipt check</t>
  </si>
  <si>
    <t>Trennungsgeld: Heimfahrt fÃ¼hrt zu falschem Tagegeld</t>
  </si>
  <si>
    <t>PS-AT/DE: stornierte Dienstantritts- und RÃ¼ckreisen</t>
  </si>
  <si>
    <t>PS-AT: Dump bei parallelen Dienstreisen mit Aufrollung</t>
  </si>
  <si>
    <t>Kein Update des HHM beim LÃ¶schen/Stornieren von Dienstzut.</t>
  </si>
  <si>
    <t>PS-AT: Probleme beim VerlÃ¤ngern/VerkÃ¼rzen</t>
  </si>
  <si>
    <t>PS-AT: In TGPER fÃ¼hrt neue Pernr zum Verlassen der Transakt.</t>
  </si>
  <si>
    <t>PS-AT: Schemenauswahl und Ã„nderung</t>
  </si>
  <si>
    <t>RGV: Dienstzuteilung mit Krankenhausaufenthalt</t>
  </si>
  <si>
    <t>Werbungskosten bei SachbezÃ¼gen zu hoch</t>
  </si>
  <si>
    <t>Abweichendes Reisegeldende bei Dienstreisen/Trennungsgeldern</t>
  </si>
  <si>
    <t>DZ TÃ¤gl. Kehre: BerÃ¼cksichtigung aller Tage (Teil 2)</t>
  </si>
  <si>
    <t>Stornieren von Dienstzuteilungsperioden</t>
  </si>
  <si>
    <t>Incorrect reimbursement amt for accommodation allowance only</t>
  </si>
  <si>
    <t>Abweichende Kontierung bei einer Dienstzuteilung</t>
  </si>
  <si>
    <t>DZ: Reiseobligo falsch beim Ã„ndern einer DZ-Periode</t>
  </si>
  <si>
    <t>FI-TV-IPY</t>
  </si>
  <si>
    <t>Integration With Payroll Accounting</t>
  </si>
  <si>
    <t>Check for retroactive accounting date when changing trip</t>
  </si>
  <si>
    <t>Low Cost Carrier: Information and principles</t>
  </si>
  <si>
    <t>Web Travel : start again button</t>
  </si>
  <si>
    <t>Dump when several lines on same flight ticket</t>
  </si>
  <si>
    <t>wrong status after plan save if non GDS item</t>
  </si>
  <si>
    <t>EhP5 E-Travel SP1 Corrections</t>
  </si>
  <si>
    <t>Desactivation of the default implementation for Pref-Airline</t>
  </si>
  <si>
    <t>Synchronise all flight seat numbers if present</t>
  </si>
  <si>
    <t>NVS Rail - Train including non-rail segment fails at booking</t>
  </si>
  <si>
    <t>TP01/TRIP - Error when pricing nego fares in Economy cabin</t>
  </si>
  <si>
    <t>FI-TV-PL-GAL</t>
  </si>
  <si>
    <t>API Interface GALILEO</t>
  </si>
  <si>
    <t>Mixed carrier: Galileo pricing when several fare-basis fails</t>
  </si>
  <si>
    <t>Duplicate fare when manual activity by the travel agency</t>
  </si>
  <si>
    <t>FI-TV-PL-HRS</t>
  </si>
  <si>
    <t>API Interface HRS</t>
  </si>
  <si>
    <t>impossible to cancel Hotel HRS with XI if user group = HR</t>
  </si>
  <si>
    <t>Sabre synchronization problem when car rate code</t>
  </si>
  <si>
    <t>Sabre Ticket Parsing from Web Service</t>
  </si>
  <si>
    <t>FIN</t>
  </si>
  <si>
    <t>Financials</t>
  </si>
  <si>
    <t>FIN-FB</t>
  </si>
  <si>
    <t>Financials Basis</t>
  </si>
  <si>
    <t>Central Dummy note for ERP Financials EHP5e SP01</t>
  </si>
  <si>
    <t>Overwrite exit change in start application</t>
  </si>
  <si>
    <t>Inconsistent field values in PA Mapper after mapping back</t>
  </si>
  <si>
    <t>Employee search returning inconsistent result in CE context</t>
  </si>
  <si>
    <t>SAVE DRAFT is not working when application type is not PA/PD</t>
  </si>
  <si>
    <t>Duplicate comment in the subsequent step in XI scenario</t>
  </si>
  <si>
    <t>Call of Delete operation with auth check based on settings</t>
  </si>
  <si>
    <t>Handling OBJPS based on subtypes within the SAP_PA adapter</t>
  </si>
  <si>
    <t>Dump occur when saving changes to the attributes of a DPF</t>
  </si>
  <si>
    <t>Framework fields missing in dispatcher instance during save</t>
  </si>
  <si>
    <t>Delete operation: extension of prior record</t>
  </si>
  <si>
    <t>Irrelevant reserved fields copied across backend services</t>
  </si>
  <si>
    <t>Fields duplicate on round trips to backend due to rules</t>
  </si>
  <si>
    <t>DELETE_DATASET field not considered for rule evaluation</t>
  </si>
  <si>
    <t>Default values not available on form for PD objects</t>
  </si>
  <si>
    <t>'Back to Author' button is missing in Approve step</t>
  </si>
  <si>
    <t>Service description not available when using proxy class</t>
  </si>
  <si>
    <t>Error in HRASR00_PROCESS_EXECUTE</t>
  </si>
  <si>
    <t>Benefits: Adobe templates not used in ESS</t>
  </si>
  <si>
    <t>Dump DATA_OFFSET_TOO_LARGE in PT64 (RPTABS20_CE)</t>
  </si>
  <si>
    <t>Dependent cost items are not created</t>
  </si>
  <si>
    <t>Manager can approve his own planning via deep approval</t>
  </si>
  <si>
    <t>Unauthorized modification in displayed content Job Pricing</t>
  </si>
  <si>
    <t>Planning Status incorrect when manager not in org.unit</t>
  </si>
  <si>
    <t>Cumulated budget values in Planning Overview incorrect</t>
  </si>
  <si>
    <t>Budget values in Planning Overview incorrect</t>
  </si>
  <si>
    <t>Processing of stops for all employees after currency error</t>
  </si>
  <si>
    <t>EIC: incorrectly convert Javascript special characters</t>
  </si>
  <si>
    <t>EIC: incorrect EIC SLA status icon</t>
  </si>
  <si>
    <t>EIC: Work items are processed when deleting from inbox</t>
  </si>
  <si>
    <t>EIC: can not retrieve or send back follow-up</t>
  </si>
  <si>
    <t>PA-ER</t>
  </si>
  <si>
    <t>E-Recruiting</t>
  </si>
  <si>
    <t>MSS - Requisition Request 'Select' Button doesn't open</t>
  </si>
  <si>
    <t>PA-ESS</t>
  </si>
  <si>
    <t>Personal Information ESS scenarios</t>
  </si>
  <si>
    <t>PA-ESS-XX</t>
  </si>
  <si>
    <t>Common Parts</t>
  </si>
  <si>
    <t>PA-ESS-XX-WDA</t>
  </si>
  <si>
    <t>ESS based on Webdynpro ABAP</t>
  </si>
  <si>
    <t>Incorrect messages thrown by CL_HRPA_PERNR_INFTY_XSS</t>
  </si>
  <si>
    <t>ESS_Reno_Reporting 'Start' button appears</t>
  </si>
  <si>
    <t>PA-GE</t>
  </si>
  <si>
    <t>Management of Global Employees</t>
  </si>
  <si>
    <t>Management of global employees: documentation update ext. 2</t>
  </si>
  <si>
    <t>TNM/LSO: Only delivery method of type 0003 is supported</t>
  </si>
  <si>
    <t>TNM/LSO: error message when saving absence on an ET object</t>
  </si>
  <si>
    <t>TNM/LSO: actual cost valuation errors with ET objects</t>
  </si>
  <si>
    <t>IT0065 Decoupling class Issue</t>
  </si>
  <si>
    <t>Runtime error when a call is made to IT16 decoupling class</t>
  </si>
  <si>
    <t>ERP6.0 Ehp5 SP01 Correction JP</t>
  </si>
  <si>
    <t>ESS MY Personal Data &amp; Family:Issue with nationality values</t>
  </si>
  <si>
    <t>The form RSV-1 PFR</t>
  </si>
  <si>
    <t>PA-PA-SE</t>
  </si>
  <si>
    <t>ESS:Field settings was not overwritten using V_T588MFPROPC</t>
  </si>
  <si>
    <t>PA-PA-SOA</t>
  </si>
  <si>
    <t>Enterprise Services - Personnel Administration</t>
  </si>
  <si>
    <t>SOA: Error mapping in Enterprise Services II</t>
  </si>
  <si>
    <t>ESS US Personal Data - Add text field for Gender</t>
  </si>
  <si>
    <t>Fields PAYTY and PAYID not saved in CL_HRPA_INFOTYPE_0128_US</t>
  </si>
  <si>
    <t>ESS: US Family Members: Tel. no. validation errors</t>
  </si>
  <si>
    <t>IT0009: Field list is incomplete if IBAN is incorrect</t>
  </si>
  <si>
    <t>Infotype 0022: Help values are not filled</t>
  </si>
  <si>
    <t>Infotype 0040: Dump UNCAUGHT_EXCEPTION</t>
  </si>
  <si>
    <t>IT0008: Empty field ANSAL on the database PA0008</t>
  </si>
  <si>
    <t>Goals: Termination with added information</t>
  </si>
  <si>
    <t>Report RHRFPM_LIFI: Usability improvements</t>
  </si>
  <si>
    <t>Staffing percentage cannot be changed</t>
  </si>
  <si>
    <t>HRPBCM: Blank overview area after restarting</t>
  </si>
  <si>
    <t>Transaction HRPBC_LIFI displays attributes incorrectly</t>
  </si>
  <si>
    <t>Handling of persons locked for payroll</t>
  </si>
  <si>
    <t>Error correction for business function PSM_PBC_XPL (II)</t>
  </si>
  <si>
    <t>Simulation start date field not filled in CIPE</t>
  </si>
  <si>
    <t>Follow-up to Note 1335155 (II)</t>
  </si>
  <si>
    <t>Improvements for error log</t>
  </si>
  <si>
    <t>Run administrator workbench: Branch to job administration</t>
  </si>
  <si>
    <t>Delimiting 'to be deleted' notes</t>
  </si>
  <si>
    <t>TMC: Texts in the TeamViewer</t>
  </si>
  <si>
    <t>TMC search: Delta indexing for authorization data</t>
  </si>
  <si>
    <t>Talent review meeting: Name of agenda topics is truncated</t>
  </si>
  <si>
    <t>Print output of talent profile: Form error</t>
  </si>
  <si>
    <t>Talent meeting review overview: No query for dates</t>
  </si>
  <si>
    <t>TMC search: Too many hits when search using qualification</t>
  </si>
  <si>
    <t>Note field is not displayed in talent assessment</t>
  </si>
  <si>
    <t>Talent Mgmt Core BI_CONT 7.05 SP01, SP02, Composite SAP Note</t>
  </si>
  <si>
    <t>Talent Review Meeting: Empty menus for closed meetings</t>
  </si>
  <si>
    <t>Performance improvement of the method CHECK_RELATION_031( )</t>
  </si>
  <si>
    <t>EH5 Corrections</t>
  </si>
  <si>
    <t>Participant list not sorted in the course details</t>
  </si>
  <si>
    <t>WBT in Classroom: Time-Dependent access to Course Content</t>
  </si>
  <si>
    <t>Learning Portal - Poor performance of the traininghome page</t>
  </si>
  <si>
    <t>PD Object types WG, UE, UD</t>
  </si>
  <si>
    <t>Dynamic Menu: Performance issue in viewing participant list</t>
  </si>
  <si>
    <t>LSO_PSV2:Missing lock check while editing resource selection</t>
  </si>
  <si>
    <t>Modifications to the user licence auditing FM LSO_AUDIT</t>
  </si>
  <si>
    <t>Employee Mandatory assignments not displayed in MMA report</t>
  </si>
  <si>
    <t>LPO:Performance issues when accessing the Training Home page</t>
  </si>
  <si>
    <t>LSO:General:Display participant ID fields on Web Dynpro UI</t>
  </si>
  <si>
    <t>Select button is not enabled by default in RCP tool</t>
  </si>
  <si>
    <t>Direct reports not read completely in MSS Services of LSO</t>
  </si>
  <si>
    <t>Activity Allocation &amp; Billing reports output incorrect dates</t>
  </si>
  <si>
    <t>LSO - Course Administrator portal - Rebooking a participant</t>
  </si>
  <si>
    <t>LSO- Admin Portal - Location Search Help</t>
  </si>
  <si>
    <t>Unable to book for past courses inspite of prerequisites</t>
  </si>
  <si>
    <t>LSO- Course Admin Portal - Change Delivery method</t>
  </si>
  <si>
    <t>Wrong initial screen displayed in MMA Service for Admin role</t>
  </si>
  <si>
    <t>Admin Portal:Short Dump on changing course date</t>
  </si>
  <si>
    <t>Unable to book for courses in learning portal</t>
  </si>
  <si>
    <t>Correspondence not sent: room change without capacity change</t>
  </si>
  <si>
    <t>Display Course Catalog - Searching unassigned course types</t>
  </si>
  <si>
    <t>Follow-up Steps are not considered on Admin/Instr Portal</t>
  </si>
  <si>
    <t>028 relation not deleted for unordered curriculum elements</t>
  </si>
  <si>
    <t>Cost center names missing in participant list report</t>
  </si>
  <si>
    <t>Unable to confirm participation after prior cancellation</t>
  </si>
  <si>
    <t>Course Description is not shown in the login language</t>
  </si>
  <si>
    <t>CL_HRPT_INFOTYPE_0007: Dyn DWS not set for part-time</t>
  </si>
  <si>
    <t>Decoupled Infotype 0007 (Planned Working Time)</t>
  </si>
  <si>
    <t>Work schedule rule (SCHKZ) cannot be overwritten</t>
  </si>
  <si>
    <t>ESS LEA: Short dump if no IT105 record exists.</t>
  </si>
  <si>
    <t>ESS Lea:Incorrect deletion of Leave request from Infotype</t>
  </si>
  <si>
    <t>ESS COR: Time evaluation messages are not read correctly</t>
  </si>
  <si>
    <t>Absences are displayed in different colors in MSS TeamView</t>
  </si>
  <si>
    <t>ESS :Display of untransfered leave accrual in Time Accounts</t>
  </si>
  <si>
    <t>ESS LEA: Mass Approval report RPTARQMASS_APPROVAL dumps</t>
  </si>
  <si>
    <t>Korrekturen Checkman Fehler</t>
  </si>
  <si>
    <t>checkman corrections</t>
  </si>
  <si>
    <t>Only minimum weeks of notice pay is being paid.</t>
  </si>
  <si>
    <t>Notice date not calculated, when minimum weeks paid.</t>
  </si>
  <si>
    <t>PC00_M13_CALC : processing abort in report RPCTAXQ0</t>
  </si>
  <si>
    <t>Termination Organizer - Wage type number not displayed.</t>
  </si>
  <si>
    <t>CS master data: Residence status for Switzerland on entry</t>
  </si>
  <si>
    <t>- Intern: ErgÃ¤nzung Form 'fill_viewlist' fÃ¼r Infotyp 0021</t>
  </si>
  <si>
    <t>Bundling HRForms wage form Switzerland (SAP_PAYSLIP_CH)</t>
  </si>
  <si>
    <t>Payroll Chile External Test Catalogue</t>
  </si>
  <si>
    <t>Remuneration statement: Improvements in HR forms</t>
  </si>
  <si>
    <t>Payroll Account: Wage Types for Bank Employees (BVV)</t>
  </si>
  <si>
    <t>Total gross amount (EBeschR): and "RHC/WC Benefit Sick Pay"</t>
  </si>
  <si>
    <t>Remuneration statement: display of individual wage types</t>
  </si>
  <si>
    <t>SAP_PAYSLIP_DE_P: Cost center and leave</t>
  </si>
  <si>
    <t>SAP_PAYSLIP_DE_P: Retroactive accounting after leaving</t>
  </si>
  <si>
    <t>Award from remuneration conversion</t>
  </si>
  <si>
    <t>Infotype 0650: Missing fields for infotype decoupling</t>
  </si>
  <si>
    <t>Incorrect age validation in IT69 Decoupled infotype</t>
  </si>
  <si>
    <t>ESS form 16 issues - Runtime Error</t>
  </si>
  <si>
    <t>ESEP: Other Minor changes to requirements</t>
  </si>
  <si>
    <t>Advanced Claims: Corrections and refinement</t>
  </si>
  <si>
    <t>HR-RU: Additions to realizations of Federal Law 212-FZ</t>
  </si>
  <si>
    <t>HRUL4FSS field values with 'CE' condition if EE chang.status</t>
  </si>
  <si>
    <t>HR-RU: DME programs stop with wrong LAND code</t>
  </si>
  <si>
    <t>HR-RU Legal Change: Form 4-FSS has missed field values</t>
  </si>
  <si>
    <t>HRULNDFL: incorrect XML file if Used Tax Relief equals 0</t>
  </si>
  <si>
    <t>SPV reporting issues RPCSPMS0_CE / RPLSPMS0_CE</t>
  </si>
  <si>
    <t>PAY: V0-split not found after NAMC-run.</t>
  </si>
  <si>
    <t>Concurrent Employment - International Payroll</t>
  </si>
  <si>
    <t>Incorrect results generated during a retroactive accounting</t>
  </si>
  <si>
    <t>MPSD:wrong retroactive results and impossible repetition run</t>
  </si>
  <si>
    <t>MPSD: Payment date not selected correctly</t>
  </si>
  <si>
    <t>Incorrect statistics in payroll log</t>
  </si>
  <si>
    <t>Pre-Dme will not run for all employees of selection screen</t>
  </si>
  <si>
    <t>IT0128: PAYTY, PAYID are deleted in ITF</t>
  </si>
  <si>
    <t>HRFORMS:Enhancements to HRFORMS</t>
  </si>
  <si>
    <t>HRFORMS:Warning HRFORMS707 when the recipient Bank country</t>
  </si>
  <si>
    <t>XX-SER</t>
  </si>
  <si>
    <t>Service Messages</t>
  </si>
  <si>
    <t>XX-SER-REL</t>
  </si>
  <si>
    <t>Releaseinformation ERP</t>
  </si>
  <si>
    <t>Sammelhinweis ERP6.0 Ehp5 SP01 Korrekturen</t>
  </si>
  <si>
    <t>SAPK-60501</t>
  </si>
  <si>
    <t>0HR_PA_HAP_3: short dump GETWA_NOT_ASSIGNED</t>
  </si>
  <si>
    <t>CA-GTF-WFA</t>
  </si>
  <si>
    <t>Workforce Management Application</t>
  </si>
  <si>
    <t>Security Code Scan: Hard coded user name</t>
  </si>
  <si>
    <t>CA-GTF-WFM</t>
  </si>
  <si>
    <t>Workforce Management Core</t>
  </si>
  <si>
    <t>Unable to configure the cooperate org. in WFM</t>
  </si>
  <si>
    <t>CA-HR</t>
  </si>
  <si>
    <t>Cross-Application objects in HR</t>
  </si>
  <si>
    <t>Documentation Corrections for HCM Roles for SAP NWBC</t>
  </si>
  <si>
    <t>Supporting date fields in webdynpro applications</t>
  </si>
  <si>
    <t>Consolidated note for CATS approval application</t>
  </si>
  <si>
    <t>Enable fire event for Every Row Selection for MSS POWL Inbox</t>
  </si>
  <si>
    <t>Organization Assignment iview positions are not sorted</t>
  </si>
  <si>
    <t>Solving inconsistencies in MSS roles (portal + NWBC)</t>
  </si>
  <si>
    <t>E-Rec: 'Branch' field not fully populated</t>
  </si>
  <si>
    <t>FI-TV documentation changes</t>
  </si>
  <si>
    <t>Perdiems duplicate region codes for US</t>
  </si>
  <si>
    <t>Perfomance in FTBW_FI_TV_01_BW_GET_TD is poor</t>
  </si>
  <si>
    <t>Web: required comment is pre-filled</t>
  </si>
  <si>
    <t>Web:Recommended action for overlapping trip falsely displays</t>
  </si>
  <si>
    <t>The field Miles is disabled in the portal after Review.</t>
  </si>
  <si>
    <t>EES: There is no error when start time is empty in a trip.</t>
  </si>
  <si>
    <t>Web: Request: Cannot delete additional destination</t>
  </si>
  <si>
    <t>Transaction TRIP: Correction of incorrect text in german</t>
  </si>
  <si>
    <t>AT: Summary of meals intervals</t>
  </si>
  <si>
    <t>Field Control for WBS Element does not work in EES.</t>
  </si>
  <si>
    <t>Portal integration problem with Work Protected Mode</t>
  </si>
  <si>
    <t>Pending expense report shows trips transferred to payroll</t>
  </si>
  <si>
    <t>Trip region not transfered from predefined address</t>
  </si>
  <si>
    <t>Web: Region in General Data not transferred to Add. Dest.</t>
  </si>
  <si>
    <t>EES : Approval status is not displayed in EES.</t>
  </si>
  <si>
    <t>TRIP: system date cannot be set as default date</t>
  </si>
  <si>
    <t>WEB: Destination is not saved in Overlapping trips</t>
  </si>
  <si>
    <t>Adobe request form: location of additional destination empty</t>
  </si>
  <si>
    <t>Web: Form:Travel services not displayed after saving request</t>
  </si>
  <si>
    <t>WEB: Cost distribution not filled in BADI on Save Draft.</t>
  </si>
  <si>
    <t>CL_FITV_RETRO_CHECK</t>
  </si>
  <si>
    <t>Numbering in PDF form is wrong after deleting a destination</t>
  </si>
  <si>
    <t>Additional line feeds in Adobe Expense form</t>
  </si>
  <si>
    <t>PR05: Expense type can be changed when TRVPA CCC has value 4</t>
  </si>
  <si>
    <t>Web: Entering an invalid tax registration number</t>
  </si>
  <si>
    <t>Web: trip data gets lost after error when saving request</t>
  </si>
  <si>
    <t>WEB: Sorting of expense types wrong in Chinese language</t>
  </si>
  <si>
    <t>Wrong additional dest. after Domestic arrival in trip break.</t>
  </si>
  <si>
    <t>PDF: Address showing country for domestic address</t>
  </si>
  <si>
    <t>Participants window has cancel as default button</t>
  </si>
  <si>
    <t>RPRTEF00: BAdI FITV_REP_TRAVEL_EXP</t>
  </si>
  <si>
    <t>Build itinerary wrong with an additional destination</t>
  </si>
  <si>
    <t>RPRTEF01: Additional amounts for several trips / PR02</t>
  </si>
  <si>
    <t>FR: 24 hour intervals with stopovers</t>
  </si>
  <si>
    <t>ABAP short dump when Manager Approve the trip via MSS</t>
  </si>
  <si>
    <t>RPRTEC00: Calculation of meals according to time</t>
  </si>
  <si>
    <t>EES:Default value of Vehicle Class and Vehicle Type got lost</t>
  </si>
  <si>
    <t>Web: Deduction column for overnight stays read-only</t>
  </si>
  <si>
    <t>PR05: Trip can be saved when per diem missing for region</t>
  </si>
  <si>
    <t>RPRTEF10: DZ-Perioden mit HinzurechnungsbetrÃ¤gen</t>
  </si>
  <si>
    <t>Product standard in travel expenses</t>
  </si>
  <si>
    <t>Web: No company name and job title for internal participant</t>
  </si>
  <si>
    <t>Web: Incorrect separator for accounting object value</t>
  </si>
  <si>
    <t>Web: Copying trips in express expense sheet</t>
  </si>
  <si>
    <t>GLO_EXPENSE_FORM: Pocket money</t>
  </si>
  <si>
    <t>Web: Information message for new entry for cost assignment</t>
  </si>
  <si>
    <t>Short dump in the travel calendar, due to non-numeric MOLGA</t>
  </si>
  <si>
    <t>Web: Dump TABLE_INVALID_INDEX in EES</t>
  </si>
  <si>
    <t>Web: Deduction overnight read-only when changing saved trip</t>
  </si>
  <si>
    <t>EU VAT refund: Country missing in foreign trade report list</t>
  </si>
  <si>
    <t>Web: Descriptive text for non-internal orders not displayed</t>
  </si>
  <si>
    <t>PRRW: Problems w/ CO objects to which no postngs can be made</t>
  </si>
  <si>
    <t>Web: Meal deduction columns read-only</t>
  </si>
  <si>
    <t>Performance travel express expense sheet</t>
  </si>
  <si>
    <t>Web: Trip schema for expense report from plan or request</t>
  </si>
  <si>
    <t>IT: Multiday trip with rcpt settl according to four-day rule</t>
  </si>
  <si>
    <t>RPRTEF10: DZ-Perioden mit HinzurechnungsbetrÃ¤gen Teil 2</t>
  </si>
  <si>
    <t>Incorrect date set in TRIP for a single km entry</t>
  </si>
  <si>
    <t>Web ABAP - Region code lost during itemization</t>
  </si>
  <si>
    <t>Incorrect column headers in report RPCLSTTE</t>
  </si>
  <si>
    <t>EU VAT PR04: Country not filled</t>
  </si>
  <si>
    <t>FR: 24 hour intervals with stopovers (part 2)</t>
  </si>
  <si>
    <t>Correction of translation of message short text FITVPS 243</t>
  </si>
  <si>
    <t>Web: number plate not defaulting from IT0017</t>
  </si>
  <si>
    <t>Memory shortage and short dump due to KM/miles cumulation</t>
  </si>
  <si>
    <t>Incorrect statistical data when using clearing wage types</t>
  </si>
  <si>
    <t>Deletion of participant list when changing expense code</t>
  </si>
  <si>
    <t>IT: Trip lasting less than one day - 10-hr rule - 4-day rule</t>
  </si>
  <si>
    <t>Error in destination of assignment TS 20000189 ChangeTrip</t>
  </si>
  <si>
    <t>New enhancement spot TRIP_RECEIPT_ENHANCEMENT in SAPMP56T</t>
  </si>
  <si>
    <t>RPRDTAX0: Problems with tax-exempt clearing wage types</t>
  </si>
  <si>
    <t>Statistics data for foreign currencies not generated</t>
  </si>
  <si>
    <t>Web: Dump CX_SY_ARITHMETIC_OVERFLOW in Receipt Wizard</t>
  </si>
  <si>
    <t>FR: 24 hour intervals with stopovers (part 4)</t>
  </si>
  <si>
    <t>DART: Dump CX_SY_IMPORT_MISMATCH_ERROR with cluster TE II</t>
  </si>
  <si>
    <t>Web: Receipt amount doubled after itemizing and saving</t>
  </si>
  <si>
    <t>IT: Meals receipt in second trip on 4th day (four-day rule)</t>
  </si>
  <si>
    <t>empty line in cluster editor for receipt</t>
  </si>
  <si>
    <t>Extension of the BAdI TRIP_RECURRENT_DEST</t>
  </si>
  <si>
    <t>Problem setting retroactive accounting date in RPRTEC00</t>
  </si>
  <si>
    <t>WD ABAP: Field control for trip dates of Travel Request</t>
  </si>
  <si>
    <t>Displaying trip after changing trip provision variant</t>
  </si>
  <si>
    <t>FR: 24 hour intervals with stopovers (part 3)</t>
  </si>
  <si>
    <t>Trip form: street, city not filled in general_data structure</t>
  </si>
  <si>
    <t>WD ABAP : Change of address impossible in Travel Expenses</t>
  </si>
  <si>
    <t>Call to USER_CHECK_LINE_OF_MILEAGE with empty editor</t>
  </si>
  <si>
    <t>Dump CX_SY_CONVERSION_OVERFLOW when settling trips</t>
  </si>
  <si>
    <t>Web: changing a receipt comment with template doesn't work</t>
  </si>
  <si>
    <t>AT: Displaying meals per diem in Adobe form</t>
  </si>
  <si>
    <t>XI-CCC: No check for personal credit cards, no commit work</t>
  </si>
  <si>
    <t>Web: newly changed address set back to old address</t>
  </si>
  <si>
    <t>EES: Trip number not displayed if it starts with 9</t>
  </si>
  <si>
    <t>Pre-exit and post-exit method in FITV_POWL_TRIPS not called</t>
  </si>
  <si>
    <t>Web: Deleting private expenses in the Receipt Wizard</t>
  </si>
  <si>
    <t>Pre-exit and post-exit not called in FITV_UI_EMPLOYEELIST</t>
  </si>
  <si>
    <t>VAT Details abap Web Dynpro: error message</t>
  </si>
  <si>
    <t>Problems with variants for the report RPR_ABAP_SOURCE_SCAN</t>
  </si>
  <si>
    <t>ALV-Ãœbersicht Ã¼ber alle Reisen und Trennungsgelder</t>
  </si>
  <si>
    <t>Krankenhausaufenthalt in der Dienstzuteilung</t>
  </si>
  <si>
    <t>DZ: Abwesenheiten als 24 Stundenintervall</t>
  </si>
  <si>
    <t>PS-AT: Dienstantritts- und RÃ¼ckreisen bei VerlÃ¤ngern, Verk.</t>
  </si>
  <si>
    <t>DZ: Fehler bei Simulation im DZ-Manager (Transaktion TGMOD)</t>
  </si>
  <si>
    <t>Error 56 049 'Period is not defined in period table' raised.</t>
  </si>
  <si>
    <t>DZ: fehlerhafte Berechnung der NÃ¤chtigungsgebÃ¼hr</t>
  </si>
  <si>
    <t>PS-AT: Dump beim VerlÃ¤ndern einer DZ</t>
  </si>
  <si>
    <t>DZ: Fehlerhaftes Beginndatum nach VerlÃ¤ngerung der DZ</t>
  </si>
  <si>
    <t>DZ: Falsche Reduktionsuhrzeit bei mehrtÃ¤gigen Anwesenheiten</t>
  </si>
  <si>
    <t>TG: Fehler beim Sichern nach Vergleichsrechnung TR/AV</t>
  </si>
  <si>
    <t>PS DE: Reiseunterbrechungen innerhalb der Dienstreise</t>
  </si>
  <si>
    <t>Dienstzuteilung: Fehlerhafter Reduktionstermin</t>
  </si>
  <si>
    <t>DZ: Tagesaufteilung bei Ã„nderung auf reduzierten Tarif</t>
  </si>
  <si>
    <t>Public Sector: TRVPA WRP = 0 is ignored</t>
  </si>
  <si>
    <t>TG: Fiktives Tage-/Ãœbernachtungsgeld bei Vergleichsr. falsch</t>
  </si>
  <si>
    <t>Fehlerhafte Berechnung der Steuerpflicht bei Abwesenheiten</t>
  </si>
  <si>
    <t>Fehler beim LÃ¶schen/Stornieren der Dienstzut./Trennungsgelds</t>
  </si>
  <si>
    <t>PS-DE: in TGPER fehlt Vergleichsrechnung TR/AV</t>
  </si>
  <si>
    <t>LRKG Bayern: Tage-Ãœbernachtungsgelder ab dem 01.01.2010</t>
  </si>
  <si>
    <t>BRKG: Fehler bei lÃ¤ngerem Aufenthalt am selben GeschÃ¤ftsort</t>
  </si>
  <si>
    <t>AT PS: Abwesenheiten werden nicht komplett gelÃ¶scht</t>
  </si>
  <si>
    <t>DZ: Ã„nderung des Anwesenheitsbeginns bei TÃ¤glicher Kehre</t>
  </si>
  <si>
    <t>Ãœbergeleitete DZ-Perioden: Falsches Versteuerungsdatum</t>
  </si>
  <si>
    <t>TG: Erfasstes fiktives Ãœbernachtungsgeld wird Ã¼berschrieben</t>
  </si>
  <si>
    <t>TG: keine Auswirkung bei Markierung 'kein Reisegeldbezug'</t>
  </si>
  <si>
    <t>PS-AT: Dump RAISE_EXCEPTION bei erster Dienstreise</t>
  </si>
  <si>
    <t>TGV: Konstante ODBMX nicht gepflegt</t>
  </si>
  <si>
    <t>e-Travel FITP_ETRAVEL_DELETE_PLAN</t>
  </si>
  <si>
    <t>GetThere Hotel Pre-populated fields</t>
  </si>
  <si>
    <t>Security issue: Hard-coded User Names (Backdoor)</t>
  </si>
  <si>
    <t>External Planning Integration: Wrong message raisen in TP01</t>
  </si>
  <si>
    <t>HTML FORM for plan / request does not show correct phone no</t>
  </si>
  <si>
    <t>eTravel: New web services available for the approval flow</t>
  </si>
  <si>
    <t>dump when changing a trip with apis data</t>
  </si>
  <si>
    <t>Justification text not displayed in WD abap UI</t>
  </si>
  <si>
    <t>APIS . booking failed when modify trip</t>
  </si>
  <si>
    <t>e-Travel: Enhancement to enable Travel Assistant</t>
  </si>
  <si>
    <t>FI-TV-PL-BIB</t>
  </si>
  <si>
    <t>API Interface Deutsche Bahn BIBE</t>
  </si>
  <si>
    <t>BIBE rail bookings not transfered in Transaction TRIP</t>
  </si>
  <si>
    <t xml:space="preserve"> BIBE using PI  . issue when using  City Mobil ticket</t>
  </si>
  <si>
    <t>HRS Interface V5 : Enhancements and issues solved</t>
  </si>
  <si>
    <t>HRS  . Cancellation date in past</t>
  </si>
  <si>
    <t>Changes to Start Processes application - Attachment Type</t>
  </si>
  <si>
    <t>Empty process list when all processes have start objects</t>
  </si>
  <si>
    <t>Asynchronous processing of workflow for SAVE step</t>
  </si>
  <si>
    <t>Wrong processor name in case of background save step</t>
  </si>
  <si>
    <t>Start processes application unable to read pernr from memory</t>
  </si>
  <si>
    <t>'Find in Subtree' button in DPF doesn't work from ORGANIZER</t>
  </si>
  <si>
    <t>Implementing Authorization BAdI in HCM Processes and Forms</t>
  </si>
  <si>
    <t>Auth Check in PT service not as per HCM P&amp;F auth concept</t>
  </si>
  <si>
    <t>Dump occurs in process browser when a record is deselected</t>
  </si>
  <si>
    <t>Wrong implementing class used in BAdI HRASR00CONT_GROUP</t>
  </si>
  <si>
    <t>Input help values lost when an error occurs</t>
  </si>
  <si>
    <t>Correct version of form scenario not considered</t>
  </si>
  <si>
    <t>From MSS for an Employee DPF the header text is not proper</t>
  </si>
  <si>
    <t>Field values cleared on round trip for multiple records</t>
  </si>
  <si>
    <t>Data unavailable in 'Status Overview' for new EhP5 ESS role</t>
  </si>
  <si>
    <t>Correction in CL_HRASR00_WDA_PROC_EXECUTE for EIC AGENT role</t>
  </si>
  <si>
    <t>Inconsistent operations on infotypes - user event processing</t>
  </si>
  <si>
    <t>Changes in authorization checks in SAP_PA &amp; SAP_PT services</t>
  </si>
  <si>
    <t>Popup should display option 'NO' instead of 'NUMBER'</t>
  </si>
  <si>
    <t>HRASR00_PROFILE_ABSENCES dumps when displaying long absences</t>
  </si>
  <si>
    <t>Not possible to display OADP Org structure views with list</t>
  </si>
  <si>
    <t>Changes to BLP Adapter - update IT0080 and IT2001</t>
  </si>
  <si>
    <t>Busniness Status added in the ASRDraft container</t>
  </si>
  <si>
    <t>Deletion of digital personnel file not working as expected</t>
  </si>
  <si>
    <t>Maintain company code for position - IT1008</t>
  </si>
  <si>
    <t>Security issues</t>
  </si>
  <si>
    <t>Benefits confirmation form is not correct in ESS</t>
  </si>
  <si>
    <t>PA-BN-FB</t>
  </si>
  <si>
    <t>Flexible Benefits</t>
  </si>
  <si>
    <t>PA-BN-FB-GB</t>
  </si>
  <si>
    <t>Failure of Benefit Plans in ESS Enrollment for UK Benefits</t>
  </si>
  <si>
    <t>UK Benefits: Issue with Annual Holidays Plan in ESS portal</t>
  </si>
  <si>
    <t>UK Benefits: Incorrect display of Employee's Cost/Credit</t>
  </si>
  <si>
    <t>Changes To CL_PT_PCR_INTERPRETER For RPTIME01</t>
  </si>
  <si>
    <t>Leave request user data sharing error (Concurrent employment</t>
  </si>
  <si>
    <t>Detail Planning. Edit Cost item: no change or wrong result.</t>
  </si>
  <si>
    <t>Extractor 0HR_PACP_1</t>
  </si>
  <si>
    <t>Dump. Division by 0 in program "SAPLHRHCP00_PLAN_CITEM"</t>
  </si>
  <si>
    <t>Extractor 0HR_PACP_1. No account assignment for st. key fig.</t>
  </si>
  <si>
    <t>Detail Planning: lock entry for not editable plan.</t>
  </si>
  <si>
    <t>WD PCP Detail Planning:fixed width for ALV UI elements</t>
  </si>
  <si>
    <t>Detail Planning: Link "Next Entry", HTTP 403 Access denided.</t>
  </si>
  <si>
    <t>Process Quota: Duplication of Organizational Attributes</t>
  </si>
  <si>
    <t>Data collection: Data in IT5010 of locked object are changed</t>
  </si>
  <si>
    <t>WD PCP Detail Planning: Documentation Correction</t>
  </si>
  <si>
    <t>WD PCP Detail Planning: Cost Unit Selection in Input View</t>
  </si>
  <si>
    <t>WD PCP Detail Planning: Save ALV-layouts</t>
  </si>
  <si>
    <t>WD PCP Detail Planning. Method: ENABLE_EDIT FUNCTIONS</t>
  </si>
  <si>
    <t>Range Penetration Format in Compensation Profile</t>
  </si>
  <si>
    <t>Dump in progress popup</t>
  </si>
  <si>
    <t>Proration Display in ECM</t>
  </si>
  <si>
    <t>Poweruser-mode corrections</t>
  </si>
  <si>
    <t>User can not enter notes in the planning / approval UI</t>
  </si>
  <si>
    <t>Powerusermode does not update table access rights correctly</t>
  </si>
  <si>
    <t>Approval of employees planned by a higher level manager</t>
  </si>
  <si>
    <t>Dump in RAISE_COMPENSATION_NOTIF</t>
  </si>
  <si>
    <t>Iso Code problem in Compensation Profile</t>
  </si>
  <si>
    <t>Time period for compensation statements</t>
  </si>
  <si>
    <t>Text Corrections to ECM workflows</t>
  </si>
  <si>
    <t>Documentation Corrections for Enterprise Compensation Mgmt</t>
  </si>
  <si>
    <t>Planning table input ready although budgets are locked</t>
  </si>
  <si>
    <t>'Approve All' and 'Reject All' buttons missing</t>
  </si>
  <si>
    <t>Compensation Planning Changes Summary displays wrong data</t>
  </si>
  <si>
    <t>Shortdump in the Compensation Profile</t>
  </si>
  <si>
    <t>Correction for ECM docu img</t>
  </si>
  <si>
    <t>Planning Overview displays no or incorrect budgets</t>
  </si>
  <si>
    <t>Total Compenstion Chart, alternative table view issue</t>
  </si>
  <si>
    <t>Planning UI does not correctly lock planning data on errors</t>
  </si>
  <si>
    <t>Compensation Planning UI - Collected Corrections</t>
  </si>
  <si>
    <t>Analytics in Planning UI</t>
  </si>
  <si>
    <t>Incorrect default values for Planning Process Attributes</t>
  </si>
  <si>
    <t>Misleading popup texts in program RHECM_STATUS_CHANGE</t>
  </si>
  <si>
    <t>Process Preparation not possible without review end date</t>
  </si>
  <si>
    <t>Error message that start object is not root object</t>
  </si>
  <si>
    <t>Wrong budget values when importing costs from PCP</t>
  </si>
  <si>
    <t>Budget and the proposed amount in planning UI are unequal</t>
  </si>
  <si>
    <t>Unexpected error start object is not root object</t>
  </si>
  <si>
    <t>Wrong budget read by HR_ECM_READ_BUDGET_DATA</t>
  </si>
  <si>
    <t>No administering of comp. planning process with Top-Down</t>
  </si>
  <si>
    <t>EIC: error in the web request workflow 2</t>
  </si>
  <si>
    <t>EIC: Missing BC Switch Set Entries for V_HREIC_AT_TAB</t>
  </si>
  <si>
    <t>Wrong agent assigned to service request</t>
  </si>
  <si>
    <t>EIC: Employee not correctly Identified I (Inbox-&gt;EESearch)</t>
  </si>
  <si>
    <t>EIC: Error deleting entries in from VC_HREIC_FOLLUP_VP</t>
  </si>
  <si>
    <t>PA-ESS-OCY</t>
  </si>
  <si>
    <t>Other Countries</t>
  </si>
  <si>
    <t>Deliver Documentation Changes for ESS</t>
  </si>
  <si>
    <t>ESS WDA IMG Documentation Changes for India</t>
  </si>
  <si>
    <t>Marital Status field name change</t>
  </si>
  <si>
    <t>Not able to upload photos of type GIF,BMP or PNG</t>
  </si>
  <si>
    <t>Table Type MOLGA_TAB Missing</t>
  </si>
  <si>
    <t>Historical Data not Displayed in Personnel Profile</t>
  </si>
  <si>
    <t>Documentation Corrections for ESS (WDA)</t>
  </si>
  <si>
    <t>Add menu entries in Role SAP_EMPLOYEE_JP_ESS_WDA_1</t>
  </si>
  <si>
    <t>ESS Leave Request WD ABAP: "Stacked Panel" / "Tabbed Comp."</t>
  </si>
  <si>
    <t>Consolidated note</t>
  </si>
  <si>
    <t>Correction of Names in ESS (WDA) Role Menu</t>
  </si>
  <si>
    <t>Incorrect Documentation of Report RPMGE_ACTIVATION</t>
  </si>
  <si>
    <t>MP000600_CE: State field search help is empty (Screen 2029)</t>
  </si>
  <si>
    <t>PA-PA-CA</t>
  </si>
  <si>
    <t>Ess Renovation SP02 - Canada TFR changes</t>
  </si>
  <si>
    <t>IT0033: Input check on valid values</t>
  </si>
  <si>
    <t>Dump INVALID_DELIVERY_METHOD in lso_pvct when creating 1681</t>
  </si>
  <si>
    <t>Max time of infotype 5008 used for infotype 1681 duration</t>
  </si>
  <si>
    <t>Short dump TABLE_INVALID_INDEX when saving costs</t>
  </si>
  <si>
    <t>Empty personnel data fields for ET in snapshots ALV</t>
  </si>
  <si>
    <t>HCMT structure for IT0048 (Great Britain)</t>
  </si>
  <si>
    <t>ESS: Issue with personal data for Great Britain</t>
  </si>
  <si>
    <t>PA-PA-IE</t>
  </si>
  <si>
    <t>ESS IE Personal Data not updating the PERMO field</t>
  </si>
  <si>
    <t>Sec80/80c record maintaned in R/3 not completely disp on ESS</t>
  </si>
  <si>
    <t>ABAP dump while executing the report -HINUUPDATE_INFTY_LOAN</t>
  </si>
  <si>
    <t>Form 16 on ESS not displayed when configured as PDF</t>
  </si>
  <si>
    <t>HR-IT: Addition of missing elements in Decoupling Structure</t>
  </si>
  <si>
    <t>Same role menus are included twice in role</t>
  </si>
  <si>
    <t>ESS NL - Pers. Data: Text of Name Format (KNZNM) incorrect</t>
  </si>
  <si>
    <t>Infotypes 0897, 3200 and 3210: Changes to Screen Structures</t>
  </si>
  <si>
    <t>IT0110: Usage in Forms &amp; Processes</t>
  </si>
  <si>
    <t>The form RSV-1 PFR: the complete customizing</t>
  </si>
  <si>
    <t>HRULRSV1: TFOMS code</t>
  </si>
  <si>
    <t>HRULRSV1: wrong insurance payments in parts 2 and 3</t>
  </si>
  <si>
    <t>HRULRSV1: selection conditions in payroll-results</t>
  </si>
  <si>
    <t>HRULRSV1: rounding of totals</t>
  </si>
  <si>
    <t>HRULRSV1: disabled employees processing</t>
  </si>
  <si>
    <t>HRULRSV1: reporting organisation parameters' reading error</t>
  </si>
  <si>
    <t>HRULRSV1: OGRN and INN codes displaying / part 4.1 totals</t>
  </si>
  <si>
    <t>HRULRSV1: dump in background run</t>
  </si>
  <si>
    <t>HRULRSV1: program error ASSIGN_LENGTH_0</t>
  </si>
  <si>
    <t>HRULRSV1: XML form</t>
  </si>
  <si>
    <t>HR-RU: Solution map issue after note 1458929</t>
  </si>
  <si>
    <t>HRULRSV1: organization's codes (INN, OGRN etc.) are zeros</t>
  </si>
  <si>
    <t>HRULRSV1: program error CHECK_SELOPT_ILLEGAL_OPTION</t>
  </si>
  <si>
    <t>HRULRSV1: program error CONVT_OVERFLOW</t>
  </si>
  <si>
    <t>Legal Properties(infotype 1655): new field TFOMS</t>
  </si>
  <si>
    <t>HRULRSV1: run with "Payroll Date"</t>
  </si>
  <si>
    <t>HRULRSV1: using of TRANSLATE in a multilingual system</t>
  </si>
  <si>
    <t>HRULRSV1: XML - tag "Number of pages"</t>
  </si>
  <si>
    <t>HRULRSV1: program error OBJECTS_MOVE_NOT_SUPPORTED</t>
  </si>
  <si>
    <t>HR-RU, RSV-1: incorrect number of attached documents</t>
  </si>
  <si>
    <t>HRULRSV1: empty parts displaying in the form and XML</t>
  </si>
  <si>
    <t>HRULRSV1: multiple conditions of disabled persons selection</t>
  </si>
  <si>
    <t>Check on field Personnel Id(P0002-PERID) gives error</t>
  </si>
  <si>
    <t>PA-PA-SE-CE</t>
  </si>
  <si>
    <t>Concurrent employment (Sweden)</t>
  </si>
  <si>
    <t>Infotype 0006 for some fields detail texts are not displayed</t>
  </si>
  <si>
    <t>ESS : Object ID for IT0021</t>
  </si>
  <si>
    <t>Update Logik im BO-Eventing</t>
  </si>
  <si>
    <t>SOA: Message mapping</t>
  </si>
  <si>
    <t>ESS TH Tax: Disabled dependent information missing</t>
  </si>
  <si>
    <t>ESS:Cannot add intl telephone number for emergency contact.</t>
  </si>
  <si>
    <t>ESS: Cannot add family member in IT0021.</t>
  </si>
  <si>
    <t>IT 0210: Value help and UI-class for field Formula</t>
  </si>
  <si>
    <t>PA-PA-US-EFR</t>
  </si>
  <si>
    <t>Effort Reporting</t>
  </si>
  <si>
    <t>No Data found for Organization assignment in selected period</t>
  </si>
  <si>
    <t>IT0009: Saving not possible with payment method "Check"</t>
  </si>
  <si>
    <t>IT0001: Staffing percentage cannot be changed to "0"</t>
  </si>
  <si>
    <t>IBAN/SEPA: Bank Account and Bank control key are cleared</t>
  </si>
  <si>
    <t>Text fields are missing in the international UI structures</t>
  </si>
  <si>
    <t>Infotype 0014: End Date is overwritten by inserting a record</t>
  </si>
  <si>
    <t>Update MSS with OBN operation for PMP Document Overview</t>
  </si>
  <si>
    <t>PMP: KPI not displayed completely</t>
  </si>
  <si>
    <t>Deselect Whole Group not working after Select All</t>
  </si>
  <si>
    <t>Prepare appraisal documents: Last Appraisal Template</t>
  </si>
  <si>
    <t>PMP: No line break for long phase description</t>
  </si>
  <si>
    <t>Copy from My Team Goals</t>
  </si>
  <si>
    <t>Performance Management Launchpad Configuration</t>
  </si>
  <si>
    <t>PMP: Various problems in perf management process maintenance</t>
  </si>
  <si>
    <t>Cascading goals: no warning when documents locked</t>
  </si>
  <si>
    <t>PMP: Role-based texts are not displayed</t>
  </si>
  <si>
    <t>Universal evaluation: Improved ESS support</t>
  </si>
  <si>
    <t>PA-PF-CH WD ESS: Incorrect language display is used</t>
  </si>
  <si>
    <t>Infotype 3230: Adjustment of screen structure</t>
  </si>
  <si>
    <t>ESS salary conversion: Dflt values for each conversion model</t>
  </si>
  <si>
    <t>Pension Fund: General Parts</t>
  </si>
  <si>
    <t>Penison fund: Error message ESS for different Support Pkg.</t>
  </si>
  <si>
    <t>RHRFPM_FTE_BULIST: "Free Full-Time Equivalents" column</t>
  </si>
  <si>
    <t>Wrong LIMIT_ENDA for reclassification rules</t>
  </si>
  <si>
    <t>Struct. HRFPM_BU_KEYFIGS &amp; HRFPM_BU_RULES cannot be enhanced</t>
  </si>
  <si>
    <t>Output of budgeting rules and reclassification rules</t>
  </si>
  <si>
    <t>RHRFPM_FTE_BULIST: Output error full-time equivalents IT1520</t>
  </si>
  <si>
    <t>Message HRFPMCUSTOM 006 cannot be overridden</t>
  </si>
  <si>
    <t>HRPBCM: Missing message for authorization check</t>
  </si>
  <si>
    <t>Financing relationships cannot be displayed</t>
  </si>
  <si>
    <t>RHRFPM_RC_REQ_VS_DOC displays incorrect result (II)</t>
  </si>
  <si>
    <t>Missing functions for budget creation</t>
  </si>
  <si>
    <t>Error date is not determined correctly</t>
  </si>
  <si>
    <t>Error message HRHCP00_PLAN047 when using PPMOD</t>
  </si>
  <si>
    <t>GETWA_NOT_ASSIGNED when maintaining HRFPM/DECD in T77S0</t>
  </si>
  <si>
    <t>Financing status in IT724 does not reflect situation</t>
  </si>
  <si>
    <t>MESSAGE_TYPE_X for RHRFPM_MASS_CREATE_ERM_FUNDS</t>
  </si>
  <si>
    <t>Error message HRFPM 152 during commitment creation</t>
  </si>
  <si>
    <t>HRFPM_VACANCY_DISP displays amounts several times</t>
  </si>
  <si>
    <t>Error message HRFPM 236 does not specify locking user</t>
  </si>
  <si>
    <t>Message 'ENQUEUE_REQ_KEY FAILED AFTER XXX TRIES'</t>
  </si>
  <si>
    <t>Documentation Corrections for Talent Management (EA-HR)</t>
  </si>
  <si>
    <t>Proficiency texts are missing for assessment results</t>
  </si>
  <si>
    <t>Launchpad Customizing: Dashboard 0XC_LSO_MP03_D02</t>
  </si>
  <si>
    <t>Class CL_HRTMC_COMMON_PDOBJECT_UTILS, Parameter 'OBJID'</t>
  </si>
  <si>
    <t>No pictures are displayed in PDF after conversion to HTTPS</t>
  </si>
  <si>
    <t>HRTMC_SEARCH_OBJECTS finds 2 values for 'VACANT'</t>
  </si>
  <si>
    <t>TMC search: Missing entries in HRTMC_AUTHORITY_VIEW</t>
  </si>
  <si>
    <t>Error in the class CL_HRTMC_GRID</t>
  </si>
  <si>
    <t>Advanced Search: Error when reading a blank range table</t>
  </si>
  <si>
    <t>Access to the development plan for the manager</t>
  </si>
  <si>
    <t>TMC search: TREX error messages are not evaluated</t>
  </si>
  <si>
    <t>Authorizations for talent review meetings</t>
  </si>
  <si>
    <t>TMC search: Multiple disp of node attribute in search result</t>
  </si>
  <si>
    <t>TMC search: Node results are assigned incorrectly</t>
  </si>
  <si>
    <t>Authorization check when creating a talent group</t>
  </si>
  <si>
    <t>Advanced search returns error in certain fields</t>
  </si>
  <si>
    <t>TMC search: Authorization for search criteria AES documents</t>
  </si>
  <si>
    <t>Talent Review Meeting: Save error when changing status</t>
  </si>
  <si>
    <t>TMC search: F4 helps do not consider time dependency</t>
  </si>
  <si>
    <t>Development plan: Termination when displaying archive doc</t>
  </si>
  <si>
    <t>Missing authorization check in master data transaction</t>
  </si>
  <si>
    <t>TMS@Nakisa: Only essential reqmts can be used for position</t>
  </si>
  <si>
    <t>TMC search: Leading zeros for personnel no. search attribute</t>
  </si>
  <si>
    <t>Incorrect input help for proficiency of the qualification</t>
  </si>
  <si>
    <t>Message when talent review meetings deleted w/o auth.</t>
  </si>
  <si>
    <t>Adjusting image height in various applications</t>
  </si>
  <si>
    <t>HRTMC search: Form of addr. displayed in indexing lang. only</t>
  </si>
  <si>
    <t>BAdI Implementation for Dashboards Added to IMG</t>
  </si>
  <si>
    <t>Fee currency not populated when cancelling in admin portal</t>
  </si>
  <si>
    <t>Unable to prebook from the course admin portal</t>
  </si>
  <si>
    <t>Unable to create long course schedule with out days off</t>
  </si>
  <si>
    <t>Learner last name incorrectly displayed</t>
  </si>
  <si>
    <t>Infotype 5049 settings at course type level not considered</t>
  </si>
  <si>
    <t>User specified selection period not considered in catalog</t>
  </si>
  <si>
    <t>Create curriculum: Course id not part of the course list</t>
  </si>
  <si>
    <t>Admin Portal:Calculate Price calculates duplicate costs</t>
  </si>
  <si>
    <t>Error when booking a participant in course admin portal</t>
  </si>
  <si>
    <t>LSO_PSV1: Controlling area not populated when booking</t>
  </si>
  <si>
    <t>Passing parameters via Launchpad to Dash boards in LSO</t>
  </si>
  <si>
    <t>Participant List: the participation Document no. is missing</t>
  </si>
  <si>
    <t>LSO_PV1A: Possible to change course ignoring authorisation</t>
  </si>
  <si>
    <t>In Learning portal all descriptions are not displayed</t>
  </si>
  <si>
    <t>Error while cancelling participation of a course program</t>
  </si>
  <si>
    <t>MANAGE PARTICIPANTS Service in the admin portal errors</t>
  </si>
  <si>
    <t>RHSEMI60_LSO: Room name not displayed in the ALV output</t>
  </si>
  <si>
    <t>Qualification imparted by curriculum type not displayed</t>
  </si>
  <si>
    <t>Course Administrator portal: Rebooking Notification not sent</t>
  </si>
  <si>
    <t>PE-LSO-TM-PR</t>
  </si>
  <si>
    <t>Course Preparation</t>
  </si>
  <si>
    <t>LSO-WD: Dump when scheduling a course date in admin portal</t>
  </si>
  <si>
    <t>PSM</t>
  </si>
  <si>
    <t>Public Sector Management</t>
  </si>
  <si>
    <t>PSM-FM</t>
  </si>
  <si>
    <t>Funds Management</t>
  </si>
  <si>
    <t>PSM-FM-UP</t>
  </si>
  <si>
    <t>Actual Update and Commitment Update</t>
  </si>
  <si>
    <t>KorrekturantrÃ¤ge (DO NOT RELEASE THIS NOTE)</t>
  </si>
  <si>
    <t>P&amp;F: Error when using infotype 0007</t>
  </si>
  <si>
    <t>ESS LEA: Current notice text doesn't show owner information</t>
  </si>
  <si>
    <t>ESS LEA: Team Calendar takes a long time to get displayed.</t>
  </si>
  <si>
    <t>ESS LEA: Incorrect deduction while creating a leave request.</t>
  </si>
  <si>
    <t>ESS LEA: Wrong description text for standard workflow tasks.</t>
  </si>
  <si>
    <t>Focus not set correctly on selecting a date in the Calendar</t>
  </si>
  <si>
    <t>ESS LEA RPTARQPOST: Status not changed despite update</t>
  </si>
  <si>
    <t>FPM_HIDE_CLOSE parameter not set in Team Calendar</t>
  </si>
  <si>
    <t>Bundling HRForms Engeltnachweis Ã–sterreich (SAP_PAYSLIP_AT)</t>
  </si>
  <si>
    <t>Incorrect ABN displayed on HRForms Payslip - Not to be rel.</t>
  </si>
  <si>
    <t>TFN number not displayed in the output.</t>
  </si>
  <si>
    <t>Retro on retro: Avg taxable gross is calculated incorrectly.</t>
  </si>
  <si>
    <t>Retrofit of CE changes</t>
  </si>
  <si>
    <t>Payment summary : Batch input session created with an error.</t>
  </si>
  <si>
    <t>Payment summary listing : Lump sum E report not displayed.</t>
  </si>
  <si>
    <t>Australia CE switch check added together with Main CE Switch</t>
  </si>
  <si>
    <t>ETP payment summary form is not generated.</t>
  </si>
  <si>
    <t>Death Benefit not reported on ETP summary</t>
  </si>
  <si>
    <t>Listing report:Correction for Union fee &amp; WKP Giving reports</t>
  </si>
  <si>
    <t>Payroll simulation in termination organiser fails.</t>
  </si>
  <si>
    <t>Corrections provided for Leave Loading Payments.</t>
  </si>
  <si>
    <t>Misalignment in the Pay In Advance ALV list output</t>
  </si>
  <si>
    <t>IT0509 overwrites HD position details on check</t>
  </si>
  <si>
    <t>CE Switch Changes for CA Reports (EA-HRCCA)</t>
  </si>
  <si>
    <t>PDF for Canada TFR ESS</t>
  </si>
  <si>
    <t>2010 Changes to Employment Equity File reporting</t>
  </si>
  <si>
    <t>CE Corrections for EA-HRCCA systems</t>
  </si>
  <si>
    <t>Remuneration stmnt: wage type /3Q6 (CI EE Contr. Prev. Year)</t>
  </si>
  <si>
    <t>Remuneratn statmnt in HR forms: Employee associatn cntrbutns</t>
  </si>
  <si>
    <t>Remuneration statemnt in HR forms: Error with C_GESAMT = 'X'</t>
  </si>
  <si>
    <t>HR Forms remuneration statements: Deductions due to AVmG</t>
  </si>
  <si>
    <t>SAP_PAYSLIP_DE_P: Various corrections</t>
  </si>
  <si>
    <t>March clause for non-recurring payment during sick pay paymt</t>
  </si>
  <si>
    <t>Certific@2</t>
  </si>
  <si>
    <t>Fields missing in infotype 0006_CE for France</t>
  </si>
  <si>
    <t>IT65-Date checks on error messages to handle historical data</t>
  </si>
  <si>
    <t>Error update IT0584, IT0585 and IT0586 using Decoupled class</t>
  </si>
  <si>
    <t>Leave Encashment:Self Approval &amp; Duplicate Quota Information</t>
  </si>
  <si>
    <t>Advanced Claims: Error in request Frequency for a Tax code</t>
  </si>
  <si>
    <t>Advanced / Flexi Claims: 'Off-Cycle Provided' Incorrect</t>
  </si>
  <si>
    <t>Advanced / Flexi Claims: Bug Fixes</t>
  </si>
  <si>
    <t>Advanced/Flexi Claims: Dependent Details</t>
  </si>
  <si>
    <t>Preparation of ECC 6.00 for Concurrent Employment Mexico</t>
  </si>
  <si>
    <t>CE Activation - Mexico</t>
  </si>
  <si>
    <t>HR-RU: Child care allowance calculation since 01.01.2010</t>
  </si>
  <si>
    <t>HR-RU: Income Tax Discrepancies (storno, different debts)</t>
  </si>
  <si>
    <t>HR-RU: Reports incorrectly reads locked infotype records</t>
  </si>
  <si>
    <t>HR-RU Legal Change: Form 4-FSS - XML file generation</t>
  </si>
  <si>
    <t>HR-RU: Report RSV1 wrongly process CNTR1 split</t>
  </si>
  <si>
    <t>HR-RU: 4-FSS table 2,7 wrong amounts for concurrent. empl.</t>
  </si>
  <si>
    <t>HR-RU: Off-cycle '0105' not deducted from regular payroll</t>
  </si>
  <si>
    <t>HR-RU: HRUL4FSS incorrectly process 2009 year or empty TAX</t>
  </si>
  <si>
    <t>HR-RU: HRULRSV1 incorrectly process 2009 year or empty TAX</t>
  </si>
  <si>
    <t>HR-RU: 4FSS - several issues in output XML file</t>
  </si>
  <si>
    <t>HR-RU: 4-FSS wrong Number of SICK if absence deleted in past</t>
  </si>
  <si>
    <t>HRULNDFL: usage of tax code 311 instead of 313 from 2010</t>
  </si>
  <si>
    <t>HR-RU: 4FSS table 3 wrong amounts in total column</t>
  </si>
  <si>
    <t>Payslip reports incorrect Absence period dates in retro case</t>
  </si>
  <si>
    <t>SPV:XML tag &lt;Anstallningskategori&gt; created when no data</t>
  </si>
  <si>
    <t>SPV Report: XML tag AntalSummeringar has incorrect value</t>
  </si>
  <si>
    <t>Easy Access menu: Country switch to access swedish programs</t>
  </si>
  <si>
    <t>RPCSPMS0_CE and RPLSPMS0_CE has XML genration issues.</t>
  </si>
  <si>
    <t>TAX: Arizona Resident Tax Withholding Percentage</t>
  </si>
  <si>
    <t>CE Activation USA</t>
  </si>
  <si>
    <t>CE: Error when activating form PYXXFO_SAP_PAYJNAL_USCE.</t>
  </si>
  <si>
    <t>REC: W-2 variance for NY retrieves incorrect values.</t>
  </si>
  <si>
    <t>REC: Recon.Rep. with TaxAuthority filter: not all results</t>
  </si>
  <si>
    <t>REC: Incorrect results for custom wagetypes with tax split.</t>
  </si>
  <si>
    <t>TAX: Short dump or syntax error in Payroll Driver</t>
  </si>
  <si>
    <t>Remuneration statement is incorrect from Payroll Driver</t>
  </si>
  <si>
    <t>Message "GE 8 Enqueue" in transaction SM21 after payroll run</t>
  </si>
  <si>
    <t>H99_HRFORMS_CALL_HELP does not work when P_DIRECT is set</t>
  </si>
  <si>
    <t>H99_HRFORMS_CALL-additional parameters ignored during select</t>
  </si>
  <si>
    <t>OC Replacement process does not update Posting</t>
  </si>
  <si>
    <t>OCWB: CE-Code is used although CE is not active for payroll</t>
  </si>
  <si>
    <t>PY-XX-PS</t>
  </si>
  <si>
    <t>International Functions for the Public Sector</t>
  </si>
  <si>
    <t>IT0509 overwrites HD position details</t>
  </si>
  <si>
    <t>IT509 pay scale check causes short dump</t>
  </si>
  <si>
    <t>XX-CSC-SK</t>
  </si>
  <si>
    <t>Slovakia</t>
  </si>
  <si>
    <t>XX-CSC-SK-TV</t>
  </si>
  <si>
    <t>Travel Management</t>
  </si>
  <si>
    <t>Missing values in switch-BC-sets</t>
  </si>
  <si>
    <t>SAPK-60502</t>
  </si>
  <si>
    <t>CATS WD: Inactive assignments are displayed</t>
  </si>
  <si>
    <t>Issues with service linked columns in ABAP Teamviewer</t>
  </si>
  <si>
    <t>PR05 select a line in the Receipt tab</t>
  </si>
  <si>
    <t>EES: Problems with trip number range 10-digit starting w/ 9</t>
  </si>
  <si>
    <t>EP interface: Preselectn of travel requests and travel plans</t>
  </si>
  <si>
    <t>Travel POWL Performance Improvement</t>
  </si>
  <si>
    <t>Missing country in destination : request PDF form</t>
  </si>
  <si>
    <t>Incorrect addresses if using PR05 after WD ABAP application</t>
  </si>
  <si>
    <t>PR05: Deleting a private expense from the Wizard</t>
  </si>
  <si>
    <t>XI Credit card clearing: Exchange rate in PTRV_CCC</t>
  </si>
  <si>
    <t>WD ABAP: Travel request services on the same date</t>
  </si>
  <si>
    <t>PR05: Default values on status screen</t>
  </si>
  <si>
    <t>WD ABAP: deleting default cost assignment may fail</t>
  </si>
  <si>
    <t>Travel request with hotel on the same day for some hours</t>
  </si>
  <si>
    <t>Pre-exit and post-exit methods are not called</t>
  </si>
  <si>
    <t>WD ABAP: Expense type dropdown missing</t>
  </si>
  <si>
    <t>Advance screen cannot be hidden with fitvfeld customizing.</t>
  </si>
  <si>
    <t>EU VAT: Credit card receipt in WebDynproABAP</t>
  </si>
  <si>
    <t>EU VAT: Saving invalid value-added tax ID numbers</t>
  </si>
  <si>
    <t>Runtime error RAISE_EXCEPTION, NO_TRIP_FOUND</t>
  </si>
  <si>
    <t>Change of field structure for BAPIs</t>
  </si>
  <si>
    <t>EU VAT</t>
  </si>
  <si>
    <t>WEB ABAP : check if trip schema allow advances</t>
  </si>
  <si>
    <t>TRG: Vorschlagswerte bei Ã„nderung des Beginndatums</t>
  </si>
  <si>
    <t>BRKG: verkÃ¼rzte Datumsangabe im Message-Popup</t>
  </si>
  <si>
    <t>Variabler Termin fÃ¼r die Reduktion des Auslandstagegeldes</t>
  </si>
  <si>
    <t>TG: kein Trennungsreisegeld bei groÃŸer Vergleichsrechnung</t>
  </si>
  <si>
    <t>Incorrect business trip commitments after changing a trip</t>
  </si>
  <si>
    <t>TRG: Erfassung von steuerfreien Belegen mÃ¶glich</t>
  </si>
  <si>
    <t>Changing travel priveleges: Status not changed for all trips</t>
  </si>
  <si>
    <t>RPRTEC00: Err in case of adjustment run indicator in IT 0003</t>
  </si>
  <si>
    <t>Label missing for company ID</t>
  </si>
  <si>
    <t>BIBE : take trip end date as parameter for outbound train</t>
  </si>
  <si>
    <t>e-Travel: Community credentials needed for deleting Trips</t>
  </si>
  <si>
    <t>BIBE : take end date as parameter for outbound train(2)</t>
  </si>
  <si>
    <t>OBJECT_MEM_ID parameter not handled in PD start application</t>
  </si>
  <si>
    <t>Optimization in user events - avoid calling all services</t>
  </si>
  <si>
    <t>Lead Object ID not filled during creation - SAP_PD</t>
  </si>
  <si>
    <t>Process withot pernr check box is not visible</t>
  </si>
  <si>
    <t>Use of logical operators in employee search</t>
  </si>
  <si>
    <t>Minor changes to SAP_PA mapper - avoid unnecessary read</t>
  </si>
  <si>
    <t>Incorrect sorting of mapping table in PA mapper</t>
  </si>
  <si>
    <t>Copying form scenario version duplicate PD objects in DTT</t>
  </si>
  <si>
    <t>Overwrite Exit Method not called in HRASR00_PROCESS_BROWSER</t>
  </si>
  <si>
    <t>Detail planning: Editing cost items</t>
  </si>
  <si>
    <t>Data collection method: Data for vacant positions</t>
  </si>
  <si>
    <t>PHCPDCUI:wrong total amount display when currency no decimal</t>
  </si>
  <si>
    <t>WD PCP Detail Planning: Currency Conversion</t>
  </si>
  <si>
    <t>Detail Planning: Edit/Insert Cost Item. Display Rate column.</t>
  </si>
  <si>
    <t>WD Detail Planning: Edit/Insert Cost Items. Display Rate.</t>
  </si>
  <si>
    <t>Corrections on report documentation</t>
  </si>
  <si>
    <t>Buttons in single employee planning displayed incorrectly</t>
  </si>
  <si>
    <t>EIC Activity Search - Simple &amp; Advanced results in exception</t>
  </si>
  <si>
    <t>Feature EICPT returns incorrect Print Form based on Profile</t>
  </si>
  <si>
    <t>You are not a receiver of the work item</t>
  </si>
  <si>
    <t>HRMGE0020C: entries in tabs / scroll bar</t>
  </si>
  <si>
    <t>Denmark Personal Data iView issue for Title field</t>
  </si>
  <si>
    <t>TNM: Short names for objects visible in ALV grid</t>
  </si>
  <si>
    <t>MY-ESS:Problem editing Spouse record in Infotype 0021</t>
  </si>
  <si>
    <t>PA-PA-NZ</t>
  </si>
  <si>
    <t>ESS NewZealand - Changing the required field</t>
  </si>
  <si>
    <t>HRULRSV1: empty number of attached documents in the XML</t>
  </si>
  <si>
    <t>HRULRSV1: part 4.1 is not displayed in the print-form</t>
  </si>
  <si>
    <t>Effort Reporting - Consolidated Issues</t>
  </si>
  <si>
    <t>IT0008: Wage Types Search help displays too many entries</t>
  </si>
  <si>
    <t>Class CL_HRPA_UI_CONVERT_0008_XX: Changes are reverted</t>
  </si>
  <si>
    <t>PMP: Termination during ESS call</t>
  </si>
  <si>
    <t>PMP: Not possible to change potential in team calibration</t>
  </si>
  <si>
    <t>Performance problems with HRPBCM</t>
  </si>
  <si>
    <t>Performance HRPBCM: FÃ¼llen von Spalten</t>
  </si>
  <si>
    <t>RHRFPM_FIN_CHECK does not display personnel numbers who left</t>
  </si>
  <si>
    <t>Termination MESSAGE_TYPE_X during commitment creation</t>
  </si>
  <si>
    <t>Non-intergrated objects in status 'Marked for New Financing'</t>
  </si>
  <si>
    <t>Undesirable PA framework initialization</t>
  </si>
  <si>
    <t>PDF Talent profile: Incorrect data on overview page</t>
  </si>
  <si>
    <t>Function modules return incorrect result</t>
  </si>
  <si>
    <t>Incorrect scale determination for competency documents</t>
  </si>
  <si>
    <t>Corrections in the overview page of talent profile PDFs</t>
  </si>
  <si>
    <t>Search, sorting values for scales - SELECT OPTIONS</t>
  </si>
  <si>
    <t>TMS@Nakisa:"Assigned to" field is not filled</t>
  </si>
  <si>
    <t>Fix for the deletion of Unintended SCORM data table entries</t>
  </si>
  <si>
    <t>Default cancelation fee not considered in instructor portal</t>
  </si>
  <si>
    <t>Default values not filled while creating collaboration room</t>
  </si>
  <si>
    <t>LSO: Own data for Manager shown in Manager's Services</t>
  </si>
  <si>
    <t>LSO: error while assigning instructor hired in future</t>
  </si>
  <si>
    <t>Unable to use 'Publish similar content' option in RCP tool.</t>
  </si>
  <si>
    <t>Dump in Rapid Content Publishing when 'Reload Node' selected</t>
  </si>
  <si>
    <t>LSO: Participation in past is displayed as completed</t>
  </si>
  <si>
    <t>LSO/PSV1/LSO_PSV2: Learning progress incorrectly displayed</t>
  </si>
  <si>
    <t>Infotype 1002 contents are not considered in the search</t>
  </si>
  <si>
    <t>LSO_PVEC_CREATE: Curriculum url incorrectly saved</t>
  </si>
  <si>
    <t>PE-LSO-TM-RW</t>
  </si>
  <si>
    <t>Report RHSEMI60_LSO displays wrong Org.assignment</t>
  </si>
  <si>
    <t>Curriculum: Error not displayed while changing course dates</t>
  </si>
  <si>
    <t>Concurrent Employment - Personnel Time Management</t>
  </si>
  <si>
    <t>CL_PT_LIMIT: Missing exception handling</t>
  </si>
  <si>
    <t>PT-EV-FO</t>
  </si>
  <si>
    <t>Time Statement Form</t>
  </si>
  <si>
    <t>SAP_TIM_99_0003: Duplicate lines for day balance results</t>
  </si>
  <si>
    <t>Time Manager's Workplace</t>
  </si>
  <si>
    <t>TMW: Display of blocked IT 2006/2007 records</t>
  </si>
  <si>
    <t>ESS LEA COR: Performance improvement</t>
  </si>
  <si>
    <t>Inconsistency in PERID field update via ESS Portal</t>
  </si>
  <si>
    <t>Payment Report print on Termination Update not configurable</t>
  </si>
  <si>
    <t>T4/T4A 'TEST PRINT' Not Printed using Output log (CE)</t>
  </si>
  <si>
    <t>Performance und Usability Verbesserung (Checkman)</t>
  </si>
  <si>
    <t>DEUEV:Corrections based on system check 2010</t>
  </si>
  <si>
    <t>SAP_PAYSLIP_DE_P: Mid-month chg in legal person in in-period</t>
  </si>
  <si>
    <t>Differentiation of pensions accdg West/East is not possible</t>
  </si>
  <si>
    <t>Dummy note for S11_ERP_ESS_Renovation-AT correction</t>
  </si>
  <si>
    <t>India PS : Dummy Note</t>
  </si>
  <si>
    <t>Enabling Additional Personal Data 0974 for Applicants</t>
  </si>
  <si>
    <t>Advanced/Flexi Claims: Incorrect Week Period Determination</t>
  </si>
  <si>
    <t>Advanced/Flexi Claims: LTC Related Corrections</t>
  </si>
  <si>
    <t>US-CE: Changes in Distribution Rules for Source Wage Types</t>
  </si>
  <si>
    <t>PY-XX-FO-ESS</t>
  </si>
  <si>
    <t>ESS Payslip</t>
  </si>
  <si>
    <t>CE Employee can not see all salary statement in ESS</t>
  </si>
  <si>
    <t>HRFORMS-Check Number not displayed on Earnings Statement</t>
  </si>
  <si>
    <t>wrong t706f record read - correction on EhP5</t>
  </si>
  <si>
    <t>SAPK-60503</t>
  </si>
  <si>
    <t>CATS approval: Field selection is transported incorrectly</t>
  </si>
  <si>
    <t>EP-PCT-MGR-CO</t>
  </si>
  <si>
    <t>BP for Manager Self-Service (FI)</t>
  </si>
  <si>
    <t>Financial role for MSS/Manager Self Service</t>
  </si>
  <si>
    <t>Missing MIME files for Organizational Chart Visualization</t>
  </si>
  <si>
    <t>Missing parameter value in Leave Approval application</t>
  </si>
  <si>
    <t>Dump on trip form display (Adobe): STRING_OFFSET_TOO_LARGE</t>
  </si>
  <si>
    <t>popup size for participants windows</t>
  </si>
  <si>
    <t>Add query "Credit Card Items" to POWL for Travel Assistant</t>
  </si>
  <si>
    <t>Error Trip Country does not exist in the system(T005)</t>
  </si>
  <si>
    <t>TRIP: RW 609 error on Travel request</t>
  </si>
  <si>
    <t>WD ABAP: Error during itemization, increased original amount</t>
  </si>
  <si>
    <t>EU VAT: Supplement to Note 1391970</t>
  </si>
  <si>
    <t>FR: 24 hour intervals with stopovers (part 5)</t>
  </si>
  <si>
    <t>Maximum limits warning not issued when using hard currency</t>
  </si>
  <si>
    <t>Norway: Bruspenger for all statutory trip types</t>
  </si>
  <si>
    <t>Pre/Post exit methods not called in FITE_VC_GENERAL_DATA</t>
  </si>
  <si>
    <t>Web: tax code of split receipt overwritten by default one</t>
  </si>
  <si>
    <t>Reducing amount of copied trip receipt not possible</t>
  </si>
  <si>
    <t>Web : Amount of split receipts can be changed in receipt</t>
  </si>
  <si>
    <t>RPRTEF00_PDF: Problem with locked personnel numbers</t>
  </si>
  <si>
    <t>Web and PDF form: No texts for internal orders</t>
  </si>
  <si>
    <t>WEB ABAP : Duplicate Receipts after receipt wizard</t>
  </si>
  <si>
    <t>RPRTEC00: No sttlmnt for rcpt dates equal to flight duration</t>
  </si>
  <si>
    <t>Correction Note 1458263 "Incorrect Adress in PR05 After WDA"</t>
  </si>
  <si>
    <t>RPRTEF10: Clearing of addl amts and income-related expenses</t>
  </si>
  <si>
    <t>WEB ABAP: exchange rate is not reset when new receipt</t>
  </si>
  <si>
    <t>Error when deleting trips in the travel calender</t>
  </si>
  <si>
    <t>Wrong statistic data when using BAdI AFTER_TRIP_SETTLEMNT</t>
  </si>
  <si>
    <t>AT: Manual taxation and meals receipts</t>
  </si>
  <si>
    <t>Web: Proposed requests for settlement creation</t>
  </si>
  <si>
    <t>Error when you copy trips in the travel manager</t>
  </si>
  <si>
    <t>EP interface: Default value when saving</t>
  </si>
  <si>
    <t>Web: Pre-exit and post-exit methods for update_buttons</t>
  </si>
  <si>
    <t>Web: Field control for "Receipt Checked"</t>
  </si>
  <si>
    <t>Web Abap : receipt : check currency on accept button</t>
  </si>
  <si>
    <t>Travel Expenses: Potential directory traversal</t>
  </si>
  <si>
    <t>WD ABAP: EU VAT:Fields visible despite inactive expense type</t>
  </si>
  <si>
    <t>Trip form:street, city not filled in general_data struct (2)</t>
  </si>
  <si>
    <t>WD ABAP interface: Performance on preselection screen</t>
  </si>
  <si>
    <t>web abap : check currency on button new entry</t>
  </si>
  <si>
    <t>RGV: Krankenhausaufenthalt bei tÃ¤glicher Kehre</t>
  </si>
  <si>
    <t>PS DE: Summenzeile d.steuerfreien Verpf.-Pauschalen/Formular</t>
  </si>
  <si>
    <t>LRKG NRW: geÃ¤nderte WegstreckenentschÃ¤digung ab 1.1.10</t>
  </si>
  <si>
    <t>WD ABAP: Fehler beim  Anlegen von Dienstantrittsreisen</t>
  </si>
  <si>
    <t>PS AT: Fehler beim Lesen der Unterkunft fÃ¼r Altreisen</t>
  </si>
  <si>
    <t>PS-AT: manuelle Versteuerung NÃ¤chtigung ignoriert</t>
  </si>
  <si>
    <t>TRG: Behandlung von autom. Kappungsbelegen bei Versteuerung</t>
  </si>
  <si>
    <t>DZ: Keine Erstattung bei NÃ¤chtigung im Krankenhaus</t>
  </si>
  <si>
    <t>Incorrect commitment after changing transferred trip</t>
  </si>
  <si>
    <t>DZ: Laufzeitfehler beim Ã„ndern ein Dienstzuteilungsperiode</t>
  </si>
  <si>
    <t>Confirmation message not displayed: cost assignemnt check</t>
  </si>
  <si>
    <t>Web ABAP : car preferences in Travel profile incorrect</t>
  </si>
  <si>
    <t>eTravel: Synchronization of Flight Lowest Fares</t>
  </si>
  <si>
    <t>Conf message not displayed: cost check (Consolidation)</t>
  </si>
  <si>
    <t>External Travel Planning: Dialog window too small</t>
  </si>
  <si>
    <t>technical correction</t>
  </si>
  <si>
    <t>Best Price fails when we create a plan from a request</t>
  </si>
  <si>
    <t>Internationalization: FITP_REQUEST_FORM FITP_PLAN_FORM</t>
  </si>
  <si>
    <t>Mix display Flight/Train , Arrival time is not taken</t>
  </si>
  <si>
    <t>Policy violation flag not taken into acount for Plan PDF</t>
  </si>
  <si>
    <t>Hotel.de error : PropertyNumber can not be 0, or bigger th</t>
  </si>
  <si>
    <t>Sabre : synchronisation of Car rate is not correct</t>
  </si>
  <si>
    <t>PA-AS - Potential disclosure and modification of stored data</t>
  </si>
  <si>
    <t>Dependent F4 issue in Mass Start Of Process</t>
  </si>
  <si>
    <t>Sort order corrected in PA mapper MAP_BACKEND_FIELDS_TO_UI</t>
  </si>
  <si>
    <t>Wrong record deleted though BEGDA and ENDDA passed in SAP_PA</t>
  </si>
  <si>
    <t>Design Time Tool - Unable to view Adobe form name</t>
  </si>
  <si>
    <t>NWBC Role Changes SAP_ASR_HRADMIN_HCM_CI_3</t>
  </si>
  <si>
    <t>No account assignment features in feature HCP03</t>
  </si>
  <si>
    <t>WD PCP Detail Planning: Documentation Addendum</t>
  </si>
  <si>
    <t>Detail Planning WD: Context dependent Cost Items</t>
  </si>
  <si>
    <t>Error message HRHCP00_PLAN103 in the log</t>
  </si>
  <si>
    <t>Detail Planning: Insert Cost Item. Wrong Account Assignment</t>
  </si>
  <si>
    <t>PHCPDCUI: Structural authorizations for changing</t>
  </si>
  <si>
    <t>WD detail planning: Short &amp; long texts for jobs &amp; positions</t>
  </si>
  <si>
    <t>WD Detail Planning: Check and Change Icons for Reason Image</t>
  </si>
  <si>
    <t>Incorrect calculation in single employee planning</t>
  </si>
  <si>
    <t>ECM: Simulation of compensation results</t>
  </si>
  <si>
    <t>ESS Web Request: Category and Description not transferred</t>
  </si>
  <si>
    <t>Note Type / Text ID Authorization not working correctly</t>
  </si>
  <si>
    <t>First Contact section in Activity Print shows wrong data</t>
  </si>
  <si>
    <t>EIC: Wrong confidentiality when sending E-Mails from EIC</t>
  </si>
  <si>
    <t>ESS: WIW application retrieving data from the past</t>
  </si>
  <si>
    <t>ESS foreign address: field country dropdown is not sorted</t>
  </si>
  <si>
    <t>Employee Self Service(ESS) on Behalf Changes</t>
  </si>
  <si>
    <t>Personal Profile - Bug fixes downport</t>
  </si>
  <si>
    <t>MSS Leave Approval - Button 'Multiple Reject' absent</t>
  </si>
  <si>
    <t>ESS Composite Role updated with GS applications(Downport)</t>
  </si>
  <si>
    <t>ESS : Errors in CA Family scenario</t>
  </si>
  <si>
    <t>Issue with IT0070 for CE framework</t>
  </si>
  <si>
    <t>ESS - Enhancements on IT0006 - OVS functionality</t>
  </si>
  <si>
    <t>Downport of SG,MY,CN,CH,PT,TH,AU,HK parts (ESS WDA) to EhP5</t>
  </si>
  <si>
    <t>NZ ESS : Date of Birth (GBDAT) cannot be made blank</t>
  </si>
  <si>
    <t>ADS error by running adobe form with RU language</t>
  </si>
  <si>
    <t>HR-RU: form 4FSS doesn't contain split parts 3 with NSP&amp;PZ</t>
  </si>
  <si>
    <t>RSV-1 - perfrormance</t>
  </si>
  <si>
    <t>IT0021: Issue with Disability Date in family dependent data.</t>
  </si>
  <si>
    <t>CALL_FUNCTION_NOT_FOUND Exception - HR_ME_CHECK_IF_REF_PERNR</t>
  </si>
  <si>
    <t>HRPBC_LIFI: Missing message for authorization check</t>
  </si>
  <si>
    <t>Budgeting rules: Runtime</t>
  </si>
  <si>
    <t>(EHP4): Erweiterung der SuchUI fÃ¼r geklammerte Anfragen</t>
  </si>
  <si>
    <t>Error when you display archive documents</t>
  </si>
  <si>
    <t>MSS: Talents are not displayed in the calibration grid</t>
  </si>
  <si>
    <t>Talent management specialist as reviewer in own dev. plan</t>
  </si>
  <si>
    <t>Talents are displayed twice in the talent monitor</t>
  </si>
  <si>
    <t>Past details displayed for course in the favorite section</t>
  </si>
  <si>
    <t>LSO correspondence: incorrect display of special characters</t>
  </si>
  <si>
    <t>Course type without any courses displayed in the search hits</t>
  </si>
  <si>
    <t>Admin portal: Blank rows are displayed in course worklist</t>
  </si>
  <si>
    <t>Follow-up check box doesn't appear if participant is absent</t>
  </si>
  <si>
    <t>LSO_PSV2:  Achieved percentage is incorrect for online test</t>
  </si>
  <si>
    <t>LSO_AUDIT- Need to consider all LSO active clients</t>
  </si>
  <si>
    <t>Admin Portal:Possible to create course with invalid schedule</t>
  </si>
  <si>
    <t>Role Conversion changes as per new guidelines</t>
  </si>
  <si>
    <t>PSM-FM-UP-FI</t>
  </si>
  <si>
    <t>FI Integration</t>
  </si>
  <si>
    <t>Hinweis fÃ¼r Transporte ohne Korrekturanleitung</t>
  </si>
  <si>
    <t>P&amp;F: Dump CX_SY_ZERODIVIDE when using infotype 0007</t>
  </si>
  <si>
    <t>Customizing of the detail view of IT2007 and IT2004 in TMW</t>
  </si>
  <si>
    <t>WD ABAP:Team calendar issue for Employee role of ESS</t>
  </si>
  <si>
    <t>ESS Renovation Project</t>
  </si>
  <si>
    <t>Changed Notice date is ignored when same as Termination date</t>
  </si>
  <si>
    <t>Cancelled slips for Releve 1 and Releve 2</t>
  </si>
  <si>
    <t>Dely of central registry for family-rel. bonuses as of 2011</t>
  </si>
  <si>
    <t>ESS renovation China -- Downporting to 605</t>
  </si>
  <si>
    <t>Supplement to Note 1455053 (missing wage types)</t>
  </si>
  <si>
    <t>Display of employee's unemploymnt ins. percentage w/ ind. 9</t>
  </si>
  <si>
    <t>Cumulation missing for total gross amount and net amount</t>
  </si>
  <si>
    <t>Dump when creating IT51 for VBL with unknown birth date</t>
  </si>
  <si>
    <t>Enhancement to IT0065 and P45 leaver report</t>
  </si>
  <si>
    <t>Enahancements to HCM Localization for NPO - EhP5e</t>
  </si>
  <si>
    <t>ESS/PT: Enhancement in Income Declarion screen</t>
  </si>
  <si>
    <t>HR-RU: Regional and Northern percent for absence payments</t>
  </si>
  <si>
    <t>HRUU0267: Off-cycle payroll payment date in backgound mode</t>
  </si>
  <si>
    <t>Processing of Payroll Data with different Period Parameter</t>
  </si>
  <si>
    <t>ATS: Determine the highest other benefit for item 65</t>
  </si>
  <si>
    <t>RPCSPMS0_CE / RPLSPMS0_CE Issues with SPV reporting</t>
  </si>
  <si>
    <t>BSI TaxFactory 9.0 - Phase I</t>
  </si>
  <si>
    <t>Issues in Certificate field search help in ESS (IT0022)</t>
  </si>
  <si>
    <t>Wrong results during a repetition run</t>
  </si>
  <si>
    <t>UI Changes made by Business Functions</t>
  </si>
  <si>
    <t>XX-TRANSL-ES</t>
  </si>
  <si>
    <t>Translation into Spanish</t>
  </si>
  <si>
    <t>Correction of translation of "Unlocked"</t>
  </si>
  <si>
    <t>SAPK-60504</t>
  </si>
  <si>
    <t>Corrections to Role structure</t>
  </si>
  <si>
    <t>The correct Accounting Object is replaced by 'All' in CD.</t>
  </si>
  <si>
    <t>PR04: Printing impossible for weekly reports</t>
  </si>
  <si>
    <t>New BAdI-Method for XI Credit Card Import</t>
  </si>
  <si>
    <t>Services for object button not available on closing history.</t>
  </si>
  <si>
    <t>web abap: exchange rate errors when deleting receipts</t>
  </si>
  <si>
    <t>Travel Management in new MSS PFCG Role for NWBC</t>
  </si>
  <si>
    <t>Adjusting ESS roles for travel and expenses</t>
  </si>
  <si>
    <t>WD ABAP: Expenses itemization - VAT details not copied</t>
  </si>
  <si>
    <t>Activity type not copied from travel plan to expense report.</t>
  </si>
  <si>
    <t>Save as draft in review screen</t>
  </si>
  <si>
    <t>Web: MyProfile:cannot access tabs if read-onlyauthorization</t>
  </si>
  <si>
    <t>BAdI for splitting receipt amount into wage types</t>
  </si>
  <si>
    <t>TRIP: Error 56 512 when deleting receipt</t>
  </si>
  <si>
    <t>PRRW: FF 805 for cross-company code postings</t>
  </si>
  <si>
    <t>Per diems/flat rates for USA: Use of M&amp;IE</t>
  </si>
  <si>
    <t>PRRW: If two open sessions exist, reversal may occur twice</t>
  </si>
  <si>
    <t>PRRW: A document may be missing for a document split</t>
  </si>
  <si>
    <t>PR05 - not all receipts are updated when reopening trips</t>
  </si>
  <si>
    <t>WEB/PR05: EU VAT fields are lost</t>
  </si>
  <si>
    <t>Reason text not transferred to batch input</t>
  </si>
  <si>
    <t>TRIP_RECEIPT_ENHANCEMENT: New parameter</t>
  </si>
  <si>
    <t>PR05: Credit card receipts may be lost</t>
  </si>
  <si>
    <t>Web: Cost distr. receipts not possible due to required flds</t>
  </si>
  <si>
    <t>Web: Deduction of pivate expense in Receipt Wizard incorrect</t>
  </si>
  <si>
    <t>FITVFELD does not copy all user groups in trip variant</t>
  </si>
  <si>
    <t>RPRFIN00_40:  Two spool lists for test posting</t>
  </si>
  <si>
    <t>BAdI trip_authorisation_date is called with wrong trips</t>
  </si>
  <si>
    <t>Web: Tax amount when deducting private expense in the wizard</t>
  </si>
  <si>
    <t>Warning Message not shown in the "save" screen</t>
  </si>
  <si>
    <t>Web: No default for country/region for kilometer entry</t>
  </si>
  <si>
    <t>IT: Maximum amount for meals multiplied in PDF form</t>
  </si>
  <si>
    <t>No error message after implementing Note 1451399</t>
  </si>
  <si>
    <t>EU VAT: Dump occurs in case of negative receipt amounts</t>
  </si>
  <si>
    <t>Web: Cannot close popup when invalid data in date field</t>
  </si>
  <si>
    <t>Web ABAP : proposal value for split receipt amount</t>
  </si>
  <si>
    <t>SE: Incorrect display of meals per diems in Adobe form.</t>
  </si>
  <si>
    <t>Express Expense Sheet:FITVPS201</t>
  </si>
  <si>
    <t>TGV: F1-Hilfe fÃ¼r Datum/Uhrzeiten bei 'Abw. Wohnung'</t>
  </si>
  <si>
    <t>Versteuerung der gesamten Dienstreise</t>
  </si>
  <si>
    <t>Dienstzuteilung/Reise: falsche Reiseart unternehmensspezif.</t>
  </si>
  <si>
    <t>TG: DienstrÃ¼ckreise kann nicht steuerpfl. erfasst werden</t>
  </si>
  <si>
    <t>Web: Deleting the receipt for estimated costs</t>
  </si>
  <si>
    <t>PS-DE:Rcpts may be duplicated for separation allowance in ES</t>
  </si>
  <si>
    <t>TG: Falsche fiktive Kosten bei TÃ¤glichen RÃ¼ckkehr (VGLR)</t>
  </si>
  <si>
    <t>PS-DE: Reisekostenmanager Belegscreen mit Scrollbar</t>
  </si>
  <si>
    <t>TRG: Erstattung Reisegeld bei untertÃ¤gigen Heimfahrten</t>
  </si>
  <si>
    <t>TG: PDF Formular fÃ¼r die Anzeige des Trennungsgelds</t>
  </si>
  <si>
    <t>GetThere Profile Synchronization</t>
  </si>
  <si>
    <t>Car provider popup displayed several times</t>
  </si>
  <si>
    <t>Car provider popup displayed several times (Correction)</t>
  </si>
  <si>
    <t>Request approval status not displayed in POWL when stat=5</t>
  </si>
  <si>
    <t>e-Travel: GET_ETRAVEL_PNR 'Employee_Number' without value</t>
  </si>
  <si>
    <t>Web abap : uncaught exception in search aiport</t>
  </si>
  <si>
    <t>MM</t>
  </si>
  <si>
    <t>Materials Management</t>
  </si>
  <si>
    <t>MM-SRV</t>
  </si>
  <si>
    <t>Services Management</t>
  </si>
  <si>
    <t>MM-SRV-PR</t>
  </si>
  <si>
    <t>Pricing/Conditions</t>
  </si>
  <si>
    <t>Downport of PFCG roles to EHP5</t>
  </si>
  <si>
    <t>Unauthorized usage of application functionality in EA-HR</t>
  </si>
  <si>
    <t>Correction in Process Search Class</t>
  </si>
  <si>
    <t>Minor change in HRASR00_PROCESS_EXECUTE for type conflict</t>
  </si>
  <si>
    <t>PFCG Role Adjustments - Security - related changes</t>
  </si>
  <si>
    <t>Detail planning: Inserting cost items after org. reassign.</t>
  </si>
  <si>
    <t>Detail planning WD: Revising roles and application</t>
  </si>
  <si>
    <t>WD Detail Planning: Display Objects without Costs</t>
  </si>
  <si>
    <t>WD Detail Planning: Undo Last Event for Selected Object</t>
  </si>
  <si>
    <t>WD Detail Planning: Legend for graphic with Object type</t>
  </si>
  <si>
    <t>Compensation Workflows are not completed until double click</t>
  </si>
  <si>
    <t>Administrative reports determine org. structure incorrectly</t>
  </si>
  <si>
    <t>Ability to set the agent assigment via Enhancement Spots</t>
  </si>
  <si>
    <t>ECM_SUBM_SIN and ECM_REJE_SIN not completed</t>
  </si>
  <si>
    <t>Unauthorized usage of appl. functionality in PA-EC,PA-CP</t>
  </si>
  <si>
    <t>Planning UI does not process inputs correctly</t>
  </si>
  <si>
    <t>Reinitialization of Org. units without position not possible</t>
  </si>
  <si>
    <t>Wrong order in report 'Compensation Planning Progress'</t>
  </si>
  <si>
    <t>Error 'You cannot create any activites. No contact data'</t>
  </si>
  <si>
    <t>EIC:ESS on Behalf in CRM 7.0 EHP1/ECC 6.0 EhP5</t>
  </si>
  <si>
    <t>EIC: Employee not correctly Identified when processing email</t>
  </si>
  <si>
    <t>EIC raises exception when a telephone call is accepted</t>
  </si>
  <si>
    <t>Clearing the EE affected employee screen</t>
  </si>
  <si>
    <t>EIC Scratch Pad - Import Note</t>
  </si>
  <si>
    <t>SLA Targetvalue is not specific to activity</t>
  </si>
  <si>
    <t>Who's who: Inconsistency when search name</t>
  </si>
  <si>
    <t>Issue with Hiding/Unhiding of folders in Launchpad menu</t>
  </si>
  <si>
    <t>ESS : Gender not defaulted for Family member subtypes</t>
  </si>
  <si>
    <t>RSV-1 - part 1 and part 2 blocks missing in the XML</t>
  </si>
  <si>
    <t>IT008 permissibility of wage types failing on forms</t>
  </si>
  <si>
    <t>EEO Report for CE: Extra dash in Employer ID (EINUM).</t>
  </si>
  <si>
    <t>Performance Issue during Validation of Cost Elements</t>
  </si>
  <si>
    <t>Receiving "Grant Number does not exist" error</t>
  </si>
  <si>
    <t>SRM@ERP: Report HRPAD00_C_EMPLOYEES_FOR_USERS is incorrect</t>
  </si>
  <si>
    <t>IT0021: Duplicate dropdown value in Name Prefix field</t>
  </si>
  <si>
    <t>IT0001: Fields Organiz.Unit, Job, Cost Center are deleted</t>
  </si>
  <si>
    <t>IT0019: Text fields are not filled</t>
  </si>
  <si>
    <t>IT0002: Gender field gets cleared</t>
  </si>
  <si>
    <t>General Bases for Payroll Data</t>
  </si>
  <si>
    <t>IT0008: Unit text (EITXT) is not filled</t>
  </si>
  <si>
    <t>Goals: Asynchronous update of the documents</t>
  </si>
  <si>
    <t>Subordinate Team Goals</t>
  </si>
  <si>
    <t>Team goals: Displaying own goals of a manager</t>
  </si>
  <si>
    <t>PMP: Downward compatibility for managing PM processes</t>
  </si>
  <si>
    <t>PMP: Delimited requirements appear in profile comparison</t>
  </si>
  <si>
    <t>PMP: Incorrect display of notes</t>
  </si>
  <si>
    <t>PMP: Different texts in the formula</t>
  </si>
  <si>
    <t>Checkman Error Dummy Note</t>
  </si>
  <si>
    <t>Incorrect activation date for notes</t>
  </si>
  <si>
    <t>Suche</t>
  </si>
  <si>
    <t>TMS@Nakisa: Performance of the organizational structure</t>
  </si>
  <si>
    <t>TMC search: Performance improvement for indexing</t>
  </si>
  <si>
    <t>TMS@Nakisa: Essential rqmt in competencies/qualifications</t>
  </si>
  <si>
    <t>HRTMC search: Search help for AES templates</t>
  </si>
  <si>
    <t>Unnecessary blank characters in assessment document</t>
  </si>
  <si>
    <t>Accessibility error on "Preparation" tab page</t>
  </si>
  <si>
    <t>Calling talent search more than once via talent group appl.</t>
  </si>
  <si>
    <t>TMS@Nakisa: Description: Spaces in the text disappear</t>
  </si>
  <si>
    <t>(FPM): Erweiterung der SuchUI fÃ¼r geklammerte Anfragen</t>
  </si>
  <si>
    <t>Tutor list displayed is incorrect</t>
  </si>
  <si>
    <t>LSO: Error while prebooking the employee's</t>
  </si>
  <si>
    <t>AdminPortal: Able to book the locked resources</t>
  </si>
  <si>
    <t>Unable to cancel bookings on WBT from MSS</t>
  </si>
  <si>
    <t>Admin Portal: Blank rows displayed in participant worklist</t>
  </si>
  <si>
    <t>Correspondence: Stopmark settings not user specific</t>
  </si>
  <si>
    <t>LSO-CE Personnel Assignment is not shown for some courses</t>
  </si>
  <si>
    <t>ESS MSS LEA: Data anonymization despite authorization</t>
  </si>
  <si>
    <t>ESS LEA: Clicking leave in TeamView result in runtime error.</t>
  </si>
  <si>
    <t>RPTCORTMAIL does not send mail to employees in some cases</t>
  </si>
  <si>
    <t>Report RPTARQEMAIL: E-mail text not filled completely</t>
  </si>
  <si>
    <t>ESS LEA: Repetitive system messages while approving a leave.</t>
  </si>
  <si>
    <t>ESS LEA: Changes to notice field in V_T554S_WEB not saved</t>
  </si>
  <si>
    <t>Attendance Overview does not include locked IT2001 records</t>
  </si>
  <si>
    <t>ESS COR:Not able to check PAST_TIME_LIMIT in V_PTCOR_TCONSTR</t>
  </si>
  <si>
    <t>ESS LEA: Wrong deduction info for changed Leave request</t>
  </si>
  <si>
    <t>ESS COR: Time events are displayed in wrong order</t>
  </si>
  <si>
    <t>ESS LEA: Values displayed in 'Used' column is inconsistent.</t>
  </si>
  <si>
    <t>ESS MSS: Incorrect display of legend in the team calendar</t>
  </si>
  <si>
    <t>ESS LEA: Empty request will be saved having status "NEW"</t>
  </si>
  <si>
    <t>Payment summary corrections for 'generate' and 'regenerate'</t>
  </si>
  <si>
    <t>ATO report: Corrections for ETP magnetic media file</t>
  </si>
  <si>
    <t>PS Listing report corrections for multiple assignments</t>
  </si>
  <si>
    <t>Payment Summary listing report incorrect for rehire cases</t>
  </si>
  <si>
    <t>Form SUERC shortdump, when there is no QSUP for a per.assign</t>
  </si>
  <si>
    <t>CSST : Legislative change to CSST remittance (CE)</t>
  </si>
  <si>
    <t>Incorr mthly vals in HR Form remuneration stmnt (C_GESAMT=X)</t>
  </si>
  <si>
    <t>ESS: Address scenario fields are not displayed properly</t>
  </si>
  <si>
    <t>The field "Marital Status" should not be mandatory</t>
  </si>
  <si>
    <t>HR-MX: Incorrect Assignment of Grouping Rule for IT0009</t>
  </si>
  <si>
    <t>Overpayment: report RPCLMRU0_CE corrections</t>
  </si>
  <si>
    <t>CE ESS Payslip - Error 'No Results exist'</t>
  </si>
  <si>
    <t>Gross Amount is shown as zero in CE ESS Payslip Overview</t>
  </si>
  <si>
    <t>Only 1 statement shown for "All Available Sal. Statements"</t>
  </si>
  <si>
    <t>ITAB_ILLEGAL_SORT_ORDER when running PC00_M99_FPAYM</t>
  </si>
  <si>
    <t>Off-cycle workbench remuneration statements display issues</t>
  </si>
  <si>
    <t>SAP Best Practices for UI Enhancement V1.605</t>
  </si>
  <si>
    <t>SAPK-60505</t>
  </si>
  <si>
    <t>CATS WD: 'Release Working Times' link is grayed out</t>
  </si>
  <si>
    <t>CATS WD: Weekday information in worklist.</t>
  </si>
  <si>
    <t>CATS WD: Template data lost when trying to save data</t>
  </si>
  <si>
    <t>FI-GL</t>
  </si>
  <si>
    <t>General Ledger Accounting</t>
  </si>
  <si>
    <t>FI-GL-GL</t>
  </si>
  <si>
    <t>Basic Functions</t>
  </si>
  <si>
    <t>Elimination of CheckMan errors</t>
  </si>
  <si>
    <t>FI-TV: Marginal corrections to documentation</t>
  </si>
  <si>
    <t>local currency not filled in receipt view</t>
  </si>
  <si>
    <t>PR05: Dump DYNP_TOO_MANY_RADIOBUTTONS_ON</t>
  </si>
  <si>
    <t>Web Abap : warning message missing in popup after receipt</t>
  </si>
  <si>
    <t>Web: Cannot copy trip</t>
  </si>
  <si>
    <t>The long text for vehicle type and class is truncated in pdf</t>
  </si>
  <si>
    <t>Account assignments and profit centers: Message BK 134</t>
  </si>
  <si>
    <t>Dump CX_SY_IMPORT_MISMATCH_ERROR for settlements and form</t>
  </si>
  <si>
    <t>Pre-exit and post-exit methods in FITE_VC_SERVICE_REQUEST</t>
  </si>
  <si>
    <t>FITV_POWL_ASSISTANT: Authorization check during deletion</t>
  </si>
  <si>
    <t>XI-CCC: Not writing any CC settlement runs in cluster TA</t>
  </si>
  <si>
    <t>PDF: Miles/kms additional information printed incorrectly</t>
  </si>
  <si>
    <t>Web ABAP: correction for customers using EU VAT refund</t>
  </si>
  <si>
    <t>Credit card receipt: Expense code changed:Country disappears</t>
  </si>
  <si>
    <t>EES: Trips are printed several times on the form</t>
  </si>
  <si>
    <t>Web abap : do not correct exchange rate if user change</t>
  </si>
  <si>
    <t>PR03: FITR0003 not processed during further procg in plng</t>
  </si>
  <si>
    <t>EES: BAdI TRIP_WEB_CHECK, method USER_CHECK_GENERAL_DATA</t>
  </si>
  <si>
    <t>Exchange Rate Replaced on Corporate Card Receipts</t>
  </si>
  <si>
    <t>WEB ABAP: exchange rate modified when it is not expected</t>
  </si>
  <si>
    <t>TRIP/PR05: Unjustified error message when creating</t>
  </si>
  <si>
    <t>Enhancement spot TRIP_RECEIPT_ENHANCEMENT</t>
  </si>
  <si>
    <t>WEB ABAP : change exchange rate  when checking receipt</t>
  </si>
  <si>
    <t>Short text is missing for activity number for network</t>
  </si>
  <si>
    <t>BAPI_TRIP_CREATE_FROM_DATA: Problems with free text for docs</t>
  </si>
  <si>
    <t>Web ABAP: Participants field not copied to itemized receipt</t>
  </si>
  <si>
    <t>Web: Memory SHB  (cluster PCL1(XX) ) may be retained</t>
  </si>
  <si>
    <t>Web: Document editor is hidden but filled in Receipt Wizard</t>
  </si>
  <si>
    <t>Web: Additional trip information entered is lost</t>
  </si>
  <si>
    <t>DZ: Falsche Fehlermeldung nach Kopieren einer Anwesenheit</t>
  </si>
  <si>
    <t>TGV: Konstante REIGT bleibt bei KÃ¼rzungen unberÃ¼cksichtigt</t>
  </si>
  <si>
    <t>Fehlerhafter Termin red. Tarif 1: DZ auswÃ¤rtiger Verbleib</t>
  </si>
  <si>
    <t>DZ: Fehlerhafte Meldung bzgl. Versteuerung Trennungsgeld</t>
  </si>
  <si>
    <t>PS-DE: Anzahl Mitfahrer im Webdynpro Reiseantrag</t>
  </si>
  <si>
    <t>Fehlerhafter Termin red. Tarif 1:DZ auswÃ¤rtiger Verbleib (2)</t>
  </si>
  <si>
    <t>BayRKG: Reduktion ATG setzt einen Tag zu frÃ¼h ein</t>
  </si>
  <si>
    <t>PS-DE: generierter Sachbezugsbeleg im Reisekalender</t>
  </si>
  <si>
    <t>Flight justification inconsistencies with out-of-policy</t>
  </si>
  <si>
    <t>Company credit card not accepted in Abap WD UI</t>
  </si>
  <si>
    <t>WEB ABAP: MyProfile calls FM PTRM_WEB_CUSTOMIZING_GET</t>
  </si>
  <si>
    <t>Information message not shown when general dates adjusted</t>
  </si>
  <si>
    <t>Info message for plan date adjustement during save process</t>
  </si>
  <si>
    <t>Best Price Justification improvement for WebDynpro UI</t>
  </si>
  <si>
    <t>Portal did not manage information message. (Other service)</t>
  </si>
  <si>
    <t>Current processor name invisible for browser context</t>
  </si>
  <si>
    <t>Error Messages are not displayed when Abort Message exists</t>
  </si>
  <si>
    <t>Removal of input in Effective Date field causes a dump</t>
  </si>
  <si>
    <t>F4 help value lost when a  user event is raised</t>
  </si>
  <si>
    <t>In-Correct Mime type being selected for Attachments</t>
  </si>
  <si>
    <t>Incorrect record keys in PA mapper during reinitialization</t>
  </si>
  <si>
    <t>Overwrite Exit Method not called in POBJ_BROWSER</t>
  </si>
  <si>
    <t>Mandatory fields checked for user event with ignore errors</t>
  </si>
  <si>
    <t>Wrong data loss pop-up after save draft</t>
  </si>
  <si>
    <t>ESS HCM P &amp; F process not tracked</t>
  </si>
  <si>
    <t>Health Plans infotype (0167) error in decoupled class.</t>
  </si>
  <si>
    <t>Icon for canceled plans</t>
  </si>
  <si>
    <t>PHCPDCUI: Limits are not taken into account</t>
  </si>
  <si>
    <t>Error list when run is released</t>
  </si>
  <si>
    <t>WD Detail Planning: Reason for event without data changes</t>
  </si>
  <si>
    <t>Release info Enhancement Package 5: Minor enhancements</t>
  </si>
  <si>
    <t>No accounting information for Job in plan.</t>
  </si>
  <si>
    <t>Detail Planning: Edit Job, Delete Line, Rest of Amount</t>
  </si>
  <si>
    <t>PCP: Enhancing external test cases</t>
  </si>
  <si>
    <t>RHHCP_DETAIL_LIST_CHANGES, List of Events, initial Event_ID</t>
  </si>
  <si>
    <t>WD Detail Planning: Group the cells in column "Reason".</t>
  </si>
  <si>
    <t>WD Det. Planning: Display saved reason for the event</t>
  </si>
  <si>
    <t>Display of appraisal results column</t>
  </si>
  <si>
    <t>No Workflow sent on approval if planning reopened via update</t>
  </si>
  <si>
    <t>No Workflow sent on approval after rejection or reopen</t>
  </si>
  <si>
    <t>Spent amounts incorrect after deletion of infotype records</t>
  </si>
  <si>
    <t>Org. structure incorrect in compensation planning</t>
  </si>
  <si>
    <t>Activity Print Form does not print Custom Channel Text</t>
  </si>
  <si>
    <t>Employee Interaction Center EE pattern search</t>
  </si>
  <si>
    <t>The Navigation Link 'EEContactLinksNavigation' doesn't exist</t>
  </si>
  <si>
    <t>Issue displaying apostrophe in Contact Person field in EIC</t>
  </si>
  <si>
    <t>EIC: Affected Employee Tab not cleared in Activity</t>
  </si>
  <si>
    <t>Clicking on last item in EIC inbox will go to next page</t>
  </si>
  <si>
    <t>Field "Int'l Administrator" of IT0710 with drop-down list</t>
  </si>
  <si>
    <t>Short dump while deleting a record from infotype 0706</t>
  </si>
  <si>
    <t>ESS: Overview screen displays only key fields not text value</t>
  </si>
  <si>
    <t>PA-PA-CH</t>
  </si>
  <si>
    <t>CE master data: Technical Birth Date IT0002 cannot be hidden</t>
  </si>
  <si>
    <t>PAD941: wrong object type</t>
  </si>
  <si>
    <t>LSO: French tables not read during valuation</t>
  </si>
  <si>
    <t>Dummy Note for 605</t>
  </si>
  <si>
    <t>New Zealand - Gender is not getting validated in portal</t>
  </si>
  <si>
    <t>New Zealand - Gender changing to unknown on reviewing</t>
  </si>
  <si>
    <t>Reverting the changes done in SAP Note 1523255</t>
  </si>
  <si>
    <t>ESS Russian address scenario - empty streets F4-list</t>
  </si>
  <si>
    <t>RSV-1 - rounded totals alignment in all periods</t>
  </si>
  <si>
    <t>HRULRSV1 - Type conflict during dynamic method call</t>
  </si>
  <si>
    <t>ESS: Telephone extension cannot be entered in ESS Portal.</t>
  </si>
  <si>
    <t>Certification Records not Saved if Grant is Invalid</t>
  </si>
  <si>
    <t>IT0008: Warning message RP360 is not triggered</t>
  </si>
  <si>
    <t>PMP: Customizing activities w/o authorization object check</t>
  </si>
  <si>
    <t>PMP: Incorrect information in pie chart</t>
  </si>
  <si>
    <t>Display of lower-level goals</t>
  </si>
  <si>
    <t>Goals and values (PMP): Dump when deleting cascaded goals</t>
  </si>
  <si>
    <t>PMP: KPI/rating displays the objective description text</t>
  </si>
  <si>
    <t>Qualifications and Requirements</t>
  </si>
  <si>
    <t>Multiple workitems sent from Skills Profile during delete</t>
  </si>
  <si>
    <t>PA40: Dump during organizational change</t>
  </si>
  <si>
    <t>Creating zero locks</t>
  </si>
  <si>
    <t>S_P1H_12000001: Personnel numbers that have left displayed</t>
  </si>
  <si>
    <t>Table HRFPM_CHANGE_LOG filled, even though PBC not active</t>
  </si>
  <si>
    <t>TMC search: Long runtime for indexing of HRTMC_REL_S_Q_031</t>
  </si>
  <si>
    <t>TMC search: Customizing for authorization check</t>
  </si>
  <si>
    <t>TMC search: No results for functional area search field</t>
  </si>
  <si>
    <t>TMS@Nakisa: Talent details "Assigned to" not filled</t>
  </si>
  <si>
    <t>Enterprise Search: Missing text</t>
  </si>
  <si>
    <t>No wraparound in the talent profile overview</t>
  </si>
  <si>
    <t>TMC search: Error during position switch by TMS</t>
  </si>
  <si>
    <t>Fields not ready for input in the freely definable action</t>
  </si>
  <si>
    <t>Accessibility improvements for several WD components</t>
  </si>
  <si>
    <t>Incorrect mapping of the search request</t>
  </si>
  <si>
    <t>RHBUCH00_LSO: Performance improvement</t>
  </si>
  <si>
    <t>Correspondence: Cancellation reason text truncated</t>
  </si>
  <si>
    <t>Instructor portal followup: Incorrect error message</t>
  </si>
  <si>
    <t>Cancelled courses proposed when rebooking from admin portal</t>
  </si>
  <si>
    <t>Message E094(5W) when saving infotype 5041</t>
  </si>
  <si>
    <t>OBJECTS_OBJREF_NOT_ASSIGNED:Encountered in follow up service</t>
  </si>
  <si>
    <t>Instructor Portal: Cancel reasons not saved when cancelling</t>
  </si>
  <si>
    <t>'No participants to be allocated were found' in LSO_PV18</t>
  </si>
  <si>
    <t>Dump CX_SY_ZERODIVIDE when creating infotype 0007</t>
  </si>
  <si>
    <t>ESS LEA:Customer fields not populated for certain scenario</t>
  </si>
  <si>
    <t>ESS LEA: Missing information in the ABAP short dump</t>
  </si>
  <si>
    <t>LEA: Incorrect status display for rejected deletion request</t>
  </si>
  <si>
    <t>ESS LEA: Changing a leave request gives a dump.</t>
  </si>
  <si>
    <t>PTCOR: Status of Time Evaluation messages is not considered</t>
  </si>
  <si>
    <t>ESS LEA: Language not considered in view V_HRWEB_TRS_MESS</t>
  </si>
  <si>
    <t>ESS LEA: No results for Approver when searched in Portal</t>
  </si>
  <si>
    <t>ESS: LEA Time unit inconsistent after delimiting a quotatype</t>
  </si>
  <si>
    <t>RPTCORTMAIL: E-mail address stored in subtype MAIL of IT0105</t>
  </si>
  <si>
    <t>ESS COR: Delimited att./absence reasons displayed in F4 help</t>
  </si>
  <si>
    <t>ESS LEA: Leave workflow doesn't complete upon approval.</t>
  </si>
  <si>
    <t>ESS LEA: Issue when approver substitution is not active</t>
  </si>
  <si>
    <t>ESS LEA: Line manager is determined wrongly in CE scenario.</t>
  </si>
  <si>
    <t>ESS LEA: Approver can approve/reject a locked leave document</t>
  </si>
  <si>
    <t>ESS LEA:#Delete:# prefix not in shown in confirmation screen</t>
  </si>
  <si>
    <t>ESS COR: Multiple Single values for ORIGF not possible.</t>
  </si>
  <si>
    <t>RPTARQEMAIL doesn't send email to approver in some cases</t>
  </si>
  <si>
    <t>ESS COR: Dump RAISE_EXCEPTION - FM HR_TMW_READ_T549Q</t>
  </si>
  <si>
    <t>Marital status field unchecked for mandatory field</t>
  </si>
  <si>
    <t>Function QPAY enhanced to process other subtypes in IT0009.</t>
  </si>
  <si>
    <t>Change in selection period for report RPLEAVQ0_CE.</t>
  </si>
  <si>
    <t>CE changes for label printing</t>
  </si>
  <si>
    <t>Corrections provided for IT0509 in decoupling framework.</t>
  </si>
  <si>
    <t>ESS COR: Default BAdI Implementation not called</t>
  </si>
  <si>
    <t>HRForms: Form proposal in "SAP Easy Access" menu</t>
  </si>
  <si>
    <t>ESS: Form 16 scenario executes with a runtime error</t>
  </si>
  <si>
    <t>CE Retrofit</t>
  </si>
  <si>
    <t>ITAB_ILLEGAL_SORT_ORDER short dump from PY driver or OCWB.</t>
  </si>
  <si>
    <t>RPCIPE00_OLD_CE: Posting date cannot be determined</t>
  </si>
  <si>
    <t>ESS Payslip - Results missing for CE employees3</t>
  </si>
  <si>
    <t>Method MODIFY_PAY_RESULTS im BAdI HRFORMS_HRF02 not called</t>
  </si>
  <si>
    <t>SAPK-60506</t>
  </si>
  <si>
    <t>Decoupling Class Enhancements for Korea Legal Change 2010</t>
  </si>
  <si>
    <t>SAPK-60507</t>
  </si>
  <si>
    <t>0HR_PA_HAP_3: Fields are not supplied</t>
  </si>
  <si>
    <t>CATS WD: Activating input help for field UVORN</t>
  </si>
  <si>
    <t>MSS Requisition Form keeps Position &amp; Job names once cleared</t>
  </si>
  <si>
    <t>TRIP: Cannot change vehicle type/vehicle class combination</t>
  </si>
  <si>
    <t>Enhancement spot TRIP_RECEIPT_ENHANCEMENT, new parameter</t>
  </si>
  <si>
    <t>Web ABAP: Cannot set end date using date navigator/calendar</t>
  </si>
  <si>
    <t>AT: Tax-free amount for travel costs</t>
  </si>
  <si>
    <t>POWL Button not updated in the employee list context</t>
  </si>
  <si>
    <t>SACC2</t>
  </si>
  <si>
    <t>Refresh of POWL query customizable</t>
  </si>
  <si>
    <t>RPRTEF00: BAdI change_summary_line</t>
  </si>
  <si>
    <t>Activation error after Enhancement Package 5 is imported</t>
  </si>
  <si>
    <t>Activation error after import of Enh. Package 5 (T706S)</t>
  </si>
  <si>
    <t>EES - field control for secondary screens is ignored</t>
  </si>
  <si>
    <t>WD ABAP:Runtime Error Field symbol has not yet been assigned</t>
  </si>
  <si>
    <t>TRIP: Dump MESSAGE_TYPE_X when saving settlement</t>
  </si>
  <si>
    <t>Error in trip chain after run of RPUREROL</t>
  </si>
  <si>
    <t>WD ABAP: Express expense sheet: Date missing for CCC buffer</t>
  </si>
  <si>
    <t>Web: Dump during import of USER (PTK99)</t>
  </si>
  <si>
    <t>Travel expenses: Taxatn accordng to reverse charge procedure</t>
  </si>
  <si>
    <t>PR05: VAT indicator not updated on receipt date change</t>
  </si>
  <si>
    <t>Web ABAP : ESS Travel Expenses Trip Schema default</t>
  </si>
  <si>
    <t>WD Java: CC receipt does not open by default on error</t>
  </si>
  <si>
    <t>Credit card receipts are deleted from buffer</t>
  </si>
  <si>
    <t>France: Meals per diem with calendar day settlement</t>
  </si>
  <si>
    <t>Web: Sweden: Dump on additional destinations</t>
  </si>
  <si>
    <t>Hard currency is not transferred from offline tool</t>
  </si>
  <si>
    <t>RPRTAX_FINLAND: No selection if alternative wage types used</t>
  </si>
  <si>
    <t>USA: Flat rates for travel costs 2011</t>
  </si>
  <si>
    <t>Duty allocation: Reduced hospital stay rate is not reset</t>
  </si>
  <si>
    <t>Man. changed VAT amount in foreign currency not converted</t>
  </si>
  <si>
    <t>AT: Additional amounts in RPRTEF10</t>
  </si>
  <si>
    <t>Name of credit card holder missing in the error table</t>
  </si>
  <si>
    <t>PDF: Amounts are not translated</t>
  </si>
  <si>
    <t>FI: Legal change to travel costs as of January 01, 2011</t>
  </si>
  <si>
    <t>Denmark: Legal change as of January 01, 2011</t>
  </si>
  <si>
    <t>Web: Dump TABLE_INVALID_INDEX for receipts</t>
  </si>
  <si>
    <t>Web: Error on saving trip with 183 Days Rule (AT) active</t>
  </si>
  <si>
    <t>Manual tax in case of tax code with several tax items</t>
  </si>
  <si>
    <t>BAPI_TRIP_CREATE_FROM_DATA: Problems when switching morei</t>
  </si>
  <si>
    <t>Sweden: Legal change re. travel expenses January 01, 2011</t>
  </si>
  <si>
    <t>PR05: No default values on status screen</t>
  </si>
  <si>
    <t>WEB: Tax amount not always recalculated</t>
  </si>
  <si>
    <t>Wrong additional amount calculation w/ meals receipt</t>
  </si>
  <si>
    <t>Web: Vehicle type field hidden when mileage entered</t>
  </si>
  <si>
    <t>DE: Legal changes Jan 01,2011/values for non-monetary remun.</t>
  </si>
  <si>
    <t>Synchronization terminates in case of required entry field</t>
  </si>
  <si>
    <t>Web: Community code not saved</t>
  </si>
  <si>
    <t>PS DE: Vergleichsrechnung im Reisekostenformular</t>
  </si>
  <si>
    <t>Falsche Ãœberschrift: Trennungsgeldformular TÃ¤gliche RÃ¼ckkehr</t>
  </si>
  <si>
    <t>Anzeigefehler im Periodenmanager (Transaktion TGPER)</t>
  </si>
  <si>
    <t>PS AT: Von- und Bisdatum in Belegzusatzinformationen</t>
  </si>
  <si>
    <t>VerpflegungsabzÃ¼ge mit Einbehalt: Werbungskosten</t>
  </si>
  <si>
    <t>NRW: Programmabruch bei Vergleichsrechnung Unterkunft</t>
  </si>
  <si>
    <t>DZ: KH-Aufenthalt bei tÃ¤gl. Kehre:  Verdoppelung der Tage</t>
  </si>
  <si>
    <t>PR05: Settling canceled trips</t>
  </si>
  <si>
    <t>Best Price Justification improvement for WD UI (PART 2)</t>
  </si>
  <si>
    <t>Field APPROVEDBY when request approved using workflow</t>
  </si>
  <si>
    <t>WD ABAP: Request: wrong display of Explanation UI element</t>
  </si>
  <si>
    <t>Credit Card Company not handled for Car Reservation WD UI</t>
  </si>
  <si>
    <t>Hotel Reason not displayed PDF Form / Backend in Travel Plan</t>
  </si>
  <si>
    <t>DE: PR05/TRIP: Address from request is not transferred</t>
  </si>
  <si>
    <t>External services not visibile anymore after flight booking</t>
  </si>
  <si>
    <t>HRS: Cryptic error message on hotel search</t>
  </si>
  <si>
    <t>Travel Planning Galileo : synchronisation of Eurostar</t>
  </si>
  <si>
    <t>IS</t>
  </si>
  <si>
    <t>Industry-Specific Components</t>
  </si>
  <si>
    <t>IS-PRS</t>
  </si>
  <si>
    <t>Professional Services</t>
  </si>
  <si>
    <t>IS-PRS-LS</t>
  </si>
  <si>
    <t>Lean Staffing</t>
  </si>
  <si>
    <t>Lean Staffing: Navigation to CATS WD application</t>
  </si>
  <si>
    <t>Generic Service Mapper - Operation Exclusion field changes</t>
  </si>
  <si>
    <t>Check LUW status in the BLP adapter</t>
  </si>
  <si>
    <t>Inconsistent events due to HRASR_FORM_WINDOW control</t>
  </si>
  <si>
    <t>Detail planning of NWBC roles: Application in new window</t>
  </si>
  <si>
    <t>Adding fields PERSG and PERSK to the characteristic HCP02</t>
  </si>
  <si>
    <t>Incorrect Value of Additional Cost Item</t>
  </si>
  <si>
    <t>Data collection method: Infotype basic pay (0008)</t>
  </si>
  <si>
    <t>Det. Planning: Warning message with empty message parameters</t>
  </si>
  <si>
    <t>WD Detail Planning: Display changes.</t>
  </si>
  <si>
    <t>Text for Cost Item in the Message HRHCP00_PLAN 147</t>
  </si>
  <si>
    <t>Copy Plan. Changes of dependent cost items are not copied.</t>
  </si>
  <si>
    <t>Compensation Workflow for Approval</t>
  </si>
  <si>
    <t>Subordinate Org. units not found in compensation planning</t>
  </si>
  <si>
    <t>Review Planning: Incorrect workflow with multiple Reject</t>
  </si>
  <si>
    <t>CL_HREIC_ACTIVITY_EXT_SERV gives syntax errors</t>
  </si>
  <si>
    <t>EIC: Protocol is not updated correctly</t>
  </si>
  <si>
    <t>ESS skills: Critical error during deletion</t>
  </si>
  <si>
    <t>WebDynpro Leave approval dump, timeAcc constructor</t>
  </si>
  <si>
    <t>PA-PA-ES</t>
  </si>
  <si>
    <t>MP000600_CE: State field search help is empty (Screen 2004)</t>
  </si>
  <si>
    <t>IT0021 - Family details inconsistency</t>
  </si>
  <si>
    <t>ESS Commuting Allowance Form: Correction for added line</t>
  </si>
  <si>
    <t>Correction &amp; Enhance of Decoupling Class for IT0881</t>
  </si>
  <si>
    <t>RSV-1: missing date on pages 2-5; displaying zeros</t>
  </si>
  <si>
    <t>RSV-1: new mode of disability status identification</t>
  </si>
  <si>
    <t>ESS: Fields missing in Tax infotype</t>
  </si>
  <si>
    <t>Name Changes of Taiwan Regions and Counties - ESS Part</t>
  </si>
  <si>
    <t>Error when calling appraisal documents via MSS</t>
  </si>
  <si>
    <t>Attachments in appraisal documents do not work</t>
  </si>
  <si>
    <t>Goals transferred for only one appraisal template</t>
  </si>
  <si>
    <t>PMP: User name "Unknown" in the event overview</t>
  </si>
  <si>
    <t>PMP: Template details cannot be displayed when you create</t>
  </si>
  <si>
    <t>Organizational objectives displayed in the incorrect lang.</t>
  </si>
  <si>
    <t>Performance of HRPBCEXT</t>
  </si>
  <si>
    <t>HRPBCM: Transfer tab page</t>
  </si>
  <si>
    <t>Successor for a position is not found</t>
  </si>
  <si>
    <t>Search: Corrections to text output of a search attribute</t>
  </si>
  <si>
    <t>Search: Incorrect search help in talent group assignment</t>
  </si>
  <si>
    <t>Search: Missing buttons in results list</t>
  </si>
  <si>
    <t>Search: Sorting of talent group assignments</t>
  </si>
  <si>
    <t>Missing search attr for person search in Succession Planning</t>
  </si>
  <si>
    <t>TMC search: Long runtime during indexing HRTMC_REL_SC_JF_FN</t>
  </si>
  <si>
    <t>Search: Unusual sorting in dropdown boxes</t>
  </si>
  <si>
    <t>TMC search: Corrections - combined search</t>
  </si>
  <si>
    <t>TMC search authorization indexing with initial user ID</t>
  </si>
  <si>
    <t>Talent review meetings: Performance in manager determination</t>
  </si>
  <si>
    <t>Talent profile: Use for additional object types</t>
  </si>
  <si>
    <t>LSO_GET_PARTICIPANTS: Incorrect organisation unit displayed</t>
  </si>
  <si>
    <t>Performance issue in class CL_IM_LSOWFCANCEL</t>
  </si>
  <si>
    <t>Information missing in Course catalog in admin portal</t>
  </si>
  <si>
    <t>RHPPROGRS_LSO: Run time error when exporting data</t>
  </si>
  <si>
    <t>LSO: Search in learning portal provides incorrect results</t>
  </si>
  <si>
    <t>ESS COR: RPTCORPOST-Records in status 'ERROR' not considered</t>
  </si>
  <si>
    <t>QDISN: Corrections for /553</t>
  </si>
  <si>
    <t>ATO Report: Incorrect employee name in ETP file</t>
  </si>
  <si>
    <t>Termination Organizer: Incorrect Payment printing processing</t>
  </si>
  <si>
    <t>PY-SE-CE</t>
  </si>
  <si>
    <t>RPCTAXS0_CE Column 81,82,87 and 88 report double amount</t>
  </si>
  <si>
    <t>RPTSTAS0_CE Incorrect absence percentage reported</t>
  </si>
  <si>
    <t>Technical note for translation message nr.806737 2010</t>
  </si>
  <si>
    <t>SAPK-60508</t>
  </si>
  <si>
    <t>During hire process via PA40 warnings appear</t>
  </si>
  <si>
    <t>Web: Amounts of receipt for estimated costs not updated</t>
  </si>
  <si>
    <t>Switch for CE causes error message without trips</t>
  </si>
  <si>
    <t>RPR_UPDATE_PER_DIEMS_FROM_FILE not working for T706B2</t>
  </si>
  <si>
    <t>All trips are not shown in the portal but only the last year</t>
  </si>
  <si>
    <t>Per Diem Update from file gives error for T706B2.</t>
  </si>
  <si>
    <t>FITP_REQUEST_FORM does not set the I am Car pool driver flag</t>
  </si>
  <si>
    <t>RPRTAX_FINLAND: report based on trip date, not posting date</t>
  </si>
  <si>
    <t>RPRTEF10 Error when sorting is activated</t>
  </si>
  <si>
    <t>PR05: Currency not valid anymore for trip receipts</t>
  </si>
  <si>
    <t>Web: EES: wrong field control for saved trips</t>
  </si>
  <si>
    <t>Travel Expense: Main destination not displayed in pdf form</t>
  </si>
  <si>
    <t>Error message when saving a travel request</t>
  </si>
  <si>
    <t>Web: Amounts under 0.5 are missing on the overview page</t>
  </si>
  <si>
    <t>EES: PDF trip form not displayed / IT0017 error</t>
  </si>
  <si>
    <t>Web: Selection for preselection screen of FITE_EXPENSES</t>
  </si>
  <si>
    <t>AT: Reimbursement amount in calendar day settlement</t>
  </si>
  <si>
    <t>Web: postal code not saved in location field for Austria</t>
  </si>
  <si>
    <t>No more deductions for included meals in hotel receipt</t>
  </si>
  <si>
    <t>RPRDTAX0: Dump BDC_FIELD_OVERFLOW if large number of trips</t>
  </si>
  <si>
    <t>Web: Cost assignment not read according to trip date</t>
  </si>
  <si>
    <t>Transfer of the VAT indicator</t>
  </si>
  <si>
    <t>DME: error F13 when using foreign currency function</t>
  </si>
  <si>
    <t>PR05: Additional receipt info popup not shown</t>
  </si>
  <si>
    <t>PR05: Problem with decimal places in other currency</t>
  </si>
  <si>
    <t>PR05: Msg text for deleting request with advances too short</t>
  </si>
  <si>
    <t>PR05: Scrolling to additional destinations</t>
  </si>
  <si>
    <t>Credit card tabs not shown if all additional fields hidden</t>
  </si>
  <si>
    <t>TRIP: Exceding max amount cannot be corrected</t>
  </si>
  <si>
    <t>Missing entries in table PTRV_CCC during interface with XI</t>
  </si>
  <si>
    <t>EU VAT: Error during automatic assignment of CC receipts</t>
  </si>
  <si>
    <t>Vorschlag kompl. Versteuerung bei DienstrÃ¼ckreisen falsch</t>
  </si>
  <si>
    <t>Formular: Darstellung Einbehalt vom Tagegeld</t>
  </si>
  <si>
    <t>Public sector Germany: Values for non-monetary remuneration</t>
  </si>
  <si>
    <t>AT PS: Ã„nderung RGV 2011: Â§ 75a: ÃœbernachtungsgebÃ¼hr</t>
  </si>
  <si>
    <t>AT PS: LÃ¶schen der Verkettungsdaten beim Genehmigen</t>
  </si>
  <si>
    <t>PS-AT: Connection between DA and outbound and return trip</t>
  </si>
  <si>
    <t>PS-DE: Input tax code for generated non-mon. remun. receipts</t>
  </si>
  <si>
    <t>Inconsistent situation with Best Price justification</t>
  </si>
  <si>
    <t>F4 help: Dump on unrestricted rail station search</t>
  </si>
  <si>
    <t>Web: Empty error message in portal on train search</t>
  </si>
  <si>
    <t>Web ABAP: HTML Form cannot be displayed for travel plans</t>
  </si>
  <si>
    <t>HRS XI: Hotels not indicated on result map</t>
  </si>
  <si>
    <t>Car Reservation fails in Portal for user with Car Membership</t>
  </si>
  <si>
    <t>UK Benefits: Issue with Critical Illness Plan for Partner</t>
  </si>
  <si>
    <t>Company code in original document is blank</t>
  </si>
  <si>
    <t>Data Basis Employee query: Sort according to last names</t>
  </si>
  <si>
    <t>WD Detail planning: Edit classification: New message</t>
  </si>
  <si>
    <t>Short dump when no appraisal document exists</t>
  </si>
  <si>
    <t>Enhancement for compensation profile</t>
  </si>
  <si>
    <t>Extractor 0PA_EIC_HAP_3 does not fetch start and end date</t>
  </si>
  <si>
    <t>Status "logically deleted" not available in EIC inbox search</t>
  </si>
  <si>
    <t>EIC: THIS NOTE IS OBSOLETE</t>
  </si>
  <si>
    <t>Issue with IT0070 CE framework: Correction to note 1508711</t>
  </si>
  <si>
    <t>#IT0057:Issues with structure HCMT_BSP_PA_US_R0057</t>
  </si>
  <si>
    <t>Issue in Grant Validity during Effort Approval</t>
  </si>
  <si>
    <t>PMP: Standard process indicator</t>
  </si>
  <si>
    <t>Lower-level team target is not highlighted</t>
  </si>
  <si>
    <t>Program RHHAP_UPDATE_DOCUMENT</t>
  </si>
  <si>
    <t>Development plan:Cannot add managers and TM specialists</t>
  </si>
  <si>
    <t>Search: Enabling multiple selection (EHP 4)</t>
  </si>
  <si>
    <t>Plan version in CL_HRTMC_CP_UTILITIES</t>
  </si>
  <si>
    <t>Resource costs per attendee is incorrectly calculated</t>
  </si>
  <si>
    <t>Correspondence worklist POWL: Incorrect record is displayed</t>
  </si>
  <si>
    <t>LSO_PV17 : Incorrect billing of multiple courses</t>
  </si>
  <si>
    <t>Admin portal: Short Dump while assigning  Rooms /Materials</t>
  </si>
  <si>
    <t>ABAP Runtime error when using transaction LSO_PV03</t>
  </si>
  <si>
    <t>Participant list displayed only for default plan version</t>
  </si>
  <si>
    <t>YE10: T4A and T4 Corrections for CE</t>
  </si>
  <si>
    <t>RPCEDTD0_HRFORMS_INIT: Documentation</t>
  </si>
  <si>
    <t>HRFORMS Payslip for India for India payroll</t>
  </si>
  <si>
    <t>Loans - Reimbursement Plan</t>
  </si>
  <si>
    <t>HR-RU Legal Change: Form "Individual Account Card"</t>
  </si>
  <si>
    <t>RPCALCS0_CE : Runtime Error due to long part-time absences</t>
  </si>
  <si>
    <t>RPCNORS0_CE Incorrect output in case of multiple Bank codes</t>
  </si>
  <si>
    <t>SAPK-60509</t>
  </si>
  <si>
    <t>0HR_LSO_1: Participation records extracted twice</t>
  </si>
  <si>
    <t>CATS dump - Unable to interpret "*" as a number</t>
  </si>
  <si>
    <t>CATS - field info help not populating values</t>
  </si>
  <si>
    <t>RPRFIN00_40 in background - log not expanded</t>
  </si>
  <si>
    <t>WEB: Country Region Dropdown bad performance</t>
  </si>
  <si>
    <t>Credit card encryption creates excess entries in CCSEC_ENC.</t>
  </si>
  <si>
    <t>Web: Focus in create address not on country</t>
  </si>
  <si>
    <t>POWL: Query parameters read-only</t>
  </si>
  <si>
    <t>Second parameter missing for message 56 155</t>
  </si>
  <si>
    <t>POWL: selection criteria FITV_POWL_TRIPSFORAPPROVAL_EXP</t>
  </si>
  <si>
    <t>Web ABAP : Error saving flight preferences</t>
  </si>
  <si>
    <t>Web: Traveler work center does not display trip status</t>
  </si>
  <si>
    <t>WEB: Short dump in additional destinations screen</t>
  </si>
  <si>
    <t>PDF :Incorrect entry in extended cost assignment of receipt</t>
  </si>
  <si>
    <t>RPRTAX_FINLAND: meal per diems shown despite no payment</t>
  </si>
  <si>
    <t>RPUREROL: Travel requests are also recalculated</t>
  </si>
  <si>
    <t>Adjust From Date and To Date checkbox not checked by default</t>
  </si>
  <si>
    <t>b) Wrong additional amount calculation w/ meals receipt</t>
  </si>
  <si>
    <t>Web: Vehicle type displays though defined as hidden</t>
  </si>
  <si>
    <t>PR05: Incorrect Trip Status</t>
  </si>
  <si>
    <t>Web: Cost assignment saved even if error occured</t>
  </si>
  <si>
    <t>Accomm. per diem: Deduction in case of flat-rate change</t>
  </si>
  <si>
    <t>Italy: Reimbursement if receipt date outside trip date</t>
  </si>
  <si>
    <t>AT: The Tax fields are missing in BAPI_TRIP_GET_DETAILS</t>
  </si>
  <si>
    <t>PR05: Check for number of breakfasts in hotel receipt</t>
  </si>
  <si>
    <t>PRRW: F5 165: Company code &amp; is not defined</t>
  </si>
  <si>
    <t>PR05: Default value for vehicle type and vehicle class</t>
  </si>
  <si>
    <t>Infotype 0027 taken into account even if it is locked</t>
  </si>
  <si>
    <t>Hide Button Standing Approval of Business Trips in info ty</t>
  </si>
  <si>
    <t>Norway: Reading SALARY document for exact days</t>
  </si>
  <si>
    <t>Web: Error message 56 565 in case of company code change</t>
  </si>
  <si>
    <t>DE: nur statistischer Aufbau der Reiseverkettung</t>
  </si>
  <si>
    <t>PTRV_EES_FORM did not manage empty data for MEALS_PER_DIEM</t>
  </si>
  <si>
    <t>Dump ITAB_DUPLICATE_KEY in RPR_UPDATE_COMCODENR_FROM_FILE</t>
  </si>
  <si>
    <t>Mileage reference text not updated on vehicle type change</t>
  </si>
  <si>
    <t>IT:Private Expenses cannot be selected for Category 'other'</t>
  </si>
  <si>
    <t>DME: IBAN and SWIFT not filled; error FZ 808</t>
  </si>
  <si>
    <t>Web: No F4 help for various cost objects</t>
  </si>
  <si>
    <t>TRIP:Status short text for 'Request on Hold' for travel req.</t>
  </si>
  <si>
    <t>PR05: No advance on form if VORHW hidden</t>
  </si>
  <si>
    <t>ESS Expense: country region for border crossing</t>
  </si>
  <si>
    <t>Informationen zu Vergleichsrechnungen auch beim Anzeigen</t>
  </si>
  <si>
    <t>RGV: Ã„nderungen in der TagesgebÃ¼hr zum 1.1.2011</t>
  </si>
  <si>
    <t>AT-PS: Ã„nderung RGV 2011: Fahrtkostenabrechnung</t>
  </si>
  <si>
    <t>PS-DE: Morei Reisedatum &lt;&gt; Morei Systemdatum</t>
  </si>
  <si>
    <t>PS AT: Abwesenheiten bei DZ: Fehler beim Versteuerungsdatum</t>
  </si>
  <si>
    <t>PS-DE: Sachbezug ganztÃ¤gige Verpflegung</t>
  </si>
  <si>
    <t>PS AT: Abwesenheiten verschwinden nach dem Sichern</t>
  </si>
  <si>
    <t>PS AT: Genehmigen der DZ-Periode nach Genehmigung parall. DR</t>
  </si>
  <si>
    <t>PS DE: Summe Tagegeldanteil fÃ¼r Werbungskosten andrucken</t>
  </si>
  <si>
    <t>PS AT: Fehler bei Beginn der Dienstzuteilung um 24:00 Uhr</t>
  </si>
  <si>
    <t>FI-TV-COS-PTM</t>
  </si>
  <si>
    <t>Off-line Travel Management</t>
  </si>
  <si>
    <t>Synchronzing error: Credit card receipt does not exist</t>
  </si>
  <si>
    <t>Web: No flight preselected in flight availbility list</t>
  </si>
  <si>
    <t>WD ABAP: LCC: Mandatory sign for email and phone fields</t>
  </si>
  <si>
    <t>Web: hide phone when no GDS item</t>
  </si>
  <si>
    <t>Web: Dump on flight search (fare group)</t>
  </si>
  <si>
    <t>WD ABAP: Reason field not marked as mandatory</t>
  </si>
  <si>
    <t>Best price justification not correct in FareGroup layout</t>
  </si>
  <si>
    <t>CC encryption . dump in synchro  when hotel need deposit</t>
  </si>
  <si>
    <t>TP14 - Enhancement for limiting size of server trace files</t>
  </si>
  <si>
    <t>Performance issue in the FM HR_ASR_DIGITAL_PERS_FILE.</t>
  </si>
  <si>
    <t>Processes with status 'DRAFT' not visible in process browser</t>
  </si>
  <si>
    <t>MSS related changes for the Process Browser</t>
  </si>
  <si>
    <t>Resizing tables PD Relations and PD Objects in Design Time</t>
  </si>
  <si>
    <t>HRSSCA role added to enable employee grouping in CRM EIC</t>
  </si>
  <si>
    <t>MSS related changes for WD ABAP based start application (PD)</t>
  </si>
  <si>
    <t>WD detail planning: Display mode and role</t>
  </si>
  <si>
    <t>Test and Data Record Log for Delete Reports (0666 and 5010)</t>
  </si>
  <si>
    <t>Not all FM account assignments in IT0027 taken into account</t>
  </si>
  <si>
    <t>WD Detail Planning:All objects are selected, undo last event</t>
  </si>
  <si>
    <t>Problems with mixed budget types in a compensation review</t>
  </si>
  <si>
    <t>HREIC Print Form - Resolution Text is not printed</t>
  </si>
  <si>
    <t>Service description fetched from the tracking view</t>
  </si>
  <si>
    <t>Activity saving error: wrong note type or text id.</t>
  </si>
  <si>
    <t>PA-PA-BR</t>
  </si>
  <si>
    <t>HR-BR: corrections in the check of IT0008 - start date</t>
  </si>
  <si>
    <t>ESS : Customer-specific variant for Tax form reprint</t>
  </si>
  <si>
    <t>ESS : Problem with alphanumeric subtype in IT0021 for CA</t>
  </si>
  <si>
    <t>IT0206 delimitation not functioning</t>
  </si>
  <si>
    <t>Japan Country Key does not update for Region on Address page</t>
  </si>
  <si>
    <t>EHP5 KR legal change correction</t>
  </si>
  <si>
    <t>RSV-1 - new part 4.3</t>
  </si>
  <si>
    <t>HR-RU: CIA - incorrect values in sum fileds</t>
  </si>
  <si>
    <t>IT0185: ICTYPE check in the ESS application</t>
  </si>
  <si>
    <t>Infotype 0021: Dump in ESS when maintaining phone numbers</t>
  </si>
  <si>
    <t>Error creating Job Salary Change Form (New Hire form)</t>
  </si>
  <si>
    <t>Checkman: US Effort Reporting, NPO, SLM Localization</t>
  </si>
  <si>
    <t>Match Error Report</t>
  </si>
  <si>
    <t>Participant's Validity Check for Effort Certification</t>
  </si>
  <si>
    <t>ESS:Bank name incorrect on review page in ZA bank scenario</t>
  </si>
  <si>
    <t>Missing Customizing entries</t>
  </si>
  <si>
    <t>Goal application: Cascading of team goals</t>
  </si>
  <si>
    <t>Search: Various corrections for the advanced search</t>
  </si>
  <si>
    <t>Talent review meeting: Search only in area of responsibility</t>
  </si>
  <si>
    <t>Succession Planning (HRTMC_PPOM): Talent group assignment</t>
  </si>
  <si>
    <t>Display Employee Documents within TM Planning UI</t>
  </si>
  <si>
    <t>Missing spaces for question description</t>
  </si>
  <si>
    <t>Dump when you call the search help in talent group maint.</t>
  </si>
  <si>
    <t>Search: Character string for multivalue attribute of search</t>
  </si>
  <si>
    <t>LSO_CHECK_BOOKING-does not contain inform.about old event</t>
  </si>
  <si>
    <t>Follow up imparts qualification for failed participants</t>
  </si>
  <si>
    <t>LSO:In curriculum for WBT the date is incorrectly calculated</t>
  </si>
  <si>
    <t>LSO:Report LSO_RHXORES1, some course are not considered</t>
  </si>
  <si>
    <t>Incomplete results of participant shown</t>
  </si>
  <si>
    <t>Value help for Curriculum Type missing in Tcode LSO_PVDCEL</t>
  </si>
  <si>
    <t>Course Brochure: In case of multiple IT1029 records.</t>
  </si>
  <si>
    <t>Run time error when cancelling multiple attendees in IP</t>
  </si>
  <si>
    <t>Label 'Room' missing in admin portal</t>
  </si>
  <si>
    <t>Retro Taxation across financial yr, creates positive tax</t>
  </si>
  <si>
    <t>YE10: T4A corrections - CE only</t>
  </si>
  <si>
    <t>HRForms: No. of pages counter for separate BAdI implementatn</t>
  </si>
  <si>
    <t>SAP_PAYSLIP_DE_P: Problems with various display variants</t>
  </si>
  <si>
    <t>Missing Function Module and structure in EhP releases</t>
  </si>
  <si>
    <t>Advanced/Flexi Claims Corrections</t>
  </si>
  <si>
    <t>Leave Encashment through ESS</t>
  </si>
  <si>
    <t>Advanced Claims:Back button not working in Update Report</t>
  </si>
  <si>
    <t>Advanced Claims-Allowance Grouping check only for Claims</t>
  </si>
  <si>
    <t>Changes in employers certificate PDF</t>
  </si>
  <si>
    <t>RPCKU1S0_CE Cross year retro amounts are reported incorrect</t>
  </si>
  <si>
    <t>RPCKU1S0_CE No temse file and Form created.</t>
  </si>
  <si>
    <t>ESS: incorrect entry in T52OCG after printing Payslip</t>
  </si>
  <si>
    <t>Common functionality of ESS payslip</t>
  </si>
  <si>
    <t>WD ABAP ESS Payslip - Reuse of common functionality</t>
  </si>
  <si>
    <t>WD JAVA ESS Payslip - Reuse of common functionality</t>
  </si>
  <si>
    <t>HRESS Payslip - Common functionality - condition wrong</t>
  </si>
  <si>
    <t>SAPK-60510</t>
  </si>
  <si>
    <t>ESS Web Dynpro</t>
  </si>
  <si>
    <t>In ESS COD:Inconsistency showing due multiple photo upload</t>
  </si>
  <si>
    <t>CATS WD: Search help for WBS element</t>
  </si>
  <si>
    <t>CATS - field info help doesnot interprit numbers correctly</t>
  </si>
  <si>
    <t>Dump while launching the webdynpro CATS application</t>
  </si>
  <si>
    <t>Performance enhancements to Embedded Orgchart component</t>
  </si>
  <si>
    <t>Resolving package errors in MSS</t>
  </si>
  <si>
    <t>Modification of documentation of report RCCSEC_MIGRATION_075</t>
  </si>
  <si>
    <t>Country Region Dropdown replacement: further corrections</t>
  </si>
  <si>
    <t>WD ABAP: No navigation possible after choosing button</t>
  </si>
  <si>
    <t>PDF Request form shows wrong numbering for destinations.</t>
  </si>
  <si>
    <t>Web: Cost assignment check not triggered</t>
  </si>
  <si>
    <t>No input tax in Travel Management</t>
  </si>
  <si>
    <t>Web: Dump CONVERT_NO_NUMBER in PTRA_UTIL_GENERAL_DATA_CHECK</t>
  </si>
  <si>
    <t>Question format for deleting a trip is incorrect in PR05</t>
  </si>
  <si>
    <t>CZ: Error if fuel price and currency fields are blank</t>
  </si>
  <si>
    <t>PR05: Unjustified error message 56 512 for receipts</t>
  </si>
  <si>
    <t>Web: Additional trip information may be lost</t>
  </si>
  <si>
    <t>WD ABAP : Error message appears too late</t>
  </si>
  <si>
    <t>Inconsistencies in CC cluster</t>
  </si>
  <si>
    <t>RPRCCC_CREATE_CORRECTION_FILE: Dump CNVT_CODEPAGE</t>
  </si>
  <si>
    <t>Express Expense Sheet: Print all when trips only displayed</t>
  </si>
  <si>
    <t>Web: Error when creating settlement from travel request</t>
  </si>
  <si>
    <t>Web: Selected schema remains despite terminating navigation</t>
  </si>
  <si>
    <t>WD ABAP Cannot modify exchange rate for expense receipts</t>
  </si>
  <si>
    <t>Web: Receipt country defaulted if VAT refund active</t>
  </si>
  <si>
    <t>HTML Form not displayed for Express Expense Sheet (EES)</t>
  </si>
  <si>
    <t>WD ABAP: Dump while deleting cost assginment</t>
  </si>
  <si>
    <t>WEB ABAP: flight times in itinerary are not modifiable</t>
  </si>
  <si>
    <t>Message from check of master account assgmt issued as error</t>
  </si>
  <si>
    <t>RGV: Fehlermeldung bei Erfassung der DienstrÃ¼ckreise</t>
  </si>
  <si>
    <t>RGV: Erstattungsklassenwechsel DZ ausw. Verbleib</t>
  </si>
  <si>
    <t>RGV: TagesgebÃ¼hr in der DienstrÃ¼ckreise zu niedrig</t>
  </si>
  <si>
    <t>keine Auswirkungen bei Ã„nderungen des Abwesenheitstextes</t>
  </si>
  <si>
    <t>Separation allowance event - blank page if many absences</t>
  </si>
  <si>
    <t>PS-DE: Keine Ãœbernachtungspauschale bei HotelÃ¼bernachtung</t>
  </si>
  <si>
    <t>BRKG: Unterkunftserstattung bei lÃ¤ngererem  Aufenthalt</t>
  </si>
  <si>
    <t>ESS web travel : booking connecting flight fails</t>
  </si>
  <si>
    <t>GetThere: Error in Retrieve List of Locators</t>
  </si>
  <si>
    <t>Phone mandatory not marked as mandatory before the booking</t>
  </si>
  <si>
    <t>Web ABAP: time out when request for more Hotel</t>
  </si>
  <si>
    <t>Car rental date invalid in sabre message OTAReadItinerary</t>
  </si>
  <si>
    <t>Maintain comments using Infotype Screen Structures</t>
  </si>
  <si>
    <t>HCM P &amp; F: HRASR_DT dumps on selecting Infotype 0021.</t>
  </si>
  <si>
    <t>HCM P &amp; F: Form not added to employee's DPF as it is locked.</t>
  </si>
  <si>
    <t>BEN: Short dump in infotype 0171 in CE environment.</t>
  </si>
  <si>
    <t>PA-BN-FB-XX</t>
  </si>
  <si>
    <t>Flex Benefits: Issues with ESS portal</t>
  </si>
  <si>
    <t>Transactions PHCPDCDE, PHCPDETL, PHCPDETLC in Area Menu PP74</t>
  </si>
  <si>
    <t>Display Plan Data: Wrong Unit for Number</t>
  </si>
  <si>
    <t>Incorrect display of employees with several positions</t>
  </si>
  <si>
    <t>Employees not showing up in the Planning UI</t>
  </si>
  <si>
    <t>Planning Overview - Incorrect Status value 'New'</t>
  </si>
  <si>
    <t>Links do not work in single-employee planning</t>
  </si>
  <si>
    <t>Old Planning UI sometimes shows employees</t>
  </si>
  <si>
    <t>Enhancement to total comp overview in compensation profile</t>
  </si>
  <si>
    <t>Sub. org. units not found if User assigned to &gt;1 PERNR</t>
  </si>
  <si>
    <t>Display problem:  Irrelevant org. units with budgets</t>
  </si>
  <si>
    <t>Org. units appear more than once in planning overview</t>
  </si>
  <si>
    <t>Errors are ignored during roadmap navigation</t>
  </si>
  <si>
    <t>Audit report f.budgets displays incorrect values f.expenses</t>
  </si>
  <si>
    <t>Activity due date resets and becomes 0 after saving.</t>
  </si>
  <si>
    <t>Support for upload of custom archive link document in COD</t>
  </si>
  <si>
    <t>Infotype 706: Fixing area for customer fields</t>
  </si>
  <si>
    <t>IT0008: Default values not filled</t>
  </si>
  <si>
    <t>IT0002: Default values not filled</t>
  </si>
  <si>
    <t>Default Zero Value in JP YEA Form Does Not Display Correctly</t>
  </si>
  <si>
    <t>Client Copy: Standard HCM Processes and Forms for Japan</t>
  </si>
  <si>
    <t>RSV-1: wrong sum in the column 5 of the part 4.1 table</t>
  </si>
  <si>
    <t>RSV-1: new part 4.4</t>
  </si>
  <si>
    <t>IT0008: Indirect valuation calculated over a wrong period</t>
  </si>
  <si>
    <t>Correction to PM ESS single role</t>
  </si>
  <si>
    <t>Follow-up to Note 1335155 (III)</t>
  </si>
  <si>
    <t>Simulation start date field not filled in CIPE (II)</t>
  </si>
  <si>
    <t>Error message HRHCP00_PLAN012 when creating commitments</t>
  </si>
  <si>
    <t>TMC search: Performance for extraction of documents</t>
  </si>
  <si>
    <t>TMC srch: Qualification srch criteria for CP-Q relationship</t>
  </si>
  <si>
    <t>Indexing of HRTMC_AUTHORITY_VIEW: Data packages are too big</t>
  </si>
  <si>
    <t>Search: Various corrections for the advanced search #2</t>
  </si>
  <si>
    <t>Search: Adding combination in an MV dialog box</t>
  </si>
  <si>
    <t>TMS@Nakisa / Org. hierarchy: "Manager" icon is missing</t>
  </si>
  <si>
    <t>Incorrect authorization message for inactive employees</t>
  </si>
  <si>
    <t>Last Name column in the dashboard</t>
  </si>
  <si>
    <t>PMP documents are not displayed in talent profile</t>
  </si>
  <si>
    <t>IPO: Follow up data not saved from Instructor Portal</t>
  </si>
  <si>
    <t>Incorrect delivery method displayed in the search hits</t>
  </si>
  <si>
    <t>Checkman Error With Note 1490568</t>
  </si>
  <si>
    <t>LSO correspondence: Long times when updating table T77vp</t>
  </si>
  <si>
    <t>Booking checks performed multiple number of times for WBT</t>
  </si>
  <si>
    <t>VLR Progress not saved in table for some condition</t>
  </si>
  <si>
    <t>LSO:Error while creating a curriculum with custom del method</t>
  </si>
  <si>
    <t>Search help does not display the object</t>
  </si>
  <si>
    <t>Error LSO574 when changing location of a course</t>
  </si>
  <si>
    <t>Settlement type incorrectly defaulted in instructor portal</t>
  </si>
  <si>
    <t>LSOWD: Blank rows are displayed in correspondence worklist</t>
  </si>
  <si>
    <t>LSO: Checks during follow-up</t>
  </si>
  <si>
    <t>Sender details not displayed in the correspondence work list</t>
  </si>
  <si>
    <t>LSO: Bad Performance in Resource Selection</t>
  </si>
  <si>
    <t>RHMARP00_LSO: Incorrect column header in alv output</t>
  </si>
  <si>
    <t>Course worklist does not display any output for some queries</t>
  </si>
  <si>
    <t>Correspondence: No output to attendees for change of room</t>
  </si>
  <si>
    <t>LSOWD: Future Dated courses are listed in follow-up service</t>
  </si>
  <si>
    <t>Error in the functions QUOTA and P2013</t>
  </si>
  <si>
    <t>PTMW: No message for invalid entry of WBS element</t>
  </si>
  <si>
    <t>ESS LEA: IT0008_NOT_FOUND exception in leave request</t>
  </si>
  <si>
    <t>ESS QUOTAS: Deduction date range are blank in the portal.</t>
  </si>
  <si>
    <t>ESS LEA: Clock times do not get refreshed</t>
  </si>
  <si>
    <t>Note 1408958 changes incomplete in releases 603, 604, 605</t>
  </si>
  <si>
    <t>YE10 : ESS tax form application prints name incorrectly</t>
  </si>
  <si>
    <t>IT 0010: Check for employer's contributions</t>
  </si>
  <si>
    <t>Missing Metastar and Metadimension in EhP releases</t>
  </si>
  <si>
    <t>Missing legal changes for IT0065 in SAP-HR and EA-HR systems</t>
  </si>
  <si>
    <t>IT0065 CE framework: P45 item 13 cannot be used for payroll</t>
  </si>
  <si>
    <t>RPCNORS0_CE Temse file is not created as per requirement</t>
  </si>
  <si>
    <t>Employer's countribution for employees upto age 25</t>
  </si>
  <si>
    <t>RPCNORS0_CE the issues with record tyep 48, 53 and 56</t>
  </si>
  <si>
    <t>IT 0207: Start date is overwritten by TaxLocator.</t>
  </si>
  <si>
    <t>TXL: Personnel Areas county data not being passed to BSI.</t>
  </si>
  <si>
    <t>SAPK-60511</t>
  </si>
  <si>
    <t>CA-GTF-TS</t>
  </si>
  <si>
    <t>Technical Application Support</t>
  </si>
  <si>
    <t>CA-GTF-TS-SMT</t>
  </si>
  <si>
    <t>General Status Management Tool</t>
  </si>
  <si>
    <t>Checkman: Obj TOKOM S</t>
  </si>
  <si>
    <t>Details icon not populated in webdynpro cats</t>
  </si>
  <si>
    <t>CATS: Mandatory/required fields can be hidden</t>
  </si>
  <si>
    <t>Dump with too many target hours in the calendar</t>
  </si>
  <si>
    <t>MSS: Training wrongly shown as passed</t>
  </si>
  <si>
    <t>Nakisa enhancements for MSS</t>
  </si>
  <si>
    <t>Minor UI adjustment to MSS approval application</t>
  </si>
  <si>
    <t>MSS Object and data provider: ACC text for data table</t>
  </si>
  <si>
    <t>Hierarchy visualization configuration changes</t>
  </si>
  <si>
    <t>WEB ABAP: Amount changes when changing currency</t>
  </si>
  <si>
    <t>PRRW: Balance in transaction curr when splitting per vendor</t>
  </si>
  <si>
    <t>WEB: further corrections to new country - region fields</t>
  </si>
  <si>
    <t>WD ABAP: CANCEL and EXIT buttons do not work</t>
  </si>
  <si>
    <t>POWL: Dump: FTRA_GET_TRIP_PAYMENT_HISTORY does not exist</t>
  </si>
  <si>
    <t>TRIP: Paper receipt checkbox not saved when exiting using F3</t>
  </si>
  <si>
    <t>TRIP: Incorrect activity type (KZTKT) before exit call</t>
  </si>
  <si>
    <t>WD ABAP: Travel request: Missing translation for task (EN)</t>
  </si>
  <si>
    <t>NO: No Bruspenger for statutory trip type: 'Private'</t>
  </si>
  <si>
    <t>Web: Performance problems due to CHECK_JURISDICTION_ACTIVE</t>
  </si>
  <si>
    <t>DE: Per diem for accommodation as of Jan-01-2010: Correction</t>
  </si>
  <si>
    <t>AT: No income-related expenses in form</t>
  </si>
  <si>
    <t>Web: Problems with miles/kms cumulation/amount accumulation</t>
  </si>
  <si>
    <t>RPRPOSTD: Status entries in PEVSH/'Partially booked'</t>
  </si>
  <si>
    <t>PDF: From/to-date in accommodations per diem for Sweden</t>
  </si>
  <si>
    <t>PDF PTRV_EXPENSE_FORM truncated 51 lines (additional info)</t>
  </si>
  <si>
    <t>NO: Legal change to travel expenses January 01, 2011 (2)</t>
  </si>
  <si>
    <t>Badi TRIP_IMP_EXP: Method RESTRICT_TRIPS_IN_RANGE not called</t>
  </si>
  <si>
    <t>PDF: Breakfast deduction missing from hotel receipt</t>
  </si>
  <si>
    <t>Web: Entering kilometers leads to FITVPS 201</t>
  </si>
  <si>
    <t>RPRCCC_CREATE_CORRECTION_FILE: Dump COMPUTE_BCD_OVERFLOW</t>
  </si>
  <si>
    <t>FR: 24 hour intervals with stopovers (part 6)</t>
  </si>
  <si>
    <t>WD ABAP: Modified exchange rate not saved for next receipts</t>
  </si>
  <si>
    <t>Value of TRVPA(WRP) not redetermined when you chg. pers.no.</t>
  </si>
  <si>
    <t>PRTE: No amount in ROT if RUW is also displayed</t>
  </si>
  <si>
    <t>PDF PTRV_EES_FORM internationalization</t>
  </si>
  <si>
    <t>WD ABAP: Help text for number in receipt</t>
  </si>
  <si>
    <t>Web: Overwrite exit for NAVIGATE_SAVE not called</t>
  </si>
  <si>
    <t>RPR_UPDATE_COMCODENR_FROM_FILE: abgegrenze EintrÃ¤ge</t>
  </si>
  <si>
    <t>PS AT: Canceling duty allocation periods</t>
  </si>
  <si>
    <t>Ã–ff. Dienst Deutschland: Sachbezugswerte 2011 LRKG</t>
  </si>
  <si>
    <t>Falsche Rahmendaten von Perioden nach Ã„nderung Beginn der DZ</t>
  </si>
  <si>
    <t>DZ: Fehler beim Sichern der Dienstzuteilungsperiode</t>
  </si>
  <si>
    <t>DZ: Falscher Tarif nach Erfassung einer Abwesenheit</t>
  </si>
  <si>
    <t>Error for business trip commitments in case of negative doc.</t>
  </si>
  <si>
    <t>DZ: Nach Stornierung der DZ setzt red. Tarif zu frÃ¼h ein</t>
  </si>
  <si>
    <t>Vergleichsrechnung: Verlassen des Popups nach 'Enter'</t>
  </si>
  <si>
    <t>Falscher Hinz.-Betrag bei WegstreckenentschÃ¤digung (Bayern)</t>
  </si>
  <si>
    <t>RGV VerkÃ¼rzung Ãœbergeleiteter Perioden bei Dienstzuteilung</t>
  </si>
  <si>
    <t>PS-AT: Status bei Periode mit Ende in der Zukunft</t>
  </si>
  <si>
    <t>ESS web travel : booking flight mixing category 2</t>
  </si>
  <si>
    <t>WD ABAP:after changing default cost assignment its not saved</t>
  </si>
  <si>
    <t>Flight Search Depart/Arrival flag not taken into account</t>
  </si>
  <si>
    <t>Sabre and GetThere integration</t>
  </si>
  <si>
    <t>Deletion of old unused WS for Sabre Proxy consistency</t>
  </si>
  <si>
    <t>HCM P &amp; F: Problem opening attachments</t>
  </si>
  <si>
    <t>Improving error messages reported in the HCM P&amp;F framework</t>
  </si>
  <si>
    <t>Enable case management authorization check for end user</t>
  </si>
  <si>
    <t>'People Involved in Process' displayed in the draft Process</t>
  </si>
  <si>
    <t>Checkman error in class CL_HRASR00_DPF_REC</t>
  </si>
  <si>
    <t>HCM P&amp;F: Incorrect mapping in PA mapper for mutiple OBJPS</t>
  </si>
  <si>
    <t>Employee already hired message when pernr in backend is used</t>
  </si>
  <si>
    <t>Create ICF Node for ASR_EIC_FOLLOW_UP application</t>
  </si>
  <si>
    <t>Performance Improvement made to PROCESS_F4_HELP method</t>
  </si>
  <si>
    <t>HCM P &amp; F: Wrong snapshot of HR form is added to DPF</t>
  </si>
  <si>
    <t>People Involved in Process displays wrong timestamp</t>
  </si>
  <si>
    <t>Adobe form cache activation for performance</t>
  </si>
  <si>
    <t>HCM Process and Forms-Proper IT2011 records aren't deleted</t>
  </si>
  <si>
    <t>HCM P &amp; F : Incorrect step data is saved</t>
  </si>
  <si>
    <t>Completion Date and Time not updated in a Single-Step Proces</t>
  </si>
  <si>
    <t>New roles for segregation of duties</t>
  </si>
  <si>
    <t>Check or post plan with quantities: Message BM035</t>
  </si>
  <si>
    <t>Termination when you execute a planning run</t>
  </si>
  <si>
    <t>Display Plan Data: Detail Views, Wrong Unit for Number</t>
  </si>
  <si>
    <t>Planning run: Alternative cost determination for positions</t>
  </si>
  <si>
    <t>Termination when you execute a planning run (Org.Object)</t>
  </si>
  <si>
    <t>Release a planning run: error HRHCP00_PLAN112</t>
  </si>
  <si>
    <t>Missing appraisal text when VB or VC elements are used.</t>
  </si>
  <si>
    <t>Not all employees for approval are shown</t>
  </si>
  <si>
    <t>Reject note popup appears although rejection not allowed</t>
  </si>
  <si>
    <t>Dump in review step of compensation planning UI</t>
  </si>
  <si>
    <t>Plan does not appear on review step of planning UI</t>
  </si>
  <si>
    <t>Accessibility mode lost when navigating to comp. profile</t>
  </si>
  <si>
    <t>Admin. reports run only when sel. OU has a planning mgr.</t>
  </si>
  <si>
    <t>Compensation Approval Displayes too Many Reviews</t>
  </si>
  <si>
    <t>PA-EC Corrections without note</t>
  </si>
  <si>
    <t>Budget structure generated despite termination action</t>
  </si>
  <si>
    <t>Organizational structure read for incorrect key date</t>
  </si>
  <si>
    <t>HREIC Activity Save Error - note type incorrect (0005)</t>
  </si>
  <si>
    <t>Embedding of email text in Notes for activities</t>
  </si>
  <si>
    <t>Maximum 255 charactrers transferred to job posting in MSS</t>
  </si>
  <si>
    <t>Removing the "Open in new window" button from configurations</t>
  </si>
  <si>
    <t>ESS Reno: Incorrect BADI impl. description</t>
  </si>
  <si>
    <t>Performance OF ESS launchpad and PFCG Menu</t>
  </si>
  <si>
    <t>PERNR is not getting transferred from MSS WD JAVA to ESS WDA</t>
  </si>
  <si>
    <t>Empty Folders are not hidden - ESS PFCG Role</t>
  </si>
  <si>
    <t>Confirmation text is displayed when employee is locked</t>
  </si>
  <si>
    <t>PA-ESS-XX-CE</t>
  </si>
  <si>
    <t>Concurrent Employment</t>
  </si>
  <si>
    <t>ESS pay slip- molga is not setting based on assignment</t>
  </si>
  <si>
    <t>Time Statement: Application does not take dates as input</t>
  </si>
  <si>
    <t>Error while executing action "Expatriation Planning"</t>
  </si>
  <si>
    <t>PA-PA-AU</t>
  </si>
  <si>
    <t>PA-PA-AU-CE</t>
  </si>
  <si>
    <t>Concurrent Employment - Personnel administration for Austr.</t>
  </si>
  <si>
    <t>Enabling CE for ESS sceanrio - Australia Superannuation</t>
  </si>
  <si>
    <t>ESS - Belgium - F4 on Nationality does not show country</t>
  </si>
  <si>
    <t>ESS - Belgium - Scenario Address - F4 help on postal code</t>
  </si>
  <si>
    <t>ESS/BR: Dump in Personal Information Scenario</t>
  </si>
  <si>
    <t>Unexpected Warning Messege in ESS YEA Scenario</t>
  </si>
  <si>
    <t>New ITF: Infotype 0094 customizing for NL is missing</t>
  </si>
  <si>
    <t>RSV-1: minus sign ("-") position for negative sums</t>
  </si>
  <si>
    <t>IT0009: IBAN field is not refreshed (new record insertion)</t>
  </si>
  <si>
    <t>Infotype 0040: Text fields are not filled</t>
  </si>
  <si>
    <t>Transport of appraisal templates together with relevant data</t>
  </si>
  <si>
    <t>PMP: Cursor focus loss when you expand or collapse</t>
  </si>
  <si>
    <t>TM configuration terminates if category was deleted</t>
  </si>
  <si>
    <t>Action log: Changes to attachments are not entered</t>
  </si>
  <si>
    <t>PMP: Manager cannot complete plannning phase</t>
  </si>
  <si>
    <t>PMP: Competency descriptions in the catalog and document</t>
  </si>
  <si>
    <t>PMP: Incorrect description texts in appraisal document</t>
  </si>
  <si>
    <t>PMP: Tab page switch with error message</t>
  </si>
  <si>
    <t>PM: Organizational reassignment and team goals</t>
  </si>
  <si>
    <t>CustConn PublicSector: PBC, delimiting BU elements</t>
  </si>
  <si>
    <t>TMC search: Error in search fields for job evaluation</t>
  </si>
  <si>
    <t>TMC search: Empls. that have left company in search result</t>
  </si>
  <si>
    <t>Development plan: F4 help missing for date fields</t>
  </si>
  <si>
    <t>TMC search: Error message when copying search configurations</t>
  </si>
  <si>
    <t>TMC search: Simplifying the authorization indexing</t>
  </si>
  <si>
    <t>TMC search: Error when setting up authorization index</t>
  </si>
  <si>
    <t>Search: Dialog boxes for multivalue attributes do not open</t>
  </si>
  <si>
    <t>Program termination if picture URL is missing from PDF</t>
  </si>
  <si>
    <t>Exceptions for function module HRTMC_PERFORMANCE_UPDATE</t>
  </si>
  <si>
    <t>SUCHE: Sequence of search attributes in the DDLB</t>
  </si>
  <si>
    <t>SEARCH: Search help can be deactivated</t>
  </si>
  <si>
    <t>TMC search: Performance during CP indexing</t>
  </si>
  <si>
    <t>HCM FPM: Text formatting for multiple selection (DDLB)</t>
  </si>
  <si>
    <t>Talent review meeting: No talents in calibration grid</t>
  </si>
  <si>
    <t>Search: Dropdown box entries with initial key</t>
  </si>
  <si>
    <t>Incorrect booking date displayed for a web based training</t>
  </si>
  <si>
    <t>Instructor portal: Incorrect participant displayed</t>
  </si>
  <si>
    <t>Delimited tutors are being displayed in learning portal</t>
  </si>
  <si>
    <t>VLR Progress is not stored correctly</t>
  </si>
  <si>
    <t>LSOWD:Invalid ResourceTypes considered while creating course</t>
  </si>
  <si>
    <t>Learning portal: Future descriptions are also shown</t>
  </si>
  <si>
    <t>Validity of participants in the search help is incorrect</t>
  </si>
  <si>
    <t>Score of an e-learning is rounded off in learning portal</t>
  </si>
  <si>
    <t>RHWSTRACKING_LSO: Issue in selection screen and output log.</t>
  </si>
  <si>
    <t>Unable to add Contact Person as a temporary resource</t>
  </si>
  <si>
    <t>LSO: Sometimes extended search help is incorrect</t>
  </si>
  <si>
    <t>Courae program block text not saved when changed</t>
  </si>
  <si>
    <t>LSO_PSV2: Run time error in resource selection</t>
  </si>
  <si>
    <t>Confirmed test results gets over written in TAC* tables.</t>
  </si>
  <si>
    <t>Admin portal: Manage course followup gives unclear message</t>
  </si>
  <si>
    <t>Problem in Function Module: LSO_LEARNER_GET_ALERT_C</t>
  </si>
  <si>
    <t>Manage mandatory assignment: authorization check not there</t>
  </si>
  <si>
    <t>Admin Portal: Short dump during change schedule</t>
  </si>
  <si>
    <t>CourseEnrollment ID is not filled for External training</t>
  </si>
  <si>
    <t>Business Event Dates: field overflow in LSO report</t>
  </si>
  <si>
    <t>Infotype 5042 deleted when change to a Virtual Learning Room</t>
  </si>
  <si>
    <t>Infotypes of a course not displayed as stored in T777M</t>
  </si>
  <si>
    <t>Unclear message 'I::000' during follow up of a course</t>
  </si>
  <si>
    <t>LSO: Incorrect fee displayed in learning portal</t>
  </si>
  <si>
    <t>PTMW: Change to multiday attendance (IT 2002)</t>
  </si>
  <si>
    <t>PTMW: Search help for "Business Process" field is missing</t>
  </si>
  <si>
    <t>PTMW: Authorization check on transaction code</t>
  </si>
  <si>
    <t>ESS LEA: Leave records are not getting posted to Infotype</t>
  </si>
  <si>
    <t>ESS Team Calendar shows non-customised absences/attendances.</t>
  </si>
  <si>
    <t>ESS LEA: Bad performance in LeaveRequestApprover application</t>
  </si>
  <si>
    <t>ESS LEA: Improving performance of the TeamView application</t>
  </si>
  <si>
    <t>ESS LEA: Country Exit to Change Quota Text</t>
  </si>
  <si>
    <t>Team Calendar:New BADI for integration with other components</t>
  </si>
  <si>
    <t>RPTARQPOST: Short dump CX_HRPA_INVALID_PARAMETER</t>
  </si>
  <si>
    <t>Syntax error in RPCTO2Q0_CE after applying Note 1554923</t>
  </si>
  <si>
    <t>Changes to Q4 data in table T52RELID</t>
  </si>
  <si>
    <t>EE Specific record indicator missing in IT0071 for LGPS.</t>
  </si>
  <si>
    <t>Changes &amp; Bug-Fixes to "Advanced/Flexi Claim" Functionality</t>
  </si>
  <si>
    <t>Advanced Claims:Employee to update only one claim at a time</t>
  </si>
  <si>
    <t>Adv.Claims:Getting Eligibility for single Reimbursement type</t>
  </si>
  <si>
    <t>Advanced Claims:New Changing Parameter to BADi's</t>
  </si>
  <si>
    <t>Personal Info do not Display in the Header of JP YEA Form</t>
  </si>
  <si>
    <t>SPV Fees IAP and KAPAN calcualtion in case of absence</t>
  </si>
  <si>
    <t>RPCALCS0_CE Tax calculation base is incorrect</t>
  </si>
  <si>
    <t>Feature PBCHO has no impact on the selection screen</t>
  </si>
  <si>
    <t>H99_HRFORMS_CALL - OrgStructure does not work</t>
  </si>
  <si>
    <t>SAP Best Practices for UI Enhancement V1.605 - Corrections</t>
  </si>
  <si>
    <t>SAPK-60512</t>
  </si>
  <si>
    <t>Organizational Management EBP</t>
  </si>
  <si>
    <t>BW-BCT-PA-EIC</t>
  </si>
  <si>
    <t>Employee Interaction Center Analytics</t>
  </si>
  <si>
    <t>0HREIC_CONTACT_ATTR doesn't have Contact Person and Type</t>
  </si>
  <si>
    <t>CATS WD: Extended check errors</t>
  </si>
  <si>
    <t>Currency and quantity fields not updated correctly</t>
  </si>
  <si>
    <t>Status Update for Training Activities in MSS</t>
  </si>
  <si>
    <t>Employee search is case sensitive in MSS</t>
  </si>
  <si>
    <t>FI-TV: Renaming field labels in WD ABAP UI</t>
  </si>
  <si>
    <t>New report for data enrichment for AirPlus</t>
  </si>
  <si>
    <t>WEB ABAP: Dump in Expense Report creation for Italy</t>
  </si>
  <si>
    <t>Austria: Community Code No. not checked on address popup</t>
  </si>
  <si>
    <t>LPD_CUST a WDA with namespace working from Portal not ECC</t>
  </si>
  <si>
    <t>Pre/Post exit methods not called in FITV_POWL_TRIPS</t>
  </si>
  <si>
    <t>WEB : Estimated cost incorrect for currency without decimal.</t>
  </si>
  <si>
    <t>Technical note for releasing object</t>
  </si>
  <si>
    <t>Default value in Expense report</t>
  </si>
  <si>
    <t>Lock mechanism when importing credit card files RPRCC00</t>
  </si>
  <si>
    <t>AT: Wrong amount cumulation of Mileage for tax-free</t>
  </si>
  <si>
    <t>NO: Legal change to travel expenses January 01, 2011 (3)</t>
  </si>
  <si>
    <t>PR05: Short Dump related to 'FTRA_GET_TRIP_PAYMENT_HISTORY'</t>
  </si>
  <si>
    <t>WD ABAP:Collective note for exchange rate issues for receipt</t>
  </si>
  <si>
    <t>Web/DE: Travel Request 3 month rule full address required</t>
  </si>
  <si>
    <t>Italy: Non-reimbursable receipts reimbursed to employee</t>
  </si>
  <si>
    <t>FITVFELD: Control for PTK42-UEBKZ</t>
  </si>
  <si>
    <t>Web: FITV_UI_EMPLOYEELIST, method SET_ALV_CONFIG</t>
  </si>
  <si>
    <t>Norway: Depart. point and dest. requird entries for mileages</t>
  </si>
  <si>
    <t>PR05: Additional column "Document checked" for documents</t>
  </si>
  <si>
    <t>WEB ABAP: Dump in itemization view</t>
  </si>
  <si>
    <t>WD ABAP : after private deduction, amount to itemize changes</t>
  </si>
  <si>
    <t>Web: Field control for deductions at single field level</t>
  </si>
  <si>
    <t>WEB Travel SE : issue with more than 5 additionnal desti</t>
  </si>
  <si>
    <t>Web: Input fld for weight of baggage is not aligned to label</t>
  </si>
  <si>
    <t>NO: Bruspenger in PDF travel expense form</t>
  </si>
  <si>
    <t>WEB: Dump GETWA_NOT_ASSIGNED in FITV_POWL_ASSISTANT</t>
  </si>
  <si>
    <t>Web: Combination of F receipts and travel flat rate</t>
  </si>
  <si>
    <t>TRIP: Manual documents inherit credit card data</t>
  </si>
  <si>
    <t>Web/DE:(2) Travel Request 3 month rule full address required</t>
  </si>
  <si>
    <t>GLO: Downport Country Version RU,UK, PL</t>
  </si>
  <si>
    <t>Status after approval of travel request</t>
  </si>
  <si>
    <t>Confusing infotype overview in concurrent/global employment</t>
  </si>
  <si>
    <t>WEB ABAP: region default values not applied anymore</t>
  </si>
  <si>
    <t>Web: Changes to the cost assignment in USER_CHECK_RECEIPTS</t>
  </si>
  <si>
    <t>Web:Account assignment dialog box for receipts is not opened</t>
  </si>
  <si>
    <t>PR05: Tax date is not always transferred</t>
  </si>
  <si>
    <t>PR05: Required entry field check for internal participant</t>
  </si>
  <si>
    <t>Web: Entertainment participant in Enhancement Package 5</t>
  </si>
  <si>
    <t>Statutory trip not defaulted correctly in expense report.</t>
  </si>
  <si>
    <t>XI credit card clearing: Incorrect entries in cluster TA</t>
  </si>
  <si>
    <t>BAPI_TRIP_CREATE_FROM_DATA: Batch input data missing</t>
  </si>
  <si>
    <t>Income-related expenses stmnt w/ neg income-related expenses</t>
  </si>
  <si>
    <t>PS DE: Formular enthÃ¤lt keine Angaben zu allgemeinen Daten</t>
  </si>
  <si>
    <t>EH5: Probleme mit Version fÃ¼r Ã–D Ã–sterreich</t>
  </si>
  <si>
    <t>RGV DZ: VerkÃ¼rzung/VerlÃ¤ngerung fÃ¼hrt zu falschem Tarif</t>
  </si>
  <si>
    <t>Austria: Address values not transferred to F4 help</t>
  </si>
  <si>
    <t>Fehlende Meldung bei unzulÃ¤ssiger VerkÃ¼rzung</t>
  </si>
  <si>
    <t>WD ABAP Expenses: No field control for street</t>
  </si>
  <si>
    <t>RGV DZ: Begrenzung ZuteilungsgebÃ¼hr auf 180 Tage</t>
  </si>
  <si>
    <t>Galileo : improve error handling for Frequent Flyer card</t>
  </si>
  <si>
    <t>PA-AS Personnel Number does not exist</t>
  </si>
  <si>
    <t>HCM P&amp;F : No agent is returned when position is vacant</t>
  </si>
  <si>
    <t>DTT: Rule changes are not transported</t>
  </si>
  <si>
    <t>HR_ASR_WI_PREDECESSORS_GET gives wrong predecessor workitem.</t>
  </si>
  <si>
    <t>Dump during hiring when secondary infotype of IT 0001 exists</t>
  </si>
  <si>
    <t>Launchpad customizing for OBN navigation</t>
  </si>
  <si>
    <t>Problems with Adobe form resizing - HRASR00_PROCESS_EXECUTE</t>
  </si>
  <si>
    <t>SAP_PD, dump during initialize as object type not set</t>
  </si>
  <si>
    <t>FSA CE:Incorrect update of BENTAB in retroactive termination</t>
  </si>
  <si>
    <t>BEN: Payroll tables not accessible in CE environment.</t>
  </si>
  <si>
    <t>Change of Capacity Utilization Level: Negative values</t>
  </si>
  <si>
    <t>IMG activity, Release Note assignment: EhP5, EhP6</t>
  </si>
  <si>
    <t>Wrong manager displayed in planning/approval UIs</t>
  </si>
  <si>
    <t>Employees not preselected on review selection</t>
  </si>
  <si>
    <t>Planning data is not stored in employee currency</t>
  </si>
  <si>
    <t>Manager can not approve if not authorization for IT0002</t>
  </si>
  <si>
    <t>Planning Overview UI issues after changing poweruser manager</t>
  </si>
  <si>
    <t>Various errors in CL_EX_HRECM00_PLANUNIT_SERVICE</t>
  </si>
  <si>
    <t>Complicated navigation for data changes during approval</t>
  </si>
  <si>
    <t>EIC-Execution Time zero when activity completes from waiting</t>
  </si>
  <si>
    <t>Incorrect EIC Activity being opened when launching EIC App</t>
  </si>
  <si>
    <t>address number missing for external contacts in activities.</t>
  </si>
  <si>
    <t>EIC external contact not being updated for existing activity</t>
  </si>
  <si>
    <t>Employee services class performance improvement</t>
  </si>
  <si>
    <t>Country Specific applications were not hidden properly.</t>
  </si>
  <si>
    <t>ESS Renovation: Canada TFR Translation issue.</t>
  </si>
  <si>
    <t>ESS Address Detail Information; spelling error</t>
  </si>
  <si>
    <t>HR-IT: ESS - Dump on IT0021 with alfanumeric subtype</t>
  </si>
  <si>
    <t>HR-PT: Validation of Birth and Death dates in Infotype 21</t>
  </si>
  <si>
    <t>RSV-1: Adobe form - empty part 5</t>
  </si>
  <si>
    <t>IT0008: "Number" and/or "Time/Measurement Unit" deleted</t>
  </si>
  <si>
    <t>Qualification description displayed incorrectly</t>
  </si>
  <si>
    <t>PMP: Incorrect entries in action log for attachments</t>
  </si>
  <si>
    <t>Syntax error in the class CL_HAP_PA_TRANSPORT</t>
  </si>
  <si>
    <t>PMP: Wrong document shown</t>
  </si>
  <si>
    <t>PM: Multiple appraisees and cascaded goals</t>
  </si>
  <si>
    <t>PMP: Application for employee documents terminates</t>
  </si>
  <si>
    <t>PMP: ABAP runtime error 'COMPUTE_INT_ZERODIVIDE'</t>
  </si>
  <si>
    <t>Termination in HRFPM_CHECK_EXISTING_PURPOSE</t>
  </si>
  <si>
    <t>COMMIT when writing performance and potential</t>
  </si>
  <si>
    <t>TRM: No check for deadline</t>
  </si>
  <si>
    <t>Search: First mouse click ignored in result list</t>
  </si>
  <si>
    <t>Different texts in development plan step</t>
  </si>
  <si>
    <t>TM: Translation error in Russian language</t>
  </si>
  <si>
    <t>TMC search: Change pointer for newly created org. units</t>
  </si>
  <si>
    <t>Talent assessment: Termination when calling documents</t>
  </si>
  <si>
    <t>Copying an appraisal template via TM configuration</t>
  </si>
  <si>
    <t>System termination due to missing authorization</t>
  </si>
  <si>
    <t>Problem with talent group locks</t>
  </si>
  <si>
    <t>Prefilling of Parameters for TMC Xcelsius Dashboards</t>
  </si>
  <si>
    <t>LSO admin portal - Inactive pernr can be assigned as trainer</t>
  </si>
  <si>
    <t>MSS: Unable to book a participant for a web based training</t>
  </si>
  <si>
    <t>Training Activities not displayed</t>
  </si>
  <si>
    <t>LSO_PV15: Pass, Confirm fields incorrectly set</t>
  </si>
  <si>
    <t>Not able to assign instructor for a Virtual classroom course</t>
  </si>
  <si>
    <t>Admin portal: Not able to assign resources</t>
  </si>
  <si>
    <t>Change in length of text elements for translation into ZH</t>
  </si>
  <si>
    <t>Reports RPTARQDBVIEW, RPTCORDBVIEW dump with Time Out</t>
  </si>
  <si>
    <t>ESS Qouta Overview: In-correct display of Time Accounts data</t>
  </si>
  <si>
    <t>LEA:Wrong user name displayed when request rejected by admin</t>
  </si>
  <si>
    <t>ESS LEA: Approved requests displayed in approver worklist</t>
  </si>
  <si>
    <t>RPTARQPOST: Requests are processed in wrong order</t>
  </si>
  <si>
    <t>ESS LEA: Work items are not sorted correctly</t>
  </si>
  <si>
    <t>ESS LEA: Insignificant error messages</t>
  </si>
  <si>
    <t>ESS Team Calendar: Date of selection is not considered.</t>
  </si>
  <si>
    <t>ESS LEA: Email text for report RPTARQEMAIL not formatted</t>
  </si>
  <si>
    <t>ESS LEA: Irrelevant Error displayed during Leave Approval</t>
  </si>
  <si>
    <t>ESS COR: Double posting of time events to infotype 2011</t>
  </si>
  <si>
    <t>ESS LEA-Customizing setting in V_PTARQ_TCONSTR does not work</t>
  </si>
  <si>
    <t>ESS LEA: Data is not anonymised for illness description.</t>
  </si>
  <si>
    <t>ESS COR: Wrong status of a time correction in the tooltip</t>
  </si>
  <si>
    <t>RPTARQEMAIL: Note is not displayed in case of posted Leave</t>
  </si>
  <si>
    <t>ESS LEA: Substitution Profile not considered in RPTARQEMAIL</t>
  </si>
  <si>
    <t>ESS COR: Incorrect time stamp set in clock in/out record</t>
  </si>
  <si>
    <t>Clock In/Out Application title incorrect</t>
  </si>
  <si>
    <t>Team Calendar Table view version not loading in MSS</t>
  </si>
  <si>
    <t>Minor UI corrections in Team Calendar</t>
  </si>
  <si>
    <t>Team Calendar: Refresh link does not work</t>
  </si>
  <si>
    <t>PY-AU-PS-CE</t>
  </si>
  <si>
    <t>Concurrent Employment - Payroll Public sector Australia</t>
  </si>
  <si>
    <t>Q4 Cluster Created for Past Period</t>
  </si>
  <si>
    <t>CE framework: IT0065 record with zero P45 pay and tax values</t>
  </si>
  <si>
    <t>Roster Validation Report Processing stop due to Error</t>
  </si>
  <si>
    <t>HR-RU: CIA - long numbers in the payments table</t>
  </si>
  <si>
    <t>TXL: Work address for IN on Jan 1 not being passed to BSI.</t>
  </si>
  <si>
    <t>OOS: CRT/TCRT rebuild fails for out-of-sequence payroll run.</t>
  </si>
  <si>
    <t>RPCIPE01/RPCIPE01CE: Supply cost planning</t>
  </si>
  <si>
    <t>Offcycle replacement clears BT date/time stamp and REGUH</t>
  </si>
  <si>
    <t>SAPK-60513</t>
  </si>
  <si>
    <t>WD CATS: Payroll period web service is incorrectly called</t>
  </si>
  <si>
    <t>Additional destination row is invisible when making an entry</t>
  </si>
  <si>
    <t>Web: AT: Additional address fields in request</t>
  </si>
  <si>
    <t>Web:(2) VAT Europe G/L Account of Company Code not defined</t>
  </si>
  <si>
    <t>Trips set on hold are not updated in trip version history</t>
  </si>
  <si>
    <t>PR05: VAT Europe G/L Account of Company Code not defined</t>
  </si>
  <si>
    <t>WEB: Credit card number can't be decrypted in travel profile</t>
  </si>
  <si>
    <t>Web: Dump on receipt screen</t>
  </si>
  <si>
    <t>FR: Rounding up/down on first and last travel day</t>
  </si>
  <si>
    <t>South Sudan</t>
  </si>
  <si>
    <t>Travel data shown for incorrect tax reference number</t>
  </si>
  <si>
    <t>PRRW: Company code "" does not exist (F5 165)</t>
  </si>
  <si>
    <t>MEMORY_NO_MORE_PAGING in prog. RPR_UPDATE_TRAVEL_STATISTICS</t>
  </si>
  <si>
    <t>Web: Schemas with permitted overlap and address entry</t>
  </si>
  <si>
    <t>Web: Message if cost distribution lower than 100 %</t>
  </si>
  <si>
    <t>PRRW: Reversing posting runs</t>
  </si>
  <si>
    <t>BAPI_TRIP_CREATE_FROM_DATA and trips w/ more than 99 days</t>
  </si>
  <si>
    <t>Web: Field control for general data</t>
  </si>
  <si>
    <t>PS DE: Reisekostenformular mit unkorrekter Summenzeile</t>
  </si>
  <si>
    <t>BUS2089: Foreign currency amount displayed with local curr</t>
  </si>
  <si>
    <t>AT: PR05: Leading zeros of community code prevents saving</t>
  </si>
  <si>
    <t>Invalid date in Web Dynpro for travel applications</t>
  </si>
  <si>
    <t>AT: F4 search help returns no results</t>
  </si>
  <si>
    <t>AT: Total of additional amounts for meals is incorrect</t>
  </si>
  <si>
    <t>RPRTEF00: Selection incorrect when excluding trips</t>
  </si>
  <si>
    <t>Austria: Value transfer between F4 help and address popup</t>
  </si>
  <si>
    <t>Error message from validation of master account assignment</t>
  </si>
  <si>
    <t>PR03: Field control of spot advance</t>
  </si>
  <si>
    <t>After termination of addtnl receipt info: Deductions deleted</t>
  </si>
  <si>
    <t>AT: HinzurechnungsbetrÃ¤ge im RPRTEF10  Teil 2</t>
  </si>
  <si>
    <t>PS AT: Web Dynpro Anw. TRV: kein autom. Anlegen von Tarif 2</t>
  </si>
  <si>
    <t>Austria: No value transfer between F4 help and address popup</t>
  </si>
  <si>
    <t>FITVPS729 nicht nur beim Anlegen eines Unterkunftsbelegs</t>
  </si>
  <si>
    <t>PS-AT, PS-DE: Feldsteuerung bei Dienstantritts u. -rÃ¼ckreise</t>
  </si>
  <si>
    <t>Formular Andruck FrÃ¼hstÃ¼cksabzug U-Beleg mit Betrag 0</t>
  </si>
  <si>
    <t>Setting text element for "Location" field in source code</t>
  </si>
  <si>
    <t>PS Bayern: Unterkunftsbeleg und Werbungskosten</t>
  </si>
  <si>
    <t>PS: Feldsteuerung Rahmendaten einer DZ/TG in IMG-AktivitÃ¤t</t>
  </si>
  <si>
    <t>PS AT/DE: Sortierung der Dienstzuteilungen/Trennungsgelder</t>
  </si>
  <si>
    <t>PS-AT, PS-DE: Anzeige von DZ oder TG Perioden in PRAP</t>
  </si>
  <si>
    <t>PS-AT: Der Text 'letzter Tag' fehlt</t>
  </si>
  <si>
    <t>Nacht des Reisegeldes wird im Trennungstagegeld reduziert</t>
  </si>
  <si>
    <t>PS: Hintergrunddynpro bei Schema-Auswahl DZ/TRG gesetzt</t>
  </si>
  <si>
    <t>Field PTP42-ANUEP does not exist on screen SAPMP56T 1210</t>
  </si>
  <si>
    <t>PS:DZ/TRG: Falscher Aufbau des Perioden-Trees</t>
  </si>
  <si>
    <t>PS DE:Popup groÃŸe Vergleichsrechnung fiktives Tagegeld DA/DR</t>
  </si>
  <si>
    <t>Web: Required entry fld 'Location' not filled in travel plan</t>
  </si>
  <si>
    <t>Flight option not correct for best price query (Time)</t>
  </si>
  <si>
    <t>WEB:Extra field displayed after address in general data view</t>
  </si>
  <si>
    <t>Request : Acommodation not displayed after warning mess.</t>
  </si>
  <si>
    <t>Address:  Street field not visible after upgrade</t>
  </si>
  <si>
    <t>Web :Address in travel plan lost</t>
  </si>
  <si>
    <t>Process selection step not skipped - EhP5 start application</t>
  </si>
  <si>
    <t>Sort Order of Input Helps not preserved</t>
  </si>
  <si>
    <t>Object key is not passed to BADI HRASR00PROCESS_START_RESTRI</t>
  </si>
  <si>
    <t>Special field 'INITIATOR_ROLE' not updated during execution</t>
  </si>
  <si>
    <t>Additional cost items incorrect</t>
  </si>
  <si>
    <t>Data collection from infotypes:Deduction wage type valuation</t>
  </si>
  <si>
    <t>Number of objects not taken into account in limit</t>
  </si>
  <si>
    <t>Authorization check does not consider org assignment date</t>
  </si>
  <si>
    <t>IMG step for BADI HRECM00_UI_SERVICES</t>
  </si>
  <si>
    <t>Authority check added to two reports</t>
  </si>
  <si>
    <t>Spent amounts incorrect after creating infotypes</t>
  </si>
  <si>
    <t>Error in HR_ECM_READ_BUDGET DATA</t>
  </si>
  <si>
    <t>Multiple frequencies not allowed for a single plan</t>
  </si>
  <si>
    <t>Parameter Compensation Review Item (CREVI) not passed</t>
  </si>
  <si>
    <t>HREIC: cannot save activity after visiting SLA tab.</t>
  </si>
  <si>
    <t>Adaption of applications using NW BTF Editor</t>
  </si>
  <si>
    <t>ESS: Addresses - Soc. Subs. Railway - invalid Option 0</t>
  </si>
  <si>
    <t>Updates on check classes for Belgium specific infotypes</t>
  </si>
  <si>
    <t>Enhancement of the LSO-TNM functionality in EhP</t>
  </si>
  <si>
    <t>Activation of Enhancement on the LSO-TNM functionality</t>
  </si>
  <si>
    <t>ESS GB Address - Issue in Drop down list for communication</t>
  </si>
  <si>
    <t>Update Decoupling Class for IT0145</t>
  </si>
  <si>
    <t>PA-PA-JP-ESS</t>
  </si>
  <si>
    <t>ESS Japan</t>
  </si>
  <si>
    <t>Short Dump in ESS JP Bank Service</t>
  </si>
  <si>
    <t>System Dumps When Creating Subtype Record for IT0021</t>
  </si>
  <si>
    <t>ESS Address Scenario: Various Corrections</t>
  </si>
  <si>
    <t>ESS address screen takes to long when editing records</t>
  </si>
  <si>
    <t>ESS: an incorrect street returned from the backend</t>
  </si>
  <si>
    <t>PA-PA-VE</t>
  </si>
  <si>
    <t>[VE] MP000600_CE:State field search help is empty (Scr.2017)</t>
  </si>
  <si>
    <t>[VE] Error when using transaction PUIT_UI for IT0021</t>
  </si>
  <si>
    <t>PMP:PDF appraisal tmplte displays no note info for role&amp;time</t>
  </si>
  <si>
    <t>PMP: Roadmap control is not displayed</t>
  </si>
  <si>
    <t>PMP: No browser 'X' to close the document overview</t>
  </si>
  <si>
    <t>PMP: Abbruch in der Registerkarte 'Mitarbeiterdokumente'</t>
  </si>
  <si>
    <t>PMP: No part appraisals in PDF for employee</t>
  </si>
  <si>
    <t>Posting date for commitment documents determined incorrectly</t>
  </si>
  <si>
    <t>Abbruchmeldung MESSAGE_TYPE_X</t>
  </si>
  <si>
    <t>Enhancement for RPTMC_CREATE_CHANGEPOINT_AUTH</t>
  </si>
  <si>
    <t>Note text is linked together during talent assessment</t>
  </si>
  <si>
    <t>S-&gt;O Extraction: Call HR_STRUCTURE_GET wit READ_MODE space</t>
  </si>
  <si>
    <t>Qualifications for talent are not displayed</t>
  </si>
  <si>
    <t>Fill S-&gt;O Extraction Node separately instead table wise</t>
  </si>
  <si>
    <t>TMC search: Short dump when search from Succession Planning</t>
  </si>
  <si>
    <t>Talent profile: Small grid for employee photo</t>
  </si>
  <si>
    <t>LSO-MSS: Role enabling the Course Catalog</t>
  </si>
  <si>
    <t>LSO_PSV1: Does not show who has locked the attendee</t>
  </si>
  <si>
    <t>Incorrect checks performed on alternative qualifications</t>
  </si>
  <si>
    <t>Incorrect text on button in manage participation</t>
  </si>
  <si>
    <t>Incorrect booking start date when booked in the admin portal</t>
  </si>
  <si>
    <t>Enhancement Options for xLSO - Wave2</t>
  </si>
  <si>
    <t>No warning message if a training had pre-requisite</t>
  </si>
  <si>
    <t>Incorrect language text displayed in correspondence</t>
  </si>
  <si>
    <t>ESS: Allows to create two SGC funds with the same Date</t>
  </si>
  <si>
    <t>Retrofit changes for note 1415752 related to RETT and ORETP</t>
  </si>
  <si>
    <t>PY-CA-CE</t>
  </si>
  <si>
    <t>Concurrent Employment - Payroll Canada</t>
  </si>
  <si>
    <t>WCB CE : Incorrect premiums in case of cross year retro</t>
  </si>
  <si>
    <t>YE Amendment Reason Report For CE</t>
  </si>
  <si>
    <t>DEÃœV Datensatz-Version 02: Korrekturen V</t>
  </si>
  <si>
    <t>Remuneration stmnt: ER contr. for HI/PI in SAP_PAYSLIP_DE_P</t>
  </si>
  <si>
    <t>Delt@ : enabling decoupling for 0968(delt@) infotype</t>
  </si>
  <si>
    <t>Error while generating Form 16 through ESS portal</t>
  </si>
  <si>
    <t>Info message pop up on executing leave encashment report</t>
  </si>
  <si>
    <t>HR-RU-CE: No tax return to employee who becomes tax resident</t>
  </si>
  <si>
    <t>HR-RU: Several issues with off-cycle calculations</t>
  </si>
  <si>
    <t>HR-RU: CL_HRPAYRU_PLTAXRUN: TAXSCHEMA table sorting</t>
  </si>
  <si>
    <t>SPV reporting have multiple issues</t>
  </si>
  <si>
    <t>VETS: Mag Media output missing postal code of establishments</t>
  </si>
  <si>
    <t>Corrections for Online W-2</t>
  </si>
  <si>
    <t>XX-CSC-CZ</t>
  </si>
  <si>
    <t>Czech Republic</t>
  </si>
  <si>
    <t>XX-CSC-CZ-TV</t>
  </si>
  <si>
    <t>Translation of form GLO_EXPENSE_FORM</t>
  </si>
  <si>
    <t>Short dump in RPRSR4CZ or incorrect results in settlement</t>
  </si>
  <si>
    <t>Search help for field Type of Fuel</t>
  </si>
  <si>
    <t>Missing translation in report S_AHR_61016406</t>
  </si>
  <si>
    <t>SAPK-60517</t>
  </si>
  <si>
    <t>All Trips (Travel Request) not shown in TC PRFI</t>
  </si>
  <si>
    <t>Authorization Object Default Value for TCODE LDAPEXTRACT_LOG</t>
  </si>
  <si>
    <t>Steuer: Kundennamensraum der Tabellen T5A2C und T5A2D</t>
  </si>
  <si>
    <t>Changes of SCHKZ not taken into account when changing 0007</t>
  </si>
  <si>
    <t>Creation of message 5V(804) in infotype 0007/0107</t>
  </si>
  <si>
    <t>HR-BR: New legal document RIC-"Registro de Identidade Civil"</t>
  </si>
  <si>
    <t>Employee Name Output Format Enhancement</t>
  </si>
  <si>
    <t>Lock indicator icon missing in IT0424 (and other FR infoty.)</t>
  </si>
  <si>
    <t>Warning if PCS code is valid during validity of infotype</t>
  </si>
  <si>
    <t>IT1682:record not saved even if required fields are filled</t>
  </si>
  <si>
    <t>Enhancements to TNM-LSO objects (SAP_HCRFR) - II</t>
  </si>
  <si>
    <t>CRUD: Detail Screen not locked if the object is in-process</t>
  </si>
  <si>
    <t>Issue with IT65 after applying note 1594993</t>
  </si>
  <si>
    <t>PY-ID : Additional blank spaces in IT0001</t>
  </si>
  <si>
    <t>HR-IT: Search help on infotype 0006 not considering date</t>
  </si>
  <si>
    <t>Child-Care Nursing-Care Project</t>
  </si>
  <si>
    <t>HJPUCP_PRCAL: Rounding Calculation Incorrect</t>
  </si>
  <si>
    <t>RPCEIAJ0: Incorrect Era Name for Birthday Output in PDF</t>
  </si>
  <si>
    <t>Korea Defined-Contribution Retirement Pension(Technical)</t>
  </si>
  <si>
    <t>Advance payment processing for rehired employees</t>
  </si>
  <si>
    <t>RPTZKMN2: Status of the Sickness Notification not correct</t>
  </si>
  <si>
    <t>WCR: Maintaining the Authorization Object Assignments</t>
  </si>
  <si>
    <t>0337 Infotype: improvements in infotype maintenance</t>
  </si>
  <si>
    <t>SZV-6-1 seniority codes DLOTPUSK and DOGOVOR</t>
  </si>
  <si>
    <t>HR-RU: T-60 with vacation calculated in off-cycle</t>
  </si>
  <si>
    <t>HR-RU:Potential modification or disclosure of persisted data</t>
  </si>
  <si>
    <t>HR-RU: Form P-4, number of employees at the end of period</t>
  </si>
  <si>
    <t>CL_HRPADRU_UTIL</t>
  </si>
  <si>
    <t>ADV-6-4: rounding of sums</t>
  </si>
  <si>
    <t>HR-RU Orders: Source of Manager's Position</t>
  </si>
  <si>
    <t>SPV-1: empty payments in the XML tags</t>
  </si>
  <si>
    <t>Mandatory field in View Infotype(0187) for Thailand</t>
  </si>
  <si>
    <t>Wrong NHI Exemption Amount in Infotype 0355</t>
  </si>
  <si>
    <t>Dump in NC-99001 Report due to performance issues.</t>
  </si>
  <si>
    <t>VETS: Missing Label conf. for PA Closed Date on V_T5U0P</t>
  </si>
  <si>
    <t>BEN: No catch-up when plan rule limits are reached.</t>
  </si>
  <si>
    <t>Changes in Infotype 0006, 0149, 0725 and 0848</t>
  </si>
  <si>
    <t>PA-PF-CH: WEF: Neue BAdI Methode fÃ¼r Datei Download</t>
  </si>
  <si>
    <t>Pension equalization payment:Corrections/Enhancements 4/2011</t>
  </si>
  <si>
    <t>Pension rcpt notif.: Corrections/enhancements MZ01 (10/2011)</t>
  </si>
  <si>
    <t>Pens. rcpt notif.: Status history displayed in reverse order</t>
  </si>
  <si>
    <t>BAV: Datum und letzter Ã„nderer des Status im IT 3290</t>
  </si>
  <si>
    <t>BAV: Bescheinigung von HinterbliebenenkÃ¼rzung</t>
  </si>
  <si>
    <t>TEM: error while assigning instructor hired in future</t>
  </si>
  <si>
    <t>RHXVORM1_LSO: Incorrect output</t>
  </si>
  <si>
    <t>Error PV 241 : When creating an event</t>
  </si>
  <si>
    <t>TEM: Data definition in MP1024BI is incorrect.</t>
  </si>
  <si>
    <t>PT-RC-AA</t>
  </si>
  <si>
    <t>Attendances/Absences</t>
  </si>
  <si>
    <t>Error in allowed fields ILM BADI</t>
  </si>
  <si>
    <t>Date changes are ignored in time statement</t>
  </si>
  <si>
    <t>Bedarfszuordnung bei Nachtschichten - ErgÃ¤nzung</t>
  </si>
  <si>
    <t>Problems with Excel print and macro storage in BDS</t>
  </si>
  <si>
    <t>Exit ON_DATA_CHANGED when you delete</t>
  </si>
  <si>
    <t>PP61: Locked personnel number ready for input</t>
  </si>
  <si>
    <t>PP61: Zuordnung von Nachtschichten bei Abwesenheit</t>
  </si>
  <si>
    <t>[AR] Missing field DDIN in structure PAR_TAX_DATA.</t>
  </si>
  <si>
    <t>[AR] Missing off-cycles and extra payments at Tax Simulation</t>
  </si>
  <si>
    <t>Feld FÃ¤lligkeitsdatum hat falschen Text: Buchungsvariante</t>
  </si>
  <si>
    <t>HR-AT: RÃ¼ckrechnung bei ErhÃ¶htem Pensionistenabsetzbetrag</t>
  </si>
  <si>
    <t>Anpassung des ATZ-Protokoll in der SV-Berechnung im RPCALC</t>
  </si>
  <si>
    <t>HR-AT: RPCSVBA2 getrennte Grundlagen in ELDA SÃ¤tze</t>
  </si>
  <si>
    <t>RPTNSHA0: Storno Nachtschwerarbeit-Ende</t>
  </si>
  <si>
    <t>MVK-Pflicht fÃ¼r VorstÃ¤nde ab 01/2008</t>
  </si>
  <si>
    <t>Montageprivileg ohne steuerpflichtige BezÃ¼ge (untermonatig)</t>
  </si>
  <si>
    <t>Altersteilzeit - keine DB/DZ/KommStr. fÃ¼r Aufstockungsbetr</t>
  </si>
  <si>
    <t>SV-Beitragsgruppe BVAK (BVA: Nur zur KV angemeldet)</t>
  </si>
  <si>
    <t>Flood levy Termination tax incorrect: Rebate, HELP, SFSS</t>
  </si>
  <si>
    <t>RPCPBSQ0 not filter Empr. signed date btw selection period</t>
  </si>
  <si>
    <t>ETP PS: Death benefit paid is always reported as taxable</t>
  </si>
  <si>
    <t>Flood Levy on Leave Loading Lumpsum A Payments (Non-CE)</t>
  </si>
  <si>
    <t>Termination Organiser- Issues with Quota processing</t>
  </si>
  <si>
    <t>Payment summary printing through ESS</t>
  </si>
  <si>
    <t>The constant text is not in English - V_T5QLK</t>
  </si>
  <si>
    <t>PS Termination workbench: Future absence across Termination</t>
  </si>
  <si>
    <t>Super Salary Incorrect due to HDA Splits</t>
  </si>
  <si>
    <t>Incorrect Current Service end date and LSL accrual end date</t>
  </si>
  <si>
    <t>Term workbench not taking I0416 records into account</t>
  </si>
  <si>
    <t>Correction to the Note 1623397</t>
  </si>
  <si>
    <t>Term Payment wage type displayed twice in detail report</t>
  </si>
  <si>
    <t>CI - Capital Payments in Payroll</t>
  </si>
  <si>
    <t>Maximum employer tax exemption not correct</t>
  </si>
  <si>
    <t>DIMONA: Processing of employees without INSS number</t>
  </si>
  <si>
    <t>Change Employer Class to Time-dependant: Feature RSZCA</t>
  </si>
  <si>
    <t>Personal Calendar Generation (RPTGENB0) enhancements</t>
  </si>
  <si>
    <t>Activa allowance - hire : Check on hiring date (# months) II</t>
  </si>
  <si>
    <t>Paritair Commitee/ Joint Commission number clarification</t>
  </si>
  <si>
    <t>DMFA - DeCavaA: error in field CMMON - serex 1</t>
  </si>
  <si>
    <t>CI - New subtype EAR3 restructure/difficulty</t>
  </si>
  <si>
    <t>Legal Changes for DmfA Original Decl, Quarter 3 2011</t>
  </si>
  <si>
    <t>Dimona: B2A and notification processing II</t>
  </si>
  <si>
    <t>DMFA Update: Occupation Information section wrong</t>
  </si>
  <si>
    <t>Dimona: TemSe length corrected because of conversion</t>
  </si>
  <si>
    <t>Belcotax: TemSe length corrected because of conversion</t>
  </si>
  <si>
    <t>SI: Error in table SVEVL for Reorg. Measure Code 003</t>
  </si>
  <si>
    <t>Calculation Advance Taxes Early Retirees</t>
  </si>
  <si>
    <t>Dimona 2010 - Preparation report - corrections</t>
  </si>
  <si>
    <t>DeCavaA - Tools for adjustment set wrong adjustment notion</t>
  </si>
  <si>
    <t>CAPELO: Incorrect Occupation Days Justification (00625)</t>
  </si>
  <si>
    <t>Activa Allowance-Wrong sequence of entries in table T5F99FC</t>
  </si>
  <si>
    <t>Dimona 2010 - Infotype Screen - Checks on dates wromg</t>
  </si>
  <si>
    <t>CAPELO: Incorrect information message in RPCALCB0 and PA30</t>
  </si>
  <si>
    <t>Payroll function B0442 wrong with several SI splits</t>
  </si>
  <si>
    <t>Educational Leave - New constants</t>
  </si>
  <si>
    <t>Tax Reduction ST010 to be forced for other situations</t>
  </si>
  <si>
    <t>RPCDTAB0 - IBAN not display in old log (Log List)</t>
  </si>
  <si>
    <t>Dimona 2010 - Prep. &amp; Duplicate Prevention if INSS Blank</t>
  </si>
  <si>
    <t>IT 3270 - field NOTDT not mandatory for career interruption</t>
  </si>
  <si>
    <t>Ordinance 1620: Homolognet</t>
  </si>
  <si>
    <t>MANAD: Improvements in performance</t>
  </si>
  <si>
    <t>MANAD: Retrocalculation differences</t>
  </si>
  <si>
    <t>Wagetype values generated w/ differences in GPS and Payroll</t>
  </si>
  <si>
    <t>Termination Term: union data selection</t>
  </si>
  <si>
    <t>SEFIP: Record 30 in incorrect order when more than one CEI</t>
  </si>
  <si>
    <t>Termination Term: contract type description on field 21</t>
  </si>
  <si>
    <t>SREP: generation of AFDT and ACJEF files - REP number</t>
  </si>
  <si>
    <t>SREP:mass maintenance of discard reason - one employee data</t>
  </si>
  <si>
    <t>Termination Term:evaluation of absence to calculate field 50</t>
  </si>
  <si>
    <t>HBRUTMS5: Wrong file format when downloading</t>
  </si>
  <si>
    <t>TAX : Enabling outflow processing for WT's with PCL47 set</t>
  </si>
  <si>
    <t>TAX : New Processing for Quebec Tax Levy</t>
  </si>
  <si>
    <t>Tax:Changes to Health Tax effective 01.01.2012</t>
  </si>
  <si>
    <t>TAX : Additional tax for pensioners reported incorrectly</t>
  </si>
  <si>
    <t>Pre-Delivery of customizing for YE11</t>
  </si>
  <si>
    <t>CPP:Changes to CPP calculation effective 01.01.2012</t>
  </si>
  <si>
    <t>Report Error</t>
  </si>
  <si>
    <t>CE - Negative ER contribution for CPP/QPP not calculated</t>
  </si>
  <si>
    <t>Incorrect start and end dates in BPS report</t>
  </si>
  <si>
    <t>YE10: RL-1 Status Indian income</t>
  </si>
  <si>
    <t>YE10: Cancelled forms generated for 2009 and older forms</t>
  </si>
  <si>
    <t>QST VD:EMP ACI: Several corrections</t>
  </si>
  <si>
    <t>WhTx: Output of cantonal withholding tax scale code in payr.</t>
  </si>
  <si>
    <t>LAW: Form with field labels in German/French/English</t>
  </si>
  <si>
    <t>Canton VD, contrib "PC Famille" as of 10/2011 (delivery)</t>
  </si>
  <si>
    <t>[CL] Wrong amounts for employee in AFP in PREVIRED report</t>
  </si>
  <si>
    <t>[CL] New valuation basis for fixed salary earnings</t>
  </si>
  <si>
    <t>[CL] Social Insurance basis in hire period</t>
  </si>
  <si>
    <t>[CL] Corrections on columns 103 104 16 17 40 PREVIRED report</t>
  </si>
  <si>
    <t>[CL] Retroactive calculation with V0 splits</t>
  </si>
  <si>
    <t>Tax on Year-End Bonus Partially Paid by Employers</t>
  </si>
  <si>
    <t>Enhancement Year End Tax Declaration Reports: Gross Income</t>
  </si>
  <si>
    <t>Income Tax Report for Individuals by Month Downport</t>
  </si>
  <si>
    <t>Authorization check for reports without logical database</t>
  </si>
  <si>
    <t>Neue Abrechnungsfunktion "Lohnartenfilter"</t>
  </si>
  <si>
    <t>SI: Improvements and corrections to Communication Server</t>
  </si>
  <si>
    <t>LStB: Incorr.spelling in err. txt (P01C_* instead of P01T_*)</t>
  </si>
  <si>
    <t>Aufwendungen: keine BerÃ¼cksichtg. Zeitraum b. Reisezielen</t>
  </si>
  <si>
    <t>Urlaub: Erweiterung Urlaubsbezahlung im aktuellen Monat II</t>
  </si>
  <si>
    <t>Flexi: Unpaid absence suppresses DFLEX EVAI</t>
  </si>
  <si>
    <t>Plant data record: Authorization check</t>
  </si>
  <si>
    <t>DEUEV occupational code TS2010: Corrections V</t>
  </si>
  <si>
    <t>DEÃœV: Korrekturen bei der Meldungserstellung III</t>
  </si>
  <si>
    <t>DEÃœV-TÃ¤tigkeitsschlÃ¼ssel TS2010: AbschluÃŸ der Umsetzung</t>
  </si>
  <si>
    <t>EEL: Process view - corrections and enhancements 1</t>
  </si>
  <si>
    <t>EEL: Korrekturen und Erweiterungen 14</t>
  </si>
  <si>
    <t>Runtime problems when processing fund notifications</t>
  </si>
  <si>
    <t>Prohibited activities: Enhancements to calculation II</t>
  </si>
  <si>
    <t>Notification procedure AAG when overriding suppl mat pay</t>
  </si>
  <si>
    <t>Prohibited activites: Error when several maternity cases II</t>
  </si>
  <si>
    <t>Prohibited activities: Error during manual entry</t>
  </si>
  <si>
    <t>DOZMG: Parameter V0, error during WPBP split</t>
  </si>
  <si>
    <t>Termin during rate type change during prohibit of employment</t>
  </si>
  <si>
    <t>Annual special payment ans prohibition of employment</t>
  </si>
  <si>
    <t>Prohibited activities: Additional log output</t>
  </si>
  <si>
    <t>Prohibited activities: Incorr adj. amnt for variable paymnts</t>
  </si>
  <si>
    <t>BeschÃ¤ftigungsverbot: Rundungsdifferenzen</t>
  </si>
  <si>
    <t>BeschÃ¤ftigungsverbot und Strukturausgleich</t>
  </si>
  <si>
    <t>Recovery supplement to maternity pay during second maternity</t>
  </si>
  <si>
    <t>Monthly manual specification of adjustment amount II</t>
  </si>
  <si>
    <t>Prohibited activies: Absence 0510 with part-time work</t>
  </si>
  <si>
    <t>EEL: Reversals have the status "Initial"</t>
  </si>
  <si>
    <t>EEL: Corrections and enhancements 15</t>
  </si>
  <si>
    <t>KuG Sollentgelt ist zu hoch bei VWL Ã¼ber AVmG oder BVV</t>
  </si>
  <si>
    <t>AAG Fiktivlauf und Kurzarbeit</t>
  </si>
  <si>
    <t>KuG: 12/2011 tax pgm flowchart chg.,no chg.RHC pgm flowchart</t>
  </si>
  <si>
    <t>RPCATXD0: Err in pds for which payroll has already been run</t>
  </si>
  <si>
    <t>SR simultion: Terminatn during cost distr. in infotype 0014</t>
  </si>
  <si>
    <t>Sectn 3b: Rnding diffs. for intervls that extend across days</t>
  </si>
  <si>
    <t>Data provision: Endless loop possible</t>
  </si>
  <si>
    <t>ZfA: Recreating replies to ZKNN notifications</t>
  </si>
  <si>
    <t>ZfA: Set ZKNN notifications to 'Manually answered'</t>
  </si>
  <si>
    <t>SR: Employer's CFS contributions calculated incorrectly</t>
  </si>
  <si>
    <t>Pension information procedure: Err msg for pension cession</t>
  </si>
  <si>
    <t>GOP: Overpayment during prohibition of employment</t>
  </si>
  <si>
    <t>SR: Correction of wage types /250 and /266 in TV FlexAZ</t>
  </si>
  <si>
    <t>ATZ: Termination of payroll due to missing /57A entry</t>
  </si>
  <si>
    <t>TVoeD: Flat-rate one-time payment in October 2011</t>
  </si>
  <si>
    <t>Special payment for TV FlexAZ</t>
  </si>
  <si>
    <t>Adjustment FRB with several pay scale indicators</t>
  </si>
  <si>
    <t>TV FlexAZ: Fehler in VollzeitfiktivlÃ¤ufen</t>
  </si>
  <si>
    <t>Staatsvertrag Ã¼ber die Verteilung von Versorgungslasten (10)</t>
  </si>
  <si>
    <t>Pension equalization payment 2010: Active persons entitled 6</t>
  </si>
  <si>
    <t>Reduction article 57: Corrections for sample statement</t>
  </si>
  <si>
    <t>Reduct sect 57: Incorrect percentage in dynamic modification</t>
  </si>
  <si>
    <t>Art. 84 BayBeamtVG: Combining pension payments (3)</t>
  </si>
  <si>
    <t>Publ Serv regul in statemnt for reimbursemnts not available</t>
  </si>
  <si>
    <t>Incorrect buffering of read class for table T7PBSCA3B</t>
  </si>
  <si>
    <t>Pension equalization payment 2010: Active persons entitled 7</t>
  </si>
  <si>
    <t>Suppl. pension liability only long time after entry</t>
  </si>
  <si>
    <t>RPLEHAD3: New BAdI HRPAYDE_EHSB: Planned working time</t>
  </si>
  <si>
    <t>WCA wage stmnt: Upper limit not taken into acct before 2009</t>
  </si>
  <si>
    <t>RPLEHAD3 PSEs missing in severely challenged pers. directory</t>
  </si>
  <si>
    <t>Corrections for statements October 2011</t>
  </si>
  <si>
    <t>New version: Employment and interim statement</t>
  </si>
  <si>
    <t>IGA: Issue reading IT0090 if 'Prev. res. higher annual VarV'</t>
  </si>
  <si>
    <t>3 bonification/reduction methods at the same time</t>
  </si>
  <si>
    <t>Issues in case of retroactivity and legal person change</t>
  </si>
  <si>
    <t>Delt@: Economics details prop. not verifying SBRRE situation</t>
  </si>
  <si>
    <t>190: Wrong information in Deductions Certificate</t>
  </si>
  <si>
    <t>Issue in PA0887 range interval</t>
  </si>
  <si>
    <t>Deferred period: Issues when using infotype 0041</t>
  </si>
  <si>
    <t>ERE: Contribution calculation problem due to note 1457333 II</t>
  </si>
  <si>
    <t>TC: Retroactive changes in ERE to new TemSe file</t>
  </si>
  <si>
    <t>AFI: file generation using incorrect percentage value</t>
  </si>
  <si>
    <t>TC: Number of days in DAT if MAT and ILT in same period</t>
  </si>
  <si>
    <t>Concurrence of ERE bonification and a reduction causes issue</t>
  </si>
  <si>
    <t>TemSe button wrongly appearing for TC, AFI, and FDI reports</t>
  </si>
  <si>
    <t>Contract Print.: Wrong address information in some contracts</t>
  </si>
  <si>
    <t>TC: Issue with two CCC in the same period</t>
  </si>
  <si>
    <t>TC: Bonifications for part-time employees with HOCON = 100</t>
  </si>
  <si>
    <t>CALC: Issue with unemployment contrib. in training contract</t>
  </si>
  <si>
    <t>IGA: wrong values in the Prev. amt column on the log display</t>
  </si>
  <si>
    <t>Issues in RPIGA0E0 after application of SAP note 1612010</t>
  </si>
  <si>
    <t>Artists: Issue with VND basis if change of regimen occurs</t>
  </si>
  <si>
    <t>Garnishment: Issues updating some fields of infotype 0887</t>
  </si>
  <si>
    <t>TC: RPCFANE0 not separating periods after SAP note 1618820</t>
  </si>
  <si>
    <t>Contract printing: generation of error in form printing</t>
  </si>
  <si>
    <t>CC3BC payroll constant: Not detecting IT in the next split</t>
  </si>
  <si>
    <t>RPCALCE0:BTRTL and WERKS fields empty in Spanish payroll run</t>
  </si>
  <si>
    <t>Corrections for 3 bonifications I - SAP note 1595339</t>
  </si>
  <si>
    <t>Synchronization issue with SAP Note 1571787</t>
  </si>
  <si>
    <t>Earnings are missing or not reported to correct tax ref no.</t>
  </si>
  <si>
    <t>HPA Utility Program does not deletes record from T7FIOPX</t>
  </si>
  <si>
    <t>Rounding the benefit value in Company Car Calculation.</t>
  </si>
  <si>
    <t>FCRE: Wrong amount in case of complementary payroll</t>
  </si>
  <si>
    <t>New version of 'DÃ©claration Unique d'Embauche'</t>
  </si>
  <si>
    <t>Improvement in RPLASMF3 related to note 1564665</t>
  </si>
  <si>
    <t>DUCS: FNAL regularization amounts</t>
  </si>
  <si>
    <t>Spelling error in form generated by RPLAASF1</t>
  </si>
  <si>
    <t>Correction to payroll schema F000</t>
  </si>
  <si>
    <t>No hire date set in RPLDUEF0</t>
  </si>
  <si>
    <t>Exceptions not handled in HR_PSF_AV_SINGLE_PROMOTION_NEW</t>
  </si>
  <si>
    <t>Incorrect processing of part day absences as overlapping.</t>
  </si>
  <si>
    <t>Absence Overview report is dropping employees incorrectly.</t>
  </si>
  <si>
    <t>Payroll incorrectly terminates when ASPP wk is a short week.</t>
  </si>
  <si>
    <t>Digits missing in court order remittances</t>
  </si>
  <si>
    <t>HESA- Missing website validation checks for the year 2010-11</t>
  </si>
  <si>
    <t>HESA: ISO nationality code to HESA nationality code mapping</t>
  </si>
  <si>
    <t>Year of service is not calculated correctly in P0346</t>
  </si>
  <si>
    <t>IR56F Can't be Generated For Employee Without Earnings</t>
  </si>
  <si>
    <t>Jamsostek logo &amp; ER name not dispalyed on 'Pay changes' form</t>
  </si>
  <si>
    <t>PY:IE Correction to Note 1603341 released on 24.06.2011.</t>
  </si>
  <si>
    <t>Annualisation incorrect for EE's, banking bonus &lt; 20000 Euro</t>
  </si>
  <si>
    <t>Ireland USC related changes to End of Year Report</t>
  </si>
  <si>
    <t>ESI monthly report for filing details of ESIable employees</t>
  </si>
  <si>
    <t>Pension fund report not displaying correct 'Reason Type'</t>
  </si>
  <si>
    <t>Section 89 calculations inconsistent for terminated Ee's</t>
  </si>
  <si>
    <t>Inconsistencies on Form 16 for retro change in hiring date</t>
  </si>
  <si>
    <t>Salary as per provisions u/s 17(1) displayed inconsistently</t>
  </si>
  <si>
    <t>Conveyance exemption amount inconsistent for employees</t>
  </si>
  <si>
    <t>Form 24Q inconsistent for mid month TAN number change</t>
  </si>
  <si>
    <t>PF and Pension account number length change to 40 characters</t>
  </si>
  <si>
    <t>Employee's full name not getting displayed on Form 5 of ESI</t>
  </si>
  <si>
    <t>HR-IT: ANF 2011</t>
  </si>
  <si>
    <t>Documentation for Ulteriore detrazione famiglie numerose</t>
  </si>
  <si>
    <t>PY-IT-PS</t>
  </si>
  <si>
    <t>HCMPSIT-EHP5: Juridical-Economical infotype</t>
  </si>
  <si>
    <t>PDF and ESS Form Layout Corrections</t>
  </si>
  <si>
    <t>RPCLIAJ0: Texts displayed in release 604 different from 600</t>
  </si>
  <si>
    <t>Include Pension Pre-paid Amounts in Valuation Basis</t>
  </si>
  <si>
    <t>LC2011: Tax Exemption Limit Revision of Commuter Allowance</t>
  </si>
  <si>
    <t>Incorrect YTT during ReYEA on IT0145 Retrospective Changes</t>
  </si>
  <si>
    <t>RPCSHSJ0: Adjusted Average Amount not Display</t>
  </si>
  <si>
    <t>/111 Not Assigned with CNTR3 for Heiran Employees</t>
  </si>
  <si>
    <t>RPCSHAJ0: Incorrect Standardized Shoyo Amount Calculation</t>
  </si>
  <si>
    <t>RPCEWGJ1: Dependent Information Is Not Output in PDF</t>
  </si>
  <si>
    <t>RPCEADJ0:3rd Housing Deduction not Saved in Output Data File</t>
  </si>
  <si>
    <t>Modify the Text of KRTAX Processing Log</t>
  </si>
  <si>
    <t>Instruction on 3rd Page of 2011 YEA Receipt is Misplaced</t>
  </si>
  <si>
    <t>Calculated Working Days Overflow during EI Premium Proration</t>
  </si>
  <si>
    <t>Incorrect Health Insurance Premium in Retirement Payrolls</t>
  </si>
  <si>
    <t>Change the Evaluation Class of HI,EI and LCI Premium Adj. WT</t>
  </si>
  <si>
    <t>Leave Compensation Not Included in EI Adjustment</t>
  </si>
  <si>
    <t>2011 YED Form</t>
  </si>
  <si>
    <t>[MX] Wage types missing at taxable amount view (HMXCGRI0)</t>
  </si>
  <si>
    <t>[MX] New fields for State Tax Report</t>
  </si>
  <si>
    <t>PY-MY: Change in allowances reported in Section G of EA form</t>
  </si>
  <si>
    <t>PY-MY : Correction for release of withheld salary</t>
  </si>
  <si>
    <t>Incorrect address displayed in SOCSO 8A,CP39 and EPF reports</t>
  </si>
  <si>
    <t>PY-MY : Incorrect Bank Account No. in SOCSO and CP39 files</t>
  </si>
  <si>
    <t>PY-MY : Seperate IRB files for each employer reference no.</t>
  </si>
  <si>
    <t>WCR: Enabling Data Maintenance for Previous Years</t>
  </si>
  <si>
    <t>WCR: Harmonization of the Report Selection Screens</t>
  </si>
  <si>
    <t>WCR Previous Years: Changes to Wage Return</t>
  </si>
  <si>
    <t>RPCWCEN0: Extraction of WCR Data from Previous Years</t>
  </si>
  <si>
    <t>WCR: Improvements to usability of RPCWCRN0</t>
  </si>
  <si>
    <t>RPCWCRN0: Simulating the Work Cost Regulation does not work</t>
  </si>
  <si>
    <t>Aangifte LH: Number of remunerated hours for inactive EE's</t>
  </si>
  <si>
    <t>RPCWCEN0: Extraction of 1-Weekly Payroll Periods</t>
  </si>
  <si>
    <t>Jaaropgave WN: Change to calculation of Premium Wage ZVW</t>
  </si>
  <si>
    <t>WCR: Incorrect entries saved in P05T_WCR_EE_DATA</t>
  </si>
  <si>
    <t>WCR: Incorrect error message when Juper validity after 2011</t>
  </si>
  <si>
    <t>WCR: Show externally entered / extracted WCR Data separately</t>
  </si>
  <si>
    <t>Incorrect handling of IT0057 in Offcycle Payroll run (Bonus)</t>
  </si>
  <si>
    <t>Payroll Function VPSH1 generates incorrect value for WT /601</t>
  </si>
  <si>
    <t>Incorrect result by Norway AA Register Report (RPLAAMV0)</t>
  </si>
  <si>
    <t>SPK Report - Records not produced</t>
  </si>
  <si>
    <t>Balance Sheet shows incorrect amount in field 4.4 in ATS</t>
  </si>
  <si>
    <t>Infotype 509 needs check for position field</t>
  </si>
  <si>
    <t>Changes to SST reporting: September 2011</t>
  </si>
  <si>
    <t>RPTEMFV0: Wrong output when absence spans across 2 quarters</t>
  </si>
  <si>
    <t>Old record is deleted upon delimiting in Duty station views</t>
  </si>
  <si>
    <t>Screen changes in Function group HRPADUN_EVE for usability</t>
  </si>
  <si>
    <t>PY-NZ: Error in payroll log with Payroll Giving using IT0011</t>
  </si>
  <si>
    <t>Incorrect processing class settings: wagetypes M271 and M164</t>
  </si>
  <si>
    <t>Wrong superannuation contr, ESCT when adv pay cluster exist</t>
  </si>
  <si>
    <t>HNZLDET0 gives incorrect results for multiple employees</t>
  </si>
  <si>
    <t>Inconsistent F4 help values for taxcode field in IT0313</t>
  </si>
  <si>
    <t>PY-NZ:Uncommenting the multidecimal processing in NZ schemas</t>
  </si>
  <si>
    <t>Leave Liability calculation is incorrect for quotas in days</t>
  </si>
  <si>
    <t>Incorrect leave liability when Feature 43RDP is not set</t>
  </si>
  <si>
    <t>PY-PH: Change in HDMF No. field in Tables T7PHCH, T7PH0P</t>
  </si>
  <si>
    <t>RPCSSRP0: remuneration reduction for public sector employees</t>
  </si>
  <si>
    <t>PY-PT: new constant for remuneration reduction rounding</t>
  </si>
  <si>
    <t>RPCSSRP0: Additional corrections V</t>
  </si>
  <si>
    <t>Single Report: Attachment A and B for Azores</t>
  </si>
  <si>
    <t>PY-PT: IRS Christmas Allowance Surcharge</t>
  </si>
  <si>
    <t>IRS: Validity date to count handicapped spouse</t>
  </si>
  <si>
    <t>SS no. is not correctly checked for CGA institution in IT332</t>
  </si>
  <si>
    <t>CGA Magnetic File: several corrections</t>
  </si>
  <si>
    <t>RPCSENPT0PBS: Enhancement Spot for custom conversion rules</t>
  </si>
  <si>
    <t>ADSE: wrong customizing for wage type RE02</t>
  </si>
  <si>
    <t>HR-RU: Correction of checkman errors</t>
  </si>
  <si>
    <t>HRULP4: Insufficient Length in Field Organization Name</t>
  </si>
  <si>
    <t>HR-RU: 2-NDFL subsequent changes according to the new format</t>
  </si>
  <si>
    <t>HR-RU: PUOC_33 stops for absence with SPPE1 if SPPE1 &lt; ABRDT</t>
  </si>
  <si>
    <t>HR-RU: cross-references via SPPE2 and SPPE1 in P2001</t>
  </si>
  <si>
    <t>HR-RU: incorrect amount of /700 wage type</t>
  </si>
  <si>
    <t>RPLTCES0:Swedish PDF form HR_SE_TCER and Working hours field</t>
  </si>
  <si>
    <t>RPCEDTS0_XML fields Amount, Price and Quantity are rounded</t>
  </si>
  <si>
    <t>RPLABSS0-Incorrect absence type for multiple absence periods</t>
  </si>
  <si>
    <t>Error while executing payroll, in SPYL sub schema</t>
  </si>
  <si>
    <t>RPCKU1S0: No option to use customer specific PDF's</t>
  </si>
  <si>
    <t>PA-PA-SG: Issues with CCL and CCSL generation.</t>
  </si>
  <si>
    <t>PY-SG: CPF calculation procedure for Sep'2011 limit change</t>
  </si>
  <si>
    <t>PY-SG: Issue with Overtime payments in Labour Survey Report</t>
  </si>
  <si>
    <t>PY-SG: Calendar type for CCL deduction end date</t>
  </si>
  <si>
    <t>Negative /309 during second offcycle run in same period</t>
  </si>
  <si>
    <t>Incorrect termination date display in report RPMEDIR0</t>
  </si>
  <si>
    <t>PY-TH : Tax exemption of 190,000 THB for disabled person</t>
  </si>
  <si>
    <t>PY-TH : Corrections in GUI status for report HTHCINS0</t>
  </si>
  <si>
    <t>Incorrect Quit Reason Type in New Medium Format</t>
  </si>
  <si>
    <t>Wrong NHI Exemption Amount in Payroll</t>
  </si>
  <si>
    <t>NHI Bureau Code Conversion Issue for Report HTWLIM00</t>
  </si>
  <si>
    <t>TR: Out-of-State Wages for AR magmedia and paper changes</t>
  </si>
  <si>
    <t>Q3/2011: Functional Changes for U.S. Tax Reporter.</t>
  </si>
  <si>
    <t>Year End 2011 Phase I for U.S. Tax Reporter</t>
  </si>
  <si>
    <t>TAX: Connecticut State Income Tax effective August 1st</t>
  </si>
  <si>
    <t>[VE] Wrong translation of text description for VEMIN, VEMIS</t>
  </si>
  <si>
    <t>[VE] IVSS forms in PDF version</t>
  </si>
  <si>
    <t>Corrections to DAQ external data inclusion API</t>
  </si>
  <si>
    <t>UIF file downloaded with 9 character ref no</t>
  </si>
  <si>
    <t>EEA2: White employees with no disabilities reported</t>
  </si>
  <si>
    <t>IRP5: Few code duplicated incase executed for multiple emp</t>
  </si>
  <si>
    <t>IRP5 Legal Change - August Submission 2011-2012</t>
  </si>
  <si>
    <t>ITREG: Updation of tax reference no of REGISTERED Employees</t>
  </si>
  <si>
    <t>SAPKE60440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</si>
</sst>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33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783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cols>
    <col min="1" max="1" width="15" customWidth="1"/>
    <col min="2" max="2" width="14.42578125" bestFit="1" customWidth="1"/>
    <col min="3" max="3" width="53.5703125" bestFit="1" customWidth="1"/>
    <col min="4" max="4" width="15.5703125" customWidth="1"/>
    <col min="5" max="5" width="15.7109375" customWidth="1"/>
    <col min="6" max="6" width="61.5703125" bestFit="1" customWidth="1"/>
  </cols>
  <sheetData>
    <row r="1" spans="1:6" x14ac:dyDescent="0.25">
      <c r="A1" t="s">
        <v>552</v>
      </c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553</v>
      </c>
      <c r="B2" t="s">
        <v>5</v>
      </c>
      <c r="C2" t="s">
        <v>6</v>
      </c>
    </row>
    <row r="3" spans="1:6" x14ac:dyDescent="0.25">
      <c r="A3" t="s">
        <v>553</v>
      </c>
      <c r="B3" t="s">
        <v>7</v>
      </c>
      <c r="C3" t="s">
        <v>8</v>
      </c>
    </row>
    <row r="4" spans="1:6" x14ac:dyDescent="0.25">
      <c r="A4" t="s">
        <v>553</v>
      </c>
      <c r="B4" t="s">
        <v>9</v>
      </c>
      <c r="C4" t="s">
        <v>10</v>
      </c>
      <c r="D4" t="str">
        <f>HYPERLINK("http://service.sap.com/sap/support/notes/1386964","1386964")</f>
        <v>1386964</v>
      </c>
      <c r="E4">
        <v>4</v>
      </c>
      <c r="F4" t="s">
        <v>11</v>
      </c>
    </row>
    <row r="5" spans="1:6" x14ac:dyDescent="0.25">
      <c r="A5" t="s">
        <v>553</v>
      </c>
      <c r="B5" t="s">
        <v>12</v>
      </c>
      <c r="C5" t="s">
        <v>13</v>
      </c>
      <c r="D5" t="str">
        <f>HYPERLINK("http://service.sap.com/sap/support/notes/1170232","1170232")</f>
        <v>1170232</v>
      </c>
      <c r="E5">
        <v>5</v>
      </c>
      <c r="F5" t="s">
        <v>14</v>
      </c>
    </row>
    <row r="6" spans="1:6" x14ac:dyDescent="0.25">
      <c r="A6" t="s">
        <v>553</v>
      </c>
      <c r="B6" t="s">
        <v>12</v>
      </c>
      <c r="C6" t="s">
        <v>13</v>
      </c>
      <c r="D6" t="str">
        <f>HYPERLINK("http://service.sap.com/sap/support/notes/1507668","1507668")</f>
        <v>1507668</v>
      </c>
      <c r="E6">
        <v>6</v>
      </c>
      <c r="F6" t="s">
        <v>15</v>
      </c>
    </row>
    <row r="7" spans="1:6" x14ac:dyDescent="0.25">
      <c r="A7" t="s">
        <v>553</v>
      </c>
      <c r="B7" t="s">
        <v>12</v>
      </c>
      <c r="C7" t="s">
        <v>13</v>
      </c>
      <c r="D7" t="str">
        <f>HYPERLINK("http://service.sap.com/sap/support/notes/1514901","1514901")</f>
        <v>1514901</v>
      </c>
      <c r="E7">
        <v>3</v>
      </c>
      <c r="F7" t="s">
        <v>16</v>
      </c>
    </row>
    <row r="8" spans="1:6" x14ac:dyDescent="0.25">
      <c r="A8" t="s">
        <v>553</v>
      </c>
      <c r="B8" t="s">
        <v>17</v>
      </c>
      <c r="C8" t="s">
        <v>18</v>
      </c>
      <c r="D8" t="str">
        <f>HYPERLINK("http://service.sap.com/sap/support/notes/1507632","1507632")</f>
        <v>1507632</v>
      </c>
      <c r="E8">
        <v>1</v>
      </c>
      <c r="F8" t="s">
        <v>19</v>
      </c>
    </row>
    <row r="9" spans="1:6" x14ac:dyDescent="0.25">
      <c r="A9" t="s">
        <v>553</v>
      </c>
      <c r="B9" t="s">
        <v>20</v>
      </c>
      <c r="C9" t="s">
        <v>21</v>
      </c>
    </row>
    <row r="10" spans="1:6" x14ac:dyDescent="0.25">
      <c r="A10" t="s">
        <v>553</v>
      </c>
      <c r="B10" t="s">
        <v>22</v>
      </c>
      <c r="C10" t="s">
        <v>23</v>
      </c>
    </row>
    <row r="11" spans="1:6" x14ac:dyDescent="0.25">
      <c r="A11" t="s">
        <v>553</v>
      </c>
      <c r="B11" t="s">
        <v>24</v>
      </c>
      <c r="C11" t="s">
        <v>25</v>
      </c>
      <c r="D11" t="str">
        <f>HYPERLINK("http://service.sap.com/sap/support/notes/1284280","1284280")</f>
        <v>1284280</v>
      </c>
      <c r="E11">
        <v>3</v>
      </c>
      <c r="F11" t="s">
        <v>26</v>
      </c>
    </row>
    <row r="12" spans="1:6" x14ac:dyDescent="0.25">
      <c r="A12" t="s">
        <v>553</v>
      </c>
      <c r="B12" t="s">
        <v>27</v>
      </c>
      <c r="C12" t="s">
        <v>13</v>
      </c>
    </row>
    <row r="13" spans="1:6" x14ac:dyDescent="0.25">
      <c r="A13" t="s">
        <v>553</v>
      </c>
      <c r="B13" t="s">
        <v>28</v>
      </c>
      <c r="C13" t="s">
        <v>29</v>
      </c>
    </row>
    <row r="14" spans="1:6" x14ac:dyDescent="0.25">
      <c r="A14" t="s">
        <v>553</v>
      </c>
      <c r="B14" t="s">
        <v>30</v>
      </c>
      <c r="C14" t="s">
        <v>31</v>
      </c>
      <c r="D14" t="str">
        <f>HYPERLINK("http://service.sap.com/sap/support/notes/1486383","1486383")</f>
        <v>1486383</v>
      </c>
      <c r="E14">
        <v>2</v>
      </c>
      <c r="F14" t="s">
        <v>32</v>
      </c>
    </row>
    <row r="15" spans="1:6" x14ac:dyDescent="0.25">
      <c r="A15" t="s">
        <v>553</v>
      </c>
      <c r="B15" t="s">
        <v>33</v>
      </c>
      <c r="C15" t="s">
        <v>34</v>
      </c>
    </row>
    <row r="16" spans="1:6" x14ac:dyDescent="0.25">
      <c r="A16" t="s">
        <v>553</v>
      </c>
      <c r="B16" t="s">
        <v>35</v>
      </c>
      <c r="C16" t="s">
        <v>36</v>
      </c>
      <c r="D16" t="str">
        <f>HYPERLINK("http://service.sap.com/sap/support/notes/1520183","1520183")</f>
        <v>1520183</v>
      </c>
      <c r="E16">
        <v>1</v>
      </c>
      <c r="F16" t="s">
        <v>37</v>
      </c>
    </row>
    <row r="17" spans="1:6" x14ac:dyDescent="0.25">
      <c r="A17" t="s">
        <v>553</v>
      </c>
      <c r="B17" t="s">
        <v>38</v>
      </c>
      <c r="C17" t="s">
        <v>39</v>
      </c>
    </row>
    <row r="18" spans="1:6" x14ac:dyDescent="0.25">
      <c r="A18" t="s">
        <v>553</v>
      </c>
      <c r="B18" t="s">
        <v>40</v>
      </c>
      <c r="C18" t="s">
        <v>41</v>
      </c>
      <c r="D18" t="str">
        <f>HYPERLINK("http://service.sap.com/sap/support/notes/1517718","1517718")</f>
        <v>1517718</v>
      </c>
      <c r="E18">
        <v>1</v>
      </c>
      <c r="F18" t="s">
        <v>42</v>
      </c>
    </row>
    <row r="19" spans="1:6" x14ac:dyDescent="0.25">
      <c r="A19" t="s">
        <v>553</v>
      </c>
      <c r="B19" t="s">
        <v>40</v>
      </c>
      <c r="C19" t="s">
        <v>41</v>
      </c>
      <c r="D19" t="str">
        <f>HYPERLINK("http://service.sap.com/sap/support/notes/1520731","1520731")</f>
        <v>1520731</v>
      </c>
      <c r="E19">
        <v>1</v>
      </c>
      <c r="F19" t="s">
        <v>43</v>
      </c>
    </row>
    <row r="20" spans="1:6" x14ac:dyDescent="0.25">
      <c r="A20" t="s">
        <v>553</v>
      </c>
      <c r="B20" t="s">
        <v>44</v>
      </c>
      <c r="C20" t="s">
        <v>45</v>
      </c>
      <c r="D20" t="str">
        <f>HYPERLINK("http://service.sap.com/sap/support/notes/1502442","1502442")</f>
        <v>1502442</v>
      </c>
      <c r="E20">
        <v>4</v>
      </c>
      <c r="F20" t="s">
        <v>46</v>
      </c>
    </row>
    <row r="21" spans="1:6" x14ac:dyDescent="0.25">
      <c r="A21" t="s">
        <v>553</v>
      </c>
      <c r="B21" t="s">
        <v>44</v>
      </c>
      <c r="C21" t="s">
        <v>45</v>
      </c>
      <c r="D21" t="str">
        <f>HYPERLINK("http://service.sap.com/sap/support/notes/1513547","1513547")</f>
        <v>1513547</v>
      </c>
      <c r="E21">
        <v>2</v>
      </c>
      <c r="F21" t="s">
        <v>47</v>
      </c>
    </row>
    <row r="22" spans="1:6" x14ac:dyDescent="0.25">
      <c r="A22" t="s">
        <v>553</v>
      </c>
      <c r="B22" t="s">
        <v>48</v>
      </c>
      <c r="C22" t="s">
        <v>49</v>
      </c>
      <c r="D22" t="str">
        <f>HYPERLINK("http://service.sap.com/sap/support/notes/1519605","1519605")</f>
        <v>1519605</v>
      </c>
      <c r="E22">
        <v>1</v>
      </c>
      <c r="F22" t="s">
        <v>50</v>
      </c>
    </row>
    <row r="23" spans="1:6" x14ac:dyDescent="0.25">
      <c r="A23" t="s">
        <v>553</v>
      </c>
      <c r="B23" t="s">
        <v>51</v>
      </c>
      <c r="C23" t="s">
        <v>52</v>
      </c>
      <c r="D23" t="str">
        <f>HYPERLINK("http://service.sap.com/sap/support/notes/1514996","1514996")</f>
        <v>1514996</v>
      </c>
      <c r="E23">
        <v>1</v>
      </c>
      <c r="F23" t="s">
        <v>53</v>
      </c>
    </row>
    <row r="24" spans="1:6" x14ac:dyDescent="0.25">
      <c r="A24" t="s">
        <v>553</v>
      </c>
      <c r="B24" t="s">
        <v>54</v>
      </c>
      <c r="C24" t="s">
        <v>55</v>
      </c>
      <c r="D24" t="str">
        <f>HYPERLINK("http://service.sap.com/sap/support/notes/1518686","1518686")</f>
        <v>1518686</v>
      </c>
      <c r="E24">
        <v>1</v>
      </c>
      <c r="F24" t="s">
        <v>56</v>
      </c>
    </row>
    <row r="25" spans="1:6" x14ac:dyDescent="0.25">
      <c r="A25" t="s">
        <v>553</v>
      </c>
      <c r="B25" t="s">
        <v>57</v>
      </c>
      <c r="C25" t="s">
        <v>58</v>
      </c>
    </row>
    <row r="26" spans="1:6" x14ac:dyDescent="0.25">
      <c r="A26" t="s">
        <v>553</v>
      </c>
      <c r="B26" t="s">
        <v>59</v>
      </c>
      <c r="C26" t="s">
        <v>60</v>
      </c>
      <c r="D26" t="str">
        <f>HYPERLINK("http://service.sap.com/sap/support/notes/1442488","1442488")</f>
        <v>1442488</v>
      </c>
      <c r="E26">
        <v>3</v>
      </c>
      <c r="F26" t="s">
        <v>61</v>
      </c>
    </row>
    <row r="27" spans="1:6" x14ac:dyDescent="0.25">
      <c r="A27" t="s">
        <v>553</v>
      </c>
      <c r="B27" t="s">
        <v>59</v>
      </c>
      <c r="C27" t="s">
        <v>60</v>
      </c>
      <c r="D27" t="str">
        <f>HYPERLINK("http://service.sap.com/sap/support/notes/1507050","1507050")</f>
        <v>1507050</v>
      </c>
      <c r="E27">
        <v>1</v>
      </c>
      <c r="F27" t="s">
        <v>62</v>
      </c>
    </row>
    <row r="28" spans="1:6" x14ac:dyDescent="0.25">
      <c r="A28" t="s">
        <v>553</v>
      </c>
      <c r="B28" t="s">
        <v>59</v>
      </c>
      <c r="C28" t="s">
        <v>60</v>
      </c>
      <c r="D28" t="str">
        <f>HYPERLINK("http://service.sap.com/sap/support/notes/1508126","1508126")</f>
        <v>1508126</v>
      </c>
      <c r="E28">
        <v>2</v>
      </c>
      <c r="F28" t="s">
        <v>63</v>
      </c>
    </row>
    <row r="29" spans="1:6" x14ac:dyDescent="0.25">
      <c r="A29" t="s">
        <v>553</v>
      </c>
      <c r="B29" t="s">
        <v>59</v>
      </c>
      <c r="C29" t="s">
        <v>60</v>
      </c>
      <c r="D29" t="str">
        <f>HYPERLINK("http://service.sap.com/sap/support/notes/1512886","1512886")</f>
        <v>1512886</v>
      </c>
      <c r="E29">
        <v>2</v>
      </c>
      <c r="F29" t="s">
        <v>64</v>
      </c>
    </row>
    <row r="30" spans="1:6" x14ac:dyDescent="0.25">
      <c r="A30" t="s">
        <v>553</v>
      </c>
      <c r="B30" t="s">
        <v>59</v>
      </c>
      <c r="C30" t="s">
        <v>60</v>
      </c>
      <c r="D30" t="str">
        <f>HYPERLINK("http://service.sap.com/sap/support/notes/1515726","1515726")</f>
        <v>1515726</v>
      </c>
      <c r="E30">
        <v>1</v>
      </c>
      <c r="F30" t="s">
        <v>65</v>
      </c>
    </row>
    <row r="31" spans="1:6" x14ac:dyDescent="0.25">
      <c r="A31" t="s">
        <v>553</v>
      </c>
      <c r="B31" t="s">
        <v>59</v>
      </c>
      <c r="C31" t="s">
        <v>60</v>
      </c>
      <c r="D31" t="str">
        <f>HYPERLINK("http://service.sap.com/sap/support/notes/1518466","1518466")</f>
        <v>1518466</v>
      </c>
      <c r="E31">
        <v>1</v>
      </c>
      <c r="F31" t="s">
        <v>66</v>
      </c>
    </row>
    <row r="32" spans="1:6" x14ac:dyDescent="0.25">
      <c r="A32" t="s">
        <v>553</v>
      </c>
      <c r="B32" t="s">
        <v>59</v>
      </c>
      <c r="C32" t="s">
        <v>60</v>
      </c>
      <c r="D32" t="str">
        <f>HYPERLINK("http://service.sap.com/sap/support/notes/1518563","1518563")</f>
        <v>1518563</v>
      </c>
      <c r="E32">
        <v>2</v>
      </c>
      <c r="F32" t="s">
        <v>67</v>
      </c>
    </row>
    <row r="33" spans="1:6" x14ac:dyDescent="0.25">
      <c r="A33" t="s">
        <v>553</v>
      </c>
      <c r="B33" t="s">
        <v>59</v>
      </c>
      <c r="C33" t="s">
        <v>60</v>
      </c>
      <c r="D33" t="str">
        <f>HYPERLINK("http://service.sap.com/sap/support/notes/1519019","1519019")</f>
        <v>1519019</v>
      </c>
      <c r="E33">
        <v>1</v>
      </c>
      <c r="F33" t="s">
        <v>68</v>
      </c>
    </row>
    <row r="34" spans="1:6" x14ac:dyDescent="0.25">
      <c r="A34" t="s">
        <v>553</v>
      </c>
      <c r="B34" t="s">
        <v>59</v>
      </c>
      <c r="C34" t="s">
        <v>60</v>
      </c>
      <c r="D34" t="str">
        <f>HYPERLINK("http://service.sap.com/sap/support/notes/1521446","1521446")</f>
        <v>1521446</v>
      </c>
      <c r="E34">
        <v>1</v>
      </c>
      <c r="F34" t="s">
        <v>69</v>
      </c>
    </row>
    <row r="35" spans="1:6" x14ac:dyDescent="0.25">
      <c r="A35" t="s">
        <v>553</v>
      </c>
      <c r="B35" t="s">
        <v>70</v>
      </c>
      <c r="C35" t="s">
        <v>71</v>
      </c>
      <c r="D35" t="str">
        <f>HYPERLINK("http://service.sap.com/sap/support/notes/1517263","1517263")</f>
        <v>1517263</v>
      </c>
      <c r="E35">
        <v>1</v>
      </c>
      <c r="F35" t="s">
        <v>72</v>
      </c>
    </row>
    <row r="36" spans="1:6" x14ac:dyDescent="0.25">
      <c r="A36" t="s">
        <v>553</v>
      </c>
      <c r="B36" t="s">
        <v>73</v>
      </c>
      <c r="C36" t="s">
        <v>74</v>
      </c>
      <c r="D36" t="str">
        <f>HYPERLINK("http://service.sap.com/sap/support/notes/1502234","1502234")</f>
        <v>1502234</v>
      </c>
      <c r="E36">
        <v>1</v>
      </c>
      <c r="F36" t="s">
        <v>75</v>
      </c>
    </row>
    <row r="37" spans="1:6" x14ac:dyDescent="0.25">
      <c r="A37" t="s">
        <v>553</v>
      </c>
      <c r="B37" t="s">
        <v>76</v>
      </c>
      <c r="C37" t="s">
        <v>77</v>
      </c>
      <c r="D37" t="str">
        <f>HYPERLINK("http://service.sap.com/sap/support/notes/448307","448307")</f>
        <v>448307</v>
      </c>
      <c r="E37">
        <v>1</v>
      </c>
      <c r="F37" t="s">
        <v>78</v>
      </c>
    </row>
    <row r="38" spans="1:6" x14ac:dyDescent="0.25">
      <c r="A38" t="s">
        <v>553</v>
      </c>
      <c r="B38" t="s">
        <v>79</v>
      </c>
      <c r="C38" t="s">
        <v>80</v>
      </c>
      <c r="D38" t="str">
        <f>HYPERLINK("http://service.sap.com/sap/support/notes/1451038","1451038")</f>
        <v>1451038</v>
      </c>
      <c r="E38">
        <v>1</v>
      </c>
      <c r="F38" t="s">
        <v>81</v>
      </c>
    </row>
    <row r="39" spans="1:6" x14ac:dyDescent="0.25">
      <c r="A39" t="s">
        <v>553</v>
      </c>
      <c r="B39" t="s">
        <v>79</v>
      </c>
      <c r="C39" t="s">
        <v>80</v>
      </c>
      <c r="D39" t="str">
        <f>HYPERLINK("http://service.sap.com/sap/support/notes/1498925","1498925")</f>
        <v>1498925</v>
      </c>
      <c r="E39">
        <v>1</v>
      </c>
      <c r="F39" t="s">
        <v>82</v>
      </c>
    </row>
    <row r="40" spans="1:6" x14ac:dyDescent="0.25">
      <c r="A40" t="s">
        <v>553</v>
      </c>
      <c r="B40" t="s">
        <v>79</v>
      </c>
      <c r="C40" t="s">
        <v>80</v>
      </c>
      <c r="D40" t="str">
        <f>HYPERLINK("http://service.sap.com/sap/support/notes/1518754","1518754")</f>
        <v>1518754</v>
      </c>
      <c r="E40">
        <v>1</v>
      </c>
      <c r="F40" t="s">
        <v>83</v>
      </c>
    </row>
    <row r="41" spans="1:6" x14ac:dyDescent="0.25">
      <c r="A41" t="s">
        <v>553</v>
      </c>
      <c r="B41" t="s">
        <v>79</v>
      </c>
      <c r="C41" t="s">
        <v>80</v>
      </c>
      <c r="D41" t="str">
        <f>HYPERLINK("http://service.sap.com/sap/support/notes/1519628","1519628")</f>
        <v>1519628</v>
      </c>
      <c r="E41">
        <v>3</v>
      </c>
      <c r="F41" t="s">
        <v>84</v>
      </c>
    </row>
    <row r="42" spans="1:6" x14ac:dyDescent="0.25">
      <c r="A42" t="s">
        <v>553</v>
      </c>
      <c r="B42" t="s">
        <v>79</v>
      </c>
      <c r="C42" t="s">
        <v>80</v>
      </c>
      <c r="D42" t="str">
        <f>HYPERLINK("http://service.sap.com/sap/support/notes/1519810","1519810")</f>
        <v>1519810</v>
      </c>
      <c r="E42">
        <v>1</v>
      </c>
      <c r="F42" t="s">
        <v>85</v>
      </c>
    </row>
    <row r="43" spans="1:6" x14ac:dyDescent="0.25">
      <c r="A43" t="s">
        <v>553</v>
      </c>
      <c r="B43" t="s">
        <v>86</v>
      </c>
      <c r="C43" t="s">
        <v>87</v>
      </c>
      <c r="D43" t="str">
        <f>HYPERLINK("http://service.sap.com/sap/support/notes/1506165","1506165")</f>
        <v>1506165</v>
      </c>
      <c r="E43">
        <v>1</v>
      </c>
      <c r="F43" t="s">
        <v>88</v>
      </c>
    </row>
    <row r="44" spans="1:6" x14ac:dyDescent="0.25">
      <c r="A44" t="s">
        <v>553</v>
      </c>
      <c r="B44" t="s">
        <v>89</v>
      </c>
      <c r="C44" t="s">
        <v>90</v>
      </c>
      <c r="D44" t="str">
        <f>HYPERLINK("http://service.sap.com/sap/support/notes/1512848","1512848")</f>
        <v>1512848</v>
      </c>
      <c r="E44">
        <v>2</v>
      </c>
      <c r="F44" t="s">
        <v>91</v>
      </c>
    </row>
    <row r="45" spans="1:6" x14ac:dyDescent="0.25">
      <c r="A45" t="s">
        <v>553</v>
      </c>
      <c r="B45" t="s">
        <v>92</v>
      </c>
      <c r="C45" t="s">
        <v>93</v>
      </c>
      <c r="D45" t="str">
        <f>HYPERLINK("http://service.sap.com/sap/support/notes/1501776","1501776")</f>
        <v>1501776</v>
      </c>
      <c r="E45">
        <v>2</v>
      </c>
      <c r="F45" t="s">
        <v>94</v>
      </c>
    </row>
    <row r="46" spans="1:6" x14ac:dyDescent="0.25">
      <c r="A46" t="s">
        <v>553</v>
      </c>
      <c r="B46" t="s">
        <v>92</v>
      </c>
      <c r="C46" t="s">
        <v>93</v>
      </c>
      <c r="D46" t="str">
        <f>HYPERLINK("http://service.sap.com/sap/support/notes/1510564","1510564")</f>
        <v>1510564</v>
      </c>
      <c r="E46">
        <v>1</v>
      </c>
      <c r="F46" t="s">
        <v>95</v>
      </c>
    </row>
    <row r="47" spans="1:6" x14ac:dyDescent="0.25">
      <c r="A47" t="s">
        <v>553</v>
      </c>
      <c r="B47" t="s">
        <v>92</v>
      </c>
      <c r="C47" t="s">
        <v>93</v>
      </c>
      <c r="D47" t="str">
        <f>HYPERLINK("http://service.sap.com/sap/support/notes/1511994","1511994")</f>
        <v>1511994</v>
      </c>
      <c r="E47">
        <v>1</v>
      </c>
      <c r="F47" t="s">
        <v>96</v>
      </c>
    </row>
    <row r="48" spans="1:6" x14ac:dyDescent="0.25">
      <c r="A48" t="s">
        <v>553</v>
      </c>
      <c r="B48" t="s">
        <v>92</v>
      </c>
      <c r="C48" t="s">
        <v>93</v>
      </c>
      <c r="D48" t="str">
        <f>HYPERLINK("http://service.sap.com/sap/support/notes/1512913","1512913")</f>
        <v>1512913</v>
      </c>
      <c r="E48">
        <v>1</v>
      </c>
      <c r="F48" t="s">
        <v>97</v>
      </c>
    </row>
    <row r="49" spans="1:6" x14ac:dyDescent="0.25">
      <c r="A49" t="s">
        <v>553</v>
      </c>
      <c r="B49" t="s">
        <v>92</v>
      </c>
      <c r="C49" t="s">
        <v>93</v>
      </c>
      <c r="D49" t="str">
        <f>HYPERLINK("http://service.sap.com/sap/support/notes/1513880","1513880")</f>
        <v>1513880</v>
      </c>
      <c r="E49">
        <v>1</v>
      </c>
      <c r="F49" t="s">
        <v>98</v>
      </c>
    </row>
    <row r="50" spans="1:6" x14ac:dyDescent="0.25">
      <c r="A50" t="s">
        <v>553</v>
      </c>
      <c r="B50" t="s">
        <v>92</v>
      </c>
      <c r="C50" t="s">
        <v>93</v>
      </c>
      <c r="D50" t="str">
        <f>HYPERLINK("http://service.sap.com/sap/support/notes/1515987","1515987")</f>
        <v>1515987</v>
      </c>
      <c r="E50">
        <v>1</v>
      </c>
      <c r="F50" t="s">
        <v>99</v>
      </c>
    </row>
    <row r="51" spans="1:6" x14ac:dyDescent="0.25">
      <c r="A51" t="s">
        <v>553</v>
      </c>
      <c r="B51" t="s">
        <v>92</v>
      </c>
      <c r="C51" t="s">
        <v>93</v>
      </c>
      <c r="D51" t="str">
        <f>HYPERLINK("http://service.sap.com/sap/support/notes/1516824","1516824")</f>
        <v>1516824</v>
      </c>
      <c r="E51">
        <v>1</v>
      </c>
      <c r="F51" t="s">
        <v>100</v>
      </c>
    </row>
    <row r="52" spans="1:6" x14ac:dyDescent="0.25">
      <c r="A52" t="s">
        <v>553</v>
      </c>
      <c r="B52" t="s">
        <v>92</v>
      </c>
      <c r="C52" t="s">
        <v>93</v>
      </c>
      <c r="D52" t="str">
        <f>HYPERLINK("http://service.sap.com/sap/support/notes/1516866","1516866")</f>
        <v>1516866</v>
      </c>
      <c r="E52">
        <v>1</v>
      </c>
      <c r="F52" t="s">
        <v>101</v>
      </c>
    </row>
    <row r="53" spans="1:6" x14ac:dyDescent="0.25">
      <c r="A53" t="s">
        <v>553</v>
      </c>
      <c r="B53" t="s">
        <v>92</v>
      </c>
      <c r="C53" t="s">
        <v>93</v>
      </c>
      <c r="D53" t="str">
        <f>HYPERLINK("http://service.sap.com/sap/support/notes/1517230","1517230")</f>
        <v>1517230</v>
      </c>
      <c r="E53">
        <v>1</v>
      </c>
      <c r="F53" t="s">
        <v>102</v>
      </c>
    </row>
    <row r="54" spans="1:6" x14ac:dyDescent="0.25">
      <c r="A54" t="s">
        <v>553</v>
      </c>
      <c r="B54" t="s">
        <v>103</v>
      </c>
      <c r="C54" t="s">
        <v>104</v>
      </c>
      <c r="D54" t="str">
        <f>HYPERLINK("http://service.sap.com/sap/support/notes/1478217","1478217")</f>
        <v>1478217</v>
      </c>
      <c r="E54">
        <v>1</v>
      </c>
      <c r="F54" t="s">
        <v>105</v>
      </c>
    </row>
    <row r="55" spans="1:6" x14ac:dyDescent="0.25">
      <c r="A55" t="s">
        <v>553</v>
      </c>
      <c r="B55" t="s">
        <v>103</v>
      </c>
      <c r="C55" t="s">
        <v>104</v>
      </c>
      <c r="D55" t="str">
        <f>HYPERLINK("http://service.sap.com/sap/support/notes/1494592","1494592")</f>
        <v>1494592</v>
      </c>
      <c r="E55">
        <v>1</v>
      </c>
      <c r="F55" t="s">
        <v>106</v>
      </c>
    </row>
    <row r="56" spans="1:6" x14ac:dyDescent="0.25">
      <c r="A56" t="s">
        <v>553</v>
      </c>
      <c r="B56" t="s">
        <v>107</v>
      </c>
      <c r="C56" t="s">
        <v>108</v>
      </c>
      <c r="D56" t="str">
        <f>HYPERLINK("http://service.sap.com/sap/support/notes/1499223","1499223")</f>
        <v>1499223</v>
      </c>
      <c r="E56">
        <v>1</v>
      </c>
      <c r="F56" t="s">
        <v>109</v>
      </c>
    </row>
    <row r="57" spans="1:6" x14ac:dyDescent="0.25">
      <c r="A57" t="s">
        <v>553</v>
      </c>
      <c r="B57" t="s">
        <v>107</v>
      </c>
      <c r="C57" t="s">
        <v>108</v>
      </c>
      <c r="D57" t="str">
        <f>HYPERLINK("http://service.sap.com/sap/support/notes/1512267","1512267")</f>
        <v>1512267</v>
      </c>
      <c r="E57">
        <v>2</v>
      </c>
      <c r="F57" t="s">
        <v>110</v>
      </c>
    </row>
    <row r="58" spans="1:6" x14ac:dyDescent="0.25">
      <c r="A58" t="s">
        <v>553</v>
      </c>
      <c r="B58" t="s">
        <v>111</v>
      </c>
      <c r="C58" t="s">
        <v>112</v>
      </c>
      <c r="D58" t="str">
        <f>HYPERLINK("http://service.sap.com/sap/support/notes/1092057","1092057")</f>
        <v>1092057</v>
      </c>
      <c r="E58">
        <v>4</v>
      </c>
      <c r="F58" t="s">
        <v>113</v>
      </c>
    </row>
    <row r="59" spans="1:6" x14ac:dyDescent="0.25">
      <c r="A59" t="s">
        <v>553</v>
      </c>
      <c r="B59" t="s">
        <v>114</v>
      </c>
      <c r="C59" t="s">
        <v>115</v>
      </c>
      <c r="D59" t="str">
        <f>HYPERLINK("http://service.sap.com/sap/support/notes/1475688","1475688")</f>
        <v>1475688</v>
      </c>
      <c r="E59">
        <v>2</v>
      </c>
      <c r="F59" t="s">
        <v>116</v>
      </c>
    </row>
    <row r="60" spans="1:6" x14ac:dyDescent="0.25">
      <c r="A60" t="s">
        <v>553</v>
      </c>
      <c r="B60" t="s">
        <v>114</v>
      </c>
      <c r="C60" t="s">
        <v>115</v>
      </c>
      <c r="D60" t="str">
        <f>HYPERLINK("http://service.sap.com/sap/support/notes/1499126","1499126")</f>
        <v>1499126</v>
      </c>
      <c r="E60">
        <v>2</v>
      </c>
      <c r="F60" t="s">
        <v>117</v>
      </c>
    </row>
    <row r="61" spans="1:6" x14ac:dyDescent="0.25">
      <c r="A61" t="s">
        <v>553</v>
      </c>
      <c r="B61" t="s">
        <v>118</v>
      </c>
      <c r="C61" t="s">
        <v>119</v>
      </c>
    </row>
    <row r="62" spans="1:6" x14ac:dyDescent="0.25">
      <c r="A62" t="s">
        <v>553</v>
      </c>
      <c r="B62" t="s">
        <v>120</v>
      </c>
      <c r="C62" t="s">
        <v>121</v>
      </c>
      <c r="D62" t="str">
        <f>HYPERLINK("http://service.sap.com/sap/support/notes/1510316","1510316")</f>
        <v>1510316</v>
      </c>
      <c r="E62">
        <v>1</v>
      </c>
      <c r="F62" t="s">
        <v>122</v>
      </c>
    </row>
    <row r="63" spans="1:6" x14ac:dyDescent="0.25">
      <c r="A63" t="s">
        <v>553</v>
      </c>
      <c r="B63" t="s">
        <v>123</v>
      </c>
      <c r="C63" t="s">
        <v>124</v>
      </c>
      <c r="D63" t="str">
        <f>HYPERLINK("http://service.sap.com/sap/support/notes/1512444","1512444")</f>
        <v>1512444</v>
      </c>
      <c r="E63">
        <v>1</v>
      </c>
      <c r="F63" t="s">
        <v>125</v>
      </c>
    </row>
    <row r="64" spans="1:6" x14ac:dyDescent="0.25">
      <c r="A64" t="s">
        <v>553</v>
      </c>
      <c r="B64" t="s">
        <v>126</v>
      </c>
      <c r="C64" t="s">
        <v>127</v>
      </c>
    </row>
    <row r="65" spans="1:6" x14ac:dyDescent="0.25">
      <c r="A65" t="s">
        <v>553</v>
      </c>
      <c r="B65" t="s">
        <v>128</v>
      </c>
      <c r="C65" t="s">
        <v>129</v>
      </c>
      <c r="D65" t="str">
        <f>HYPERLINK("http://service.sap.com/sap/support/notes/1510803","1510803")</f>
        <v>1510803</v>
      </c>
      <c r="E65">
        <v>1</v>
      </c>
      <c r="F65" t="s">
        <v>130</v>
      </c>
    </row>
    <row r="66" spans="1:6" x14ac:dyDescent="0.25">
      <c r="A66" t="s">
        <v>553</v>
      </c>
      <c r="B66" t="s">
        <v>131</v>
      </c>
      <c r="C66" t="s">
        <v>132</v>
      </c>
    </row>
    <row r="67" spans="1:6" x14ac:dyDescent="0.25">
      <c r="A67" t="s">
        <v>553</v>
      </c>
      <c r="B67" t="s">
        <v>133</v>
      </c>
      <c r="C67" t="s">
        <v>134</v>
      </c>
      <c r="D67" t="str">
        <f>HYPERLINK("http://service.sap.com/sap/support/notes/1492256","1492256")</f>
        <v>1492256</v>
      </c>
      <c r="E67">
        <v>6</v>
      </c>
      <c r="F67" t="s">
        <v>135</v>
      </c>
    </row>
    <row r="68" spans="1:6" x14ac:dyDescent="0.25">
      <c r="A68" t="s">
        <v>553</v>
      </c>
      <c r="B68" t="s">
        <v>133</v>
      </c>
      <c r="C68" t="s">
        <v>134</v>
      </c>
      <c r="D68" t="str">
        <f>HYPERLINK("http://service.sap.com/sap/support/notes/1503227","1503227")</f>
        <v>1503227</v>
      </c>
      <c r="E68">
        <v>2</v>
      </c>
      <c r="F68" t="s">
        <v>136</v>
      </c>
    </row>
    <row r="69" spans="1:6" x14ac:dyDescent="0.25">
      <c r="A69" t="s">
        <v>553</v>
      </c>
      <c r="B69" t="s">
        <v>133</v>
      </c>
      <c r="C69" t="s">
        <v>134</v>
      </c>
      <c r="D69" t="str">
        <f>HYPERLINK("http://service.sap.com/sap/support/notes/1511330","1511330")</f>
        <v>1511330</v>
      </c>
      <c r="E69">
        <v>2</v>
      </c>
      <c r="F69" t="s">
        <v>137</v>
      </c>
    </row>
    <row r="70" spans="1:6" x14ac:dyDescent="0.25">
      <c r="A70" t="s">
        <v>553</v>
      </c>
      <c r="B70" t="s">
        <v>133</v>
      </c>
      <c r="C70" t="s">
        <v>134</v>
      </c>
      <c r="D70" t="str">
        <f>HYPERLINK("http://service.sap.com/sap/support/notes/1513678","1513678")</f>
        <v>1513678</v>
      </c>
      <c r="E70">
        <v>2</v>
      </c>
      <c r="F70" t="s">
        <v>138</v>
      </c>
    </row>
    <row r="71" spans="1:6" x14ac:dyDescent="0.25">
      <c r="A71" t="s">
        <v>553</v>
      </c>
      <c r="B71" t="s">
        <v>133</v>
      </c>
      <c r="C71" t="s">
        <v>134</v>
      </c>
      <c r="D71" t="str">
        <f>HYPERLINK("http://service.sap.com/sap/support/notes/1516067","1516067")</f>
        <v>1516067</v>
      </c>
      <c r="E71">
        <v>2</v>
      </c>
      <c r="F71" t="s">
        <v>139</v>
      </c>
    </row>
    <row r="72" spans="1:6" x14ac:dyDescent="0.25">
      <c r="A72" t="s">
        <v>553</v>
      </c>
      <c r="B72" t="s">
        <v>133</v>
      </c>
      <c r="C72" t="s">
        <v>134</v>
      </c>
      <c r="D72" t="str">
        <f>HYPERLINK("http://service.sap.com/sap/support/notes/1517388","1517388")</f>
        <v>1517388</v>
      </c>
      <c r="E72">
        <v>1</v>
      </c>
      <c r="F72" t="s">
        <v>140</v>
      </c>
    </row>
    <row r="73" spans="1:6" x14ac:dyDescent="0.25">
      <c r="A73" t="s">
        <v>553</v>
      </c>
      <c r="B73" t="s">
        <v>141</v>
      </c>
      <c r="C73" t="s">
        <v>41</v>
      </c>
      <c r="D73" t="str">
        <f>HYPERLINK("http://service.sap.com/sap/support/notes/1284721","1284721")</f>
        <v>1284721</v>
      </c>
      <c r="E73">
        <v>4</v>
      </c>
      <c r="F73" t="s">
        <v>142</v>
      </c>
    </row>
    <row r="74" spans="1:6" x14ac:dyDescent="0.25">
      <c r="A74" t="s">
        <v>553</v>
      </c>
      <c r="B74" t="s">
        <v>141</v>
      </c>
      <c r="C74" t="s">
        <v>41</v>
      </c>
      <c r="D74" t="str">
        <f>HYPERLINK("http://service.sap.com/sap/support/notes/1496265","1496265")</f>
        <v>1496265</v>
      </c>
      <c r="E74">
        <v>4</v>
      </c>
      <c r="F74" t="s">
        <v>143</v>
      </c>
    </row>
    <row r="75" spans="1:6" x14ac:dyDescent="0.25">
      <c r="A75" t="s">
        <v>553</v>
      </c>
      <c r="B75" t="s">
        <v>141</v>
      </c>
      <c r="C75" t="s">
        <v>41</v>
      </c>
      <c r="D75" t="str">
        <f>HYPERLINK("http://service.sap.com/sap/support/notes/1497692","1497692")</f>
        <v>1497692</v>
      </c>
      <c r="E75">
        <v>6</v>
      </c>
      <c r="F75" t="s">
        <v>144</v>
      </c>
    </row>
    <row r="76" spans="1:6" x14ac:dyDescent="0.25">
      <c r="A76" t="s">
        <v>553</v>
      </c>
      <c r="B76" t="s">
        <v>141</v>
      </c>
      <c r="C76" t="s">
        <v>41</v>
      </c>
      <c r="D76" t="str">
        <f>HYPERLINK("http://service.sap.com/sap/support/notes/1504328","1504328")</f>
        <v>1504328</v>
      </c>
      <c r="E76">
        <v>5</v>
      </c>
      <c r="F76" t="s">
        <v>145</v>
      </c>
    </row>
    <row r="77" spans="1:6" x14ac:dyDescent="0.25">
      <c r="A77" t="s">
        <v>553</v>
      </c>
      <c r="B77" t="s">
        <v>141</v>
      </c>
      <c r="C77" t="s">
        <v>41</v>
      </c>
      <c r="D77" t="str">
        <f>HYPERLINK("http://service.sap.com/sap/support/notes/1510673","1510673")</f>
        <v>1510673</v>
      </c>
      <c r="E77">
        <v>2</v>
      </c>
      <c r="F77" t="s">
        <v>146</v>
      </c>
    </row>
    <row r="78" spans="1:6" x14ac:dyDescent="0.25">
      <c r="A78" t="s">
        <v>553</v>
      </c>
      <c r="B78" t="s">
        <v>141</v>
      </c>
      <c r="C78" t="s">
        <v>41</v>
      </c>
      <c r="D78" t="str">
        <f>HYPERLINK("http://service.sap.com/sap/support/notes/1511032","1511032")</f>
        <v>1511032</v>
      </c>
      <c r="E78">
        <v>2</v>
      </c>
      <c r="F78" t="s">
        <v>147</v>
      </c>
    </row>
    <row r="79" spans="1:6" x14ac:dyDescent="0.25">
      <c r="A79" t="s">
        <v>553</v>
      </c>
      <c r="B79" t="s">
        <v>141</v>
      </c>
      <c r="C79" t="s">
        <v>41</v>
      </c>
      <c r="D79" t="str">
        <f>HYPERLINK("http://service.sap.com/sap/support/notes/1515949","1515949")</f>
        <v>1515949</v>
      </c>
      <c r="E79">
        <v>4</v>
      </c>
      <c r="F79" t="s">
        <v>148</v>
      </c>
    </row>
    <row r="80" spans="1:6" x14ac:dyDescent="0.25">
      <c r="A80" t="s">
        <v>553</v>
      </c>
      <c r="B80" t="s">
        <v>141</v>
      </c>
      <c r="C80" t="s">
        <v>41</v>
      </c>
      <c r="D80" t="str">
        <f>HYPERLINK("http://service.sap.com/sap/support/notes/1518758","1518758")</f>
        <v>1518758</v>
      </c>
      <c r="E80">
        <v>1</v>
      </c>
      <c r="F80" t="s">
        <v>149</v>
      </c>
    </row>
    <row r="81" spans="1:6" x14ac:dyDescent="0.25">
      <c r="A81" t="s">
        <v>553</v>
      </c>
      <c r="B81" t="s">
        <v>141</v>
      </c>
      <c r="C81" t="s">
        <v>41</v>
      </c>
      <c r="D81" t="str">
        <f>HYPERLINK("http://service.sap.com/sap/support/notes/1520791","1520791")</f>
        <v>1520791</v>
      </c>
      <c r="E81">
        <v>2</v>
      </c>
      <c r="F81" t="s">
        <v>150</v>
      </c>
    </row>
    <row r="82" spans="1:6" x14ac:dyDescent="0.25">
      <c r="A82" t="s">
        <v>553</v>
      </c>
      <c r="B82" t="s">
        <v>141</v>
      </c>
      <c r="C82" t="s">
        <v>41</v>
      </c>
      <c r="D82" t="str">
        <f>HYPERLINK("http://service.sap.com/sap/support/notes/1520946","1520946")</f>
        <v>1520946</v>
      </c>
      <c r="E82">
        <v>1</v>
      </c>
      <c r="F82" t="s">
        <v>151</v>
      </c>
    </row>
    <row r="83" spans="1:6" x14ac:dyDescent="0.25">
      <c r="A83" t="s">
        <v>553</v>
      </c>
      <c r="B83" t="s">
        <v>152</v>
      </c>
      <c r="C83" t="s">
        <v>153</v>
      </c>
      <c r="D83" t="str">
        <f>HYPERLINK("http://service.sap.com/sap/support/notes/1320912","1320912")</f>
        <v>1320912</v>
      </c>
      <c r="E83">
        <v>2</v>
      </c>
      <c r="F83" t="s">
        <v>154</v>
      </c>
    </row>
    <row r="84" spans="1:6" x14ac:dyDescent="0.25">
      <c r="A84" t="s">
        <v>553</v>
      </c>
      <c r="B84" t="s">
        <v>155</v>
      </c>
      <c r="C84" t="s">
        <v>156</v>
      </c>
      <c r="D84" t="str">
        <f>HYPERLINK("http://service.sap.com/sap/support/notes/815445","815445")</f>
        <v>815445</v>
      </c>
      <c r="E84">
        <v>1</v>
      </c>
      <c r="F84" t="s">
        <v>157</v>
      </c>
    </row>
    <row r="85" spans="1:6" x14ac:dyDescent="0.25">
      <c r="A85" t="s">
        <v>553</v>
      </c>
      <c r="B85" t="s">
        <v>155</v>
      </c>
      <c r="C85" t="s">
        <v>156</v>
      </c>
      <c r="D85" t="str">
        <f>HYPERLINK("http://service.sap.com/sap/support/notes/1397788","1397788")</f>
        <v>1397788</v>
      </c>
      <c r="E85">
        <v>1</v>
      </c>
      <c r="F85" t="s">
        <v>158</v>
      </c>
    </row>
    <row r="86" spans="1:6" x14ac:dyDescent="0.25">
      <c r="A86" t="s">
        <v>553</v>
      </c>
      <c r="B86" t="s">
        <v>155</v>
      </c>
      <c r="C86" t="s">
        <v>156</v>
      </c>
      <c r="D86" t="str">
        <f>HYPERLINK("http://service.sap.com/sap/support/notes/1468028","1468028")</f>
        <v>1468028</v>
      </c>
      <c r="E86">
        <v>2</v>
      </c>
      <c r="F86" t="s">
        <v>159</v>
      </c>
    </row>
    <row r="87" spans="1:6" x14ac:dyDescent="0.25">
      <c r="A87" t="s">
        <v>553</v>
      </c>
      <c r="B87" t="s">
        <v>155</v>
      </c>
      <c r="C87" t="s">
        <v>156</v>
      </c>
      <c r="D87" t="str">
        <f>HYPERLINK("http://service.sap.com/sap/support/notes/1471927","1471927")</f>
        <v>1471927</v>
      </c>
      <c r="E87">
        <v>2</v>
      </c>
      <c r="F87" t="s">
        <v>160</v>
      </c>
    </row>
    <row r="88" spans="1:6" x14ac:dyDescent="0.25">
      <c r="A88" t="s">
        <v>553</v>
      </c>
      <c r="B88" t="s">
        <v>155</v>
      </c>
      <c r="C88" t="s">
        <v>156</v>
      </c>
      <c r="D88" t="str">
        <f>HYPERLINK("http://service.sap.com/sap/support/notes/1474010","1474010")</f>
        <v>1474010</v>
      </c>
      <c r="E88">
        <v>2</v>
      </c>
      <c r="F88" t="s">
        <v>161</v>
      </c>
    </row>
    <row r="89" spans="1:6" x14ac:dyDescent="0.25">
      <c r="A89" t="s">
        <v>553</v>
      </c>
      <c r="B89" t="s">
        <v>155</v>
      </c>
      <c r="C89" t="s">
        <v>156</v>
      </c>
      <c r="D89" t="str">
        <f>HYPERLINK("http://service.sap.com/sap/support/notes/1481155","1481155")</f>
        <v>1481155</v>
      </c>
      <c r="E89">
        <v>2</v>
      </c>
      <c r="F89" t="s">
        <v>162</v>
      </c>
    </row>
    <row r="90" spans="1:6" x14ac:dyDescent="0.25">
      <c r="A90" t="s">
        <v>553</v>
      </c>
      <c r="B90" t="s">
        <v>155</v>
      </c>
      <c r="C90" t="s">
        <v>156</v>
      </c>
      <c r="D90" t="str">
        <f>HYPERLINK("http://service.sap.com/sap/support/notes/1499476","1499476")</f>
        <v>1499476</v>
      </c>
      <c r="E90">
        <v>1</v>
      </c>
      <c r="F90" t="s">
        <v>163</v>
      </c>
    </row>
    <row r="91" spans="1:6" x14ac:dyDescent="0.25">
      <c r="A91" t="s">
        <v>553</v>
      </c>
      <c r="B91" t="s">
        <v>155</v>
      </c>
      <c r="C91" t="s">
        <v>156</v>
      </c>
      <c r="D91" t="str">
        <f>HYPERLINK("http://service.sap.com/sap/support/notes/1511479","1511479")</f>
        <v>1511479</v>
      </c>
      <c r="E91">
        <v>1</v>
      </c>
      <c r="F91" t="s">
        <v>164</v>
      </c>
    </row>
    <row r="92" spans="1:6" x14ac:dyDescent="0.25">
      <c r="A92" t="s">
        <v>553</v>
      </c>
      <c r="B92" t="s">
        <v>155</v>
      </c>
      <c r="C92" t="s">
        <v>156</v>
      </c>
      <c r="D92" t="str">
        <f>HYPERLINK("http://service.sap.com/sap/support/notes/1511659","1511659")</f>
        <v>1511659</v>
      </c>
      <c r="E92">
        <v>1</v>
      </c>
      <c r="F92" t="s">
        <v>165</v>
      </c>
    </row>
    <row r="93" spans="1:6" x14ac:dyDescent="0.25">
      <c r="A93" t="s">
        <v>553</v>
      </c>
      <c r="B93" t="s">
        <v>155</v>
      </c>
      <c r="C93" t="s">
        <v>156</v>
      </c>
      <c r="D93" t="str">
        <f>HYPERLINK("http://service.sap.com/sap/support/notes/1512631","1512631")</f>
        <v>1512631</v>
      </c>
      <c r="E93">
        <v>1</v>
      </c>
      <c r="F93" t="s">
        <v>166</v>
      </c>
    </row>
    <row r="94" spans="1:6" x14ac:dyDescent="0.25">
      <c r="A94" t="s">
        <v>553</v>
      </c>
      <c r="B94" t="s">
        <v>155</v>
      </c>
      <c r="C94" t="s">
        <v>156</v>
      </c>
      <c r="D94" t="str">
        <f>HYPERLINK("http://service.sap.com/sap/support/notes/1518049","1518049")</f>
        <v>1518049</v>
      </c>
      <c r="E94">
        <v>1</v>
      </c>
      <c r="F94" t="s">
        <v>167</v>
      </c>
    </row>
    <row r="95" spans="1:6" x14ac:dyDescent="0.25">
      <c r="A95" t="s">
        <v>553</v>
      </c>
      <c r="B95" t="s">
        <v>168</v>
      </c>
      <c r="C95" t="s">
        <v>169</v>
      </c>
      <c r="D95" t="str">
        <f>HYPERLINK("http://service.sap.com/sap/support/notes/1478585","1478585")</f>
        <v>1478585</v>
      </c>
      <c r="E95">
        <v>2</v>
      </c>
      <c r="F95" t="s">
        <v>170</v>
      </c>
    </row>
    <row r="96" spans="1:6" x14ac:dyDescent="0.25">
      <c r="A96" t="s">
        <v>553</v>
      </c>
      <c r="B96" t="s">
        <v>171</v>
      </c>
      <c r="C96" t="s">
        <v>153</v>
      </c>
      <c r="D96" t="str">
        <f>HYPERLINK("http://service.sap.com/sap/support/notes/1520088","1520088")</f>
        <v>1520088</v>
      </c>
      <c r="E96">
        <v>1</v>
      </c>
      <c r="F96" t="s">
        <v>172</v>
      </c>
    </row>
    <row r="97" spans="1:6" x14ac:dyDescent="0.25">
      <c r="A97" t="s">
        <v>553</v>
      </c>
      <c r="B97" t="s">
        <v>173</v>
      </c>
      <c r="C97" t="s">
        <v>45</v>
      </c>
      <c r="D97" t="str">
        <f>HYPERLINK("http://service.sap.com/sap/support/notes/1502409","1502409")</f>
        <v>1502409</v>
      </c>
      <c r="E97">
        <v>1</v>
      </c>
      <c r="F97" t="s">
        <v>174</v>
      </c>
    </row>
    <row r="98" spans="1:6" x14ac:dyDescent="0.25">
      <c r="A98" t="s">
        <v>553</v>
      </c>
      <c r="B98" t="s">
        <v>173</v>
      </c>
      <c r="C98" t="s">
        <v>45</v>
      </c>
      <c r="D98" t="str">
        <f>HYPERLINK("http://service.sap.com/sap/support/notes/1508850","1508850")</f>
        <v>1508850</v>
      </c>
      <c r="E98">
        <v>3</v>
      </c>
      <c r="F98" t="s">
        <v>175</v>
      </c>
    </row>
    <row r="99" spans="1:6" x14ac:dyDescent="0.25">
      <c r="A99" t="s">
        <v>553</v>
      </c>
      <c r="B99" t="s">
        <v>173</v>
      </c>
      <c r="C99" t="s">
        <v>45</v>
      </c>
      <c r="D99" t="str">
        <f>HYPERLINK("http://service.sap.com/sap/support/notes/1512329","1512329")</f>
        <v>1512329</v>
      </c>
      <c r="E99">
        <v>3</v>
      </c>
      <c r="F99" t="s">
        <v>176</v>
      </c>
    </row>
    <row r="100" spans="1:6" x14ac:dyDescent="0.25">
      <c r="A100" t="s">
        <v>553</v>
      </c>
      <c r="B100" t="s">
        <v>173</v>
      </c>
      <c r="C100" t="s">
        <v>45</v>
      </c>
      <c r="D100" t="str">
        <f>HYPERLINK("http://service.sap.com/sap/support/notes/1512633","1512633")</f>
        <v>1512633</v>
      </c>
      <c r="E100">
        <v>2</v>
      </c>
      <c r="F100" t="s">
        <v>177</v>
      </c>
    </row>
    <row r="101" spans="1:6" x14ac:dyDescent="0.25">
      <c r="A101" t="s">
        <v>553</v>
      </c>
      <c r="B101" t="s">
        <v>173</v>
      </c>
      <c r="C101" t="s">
        <v>45</v>
      </c>
      <c r="D101" t="str">
        <f>HYPERLINK("http://service.sap.com/sap/support/notes/1513143","1513143")</f>
        <v>1513143</v>
      </c>
      <c r="E101">
        <v>5</v>
      </c>
      <c r="F101" t="s">
        <v>178</v>
      </c>
    </row>
    <row r="102" spans="1:6" x14ac:dyDescent="0.25">
      <c r="A102" t="s">
        <v>553</v>
      </c>
      <c r="B102" t="s">
        <v>173</v>
      </c>
      <c r="C102" t="s">
        <v>45</v>
      </c>
      <c r="D102" t="str">
        <f>HYPERLINK("http://service.sap.com/sap/support/notes/1513478","1513478")</f>
        <v>1513478</v>
      </c>
      <c r="E102">
        <v>4</v>
      </c>
      <c r="F102" t="s">
        <v>179</v>
      </c>
    </row>
    <row r="103" spans="1:6" x14ac:dyDescent="0.25">
      <c r="A103" t="s">
        <v>553</v>
      </c>
      <c r="B103" t="s">
        <v>173</v>
      </c>
      <c r="C103" t="s">
        <v>45</v>
      </c>
      <c r="D103" t="str">
        <f>HYPERLINK("http://service.sap.com/sap/support/notes/1514090","1514090")</f>
        <v>1514090</v>
      </c>
      <c r="E103">
        <v>5</v>
      </c>
      <c r="F103" t="s">
        <v>180</v>
      </c>
    </row>
    <row r="104" spans="1:6" x14ac:dyDescent="0.25">
      <c r="A104" t="s">
        <v>553</v>
      </c>
      <c r="B104" t="s">
        <v>173</v>
      </c>
      <c r="C104" t="s">
        <v>45</v>
      </c>
      <c r="D104" t="str">
        <f>HYPERLINK("http://service.sap.com/sap/support/notes/1514424","1514424")</f>
        <v>1514424</v>
      </c>
      <c r="E104">
        <v>1</v>
      </c>
      <c r="F104" t="s">
        <v>181</v>
      </c>
    </row>
    <row r="105" spans="1:6" x14ac:dyDescent="0.25">
      <c r="A105" t="s">
        <v>553</v>
      </c>
      <c r="B105" t="s">
        <v>173</v>
      </c>
      <c r="C105" t="s">
        <v>45</v>
      </c>
      <c r="D105" t="str">
        <f>HYPERLINK("http://service.sap.com/sap/support/notes/1515080","1515080")</f>
        <v>1515080</v>
      </c>
      <c r="E105">
        <v>1</v>
      </c>
      <c r="F105" t="s">
        <v>182</v>
      </c>
    </row>
    <row r="106" spans="1:6" x14ac:dyDescent="0.25">
      <c r="A106" t="s">
        <v>553</v>
      </c>
      <c r="B106" t="s">
        <v>173</v>
      </c>
      <c r="C106" t="s">
        <v>45</v>
      </c>
      <c r="D106" t="str">
        <f>HYPERLINK("http://service.sap.com/sap/support/notes/1515342","1515342")</f>
        <v>1515342</v>
      </c>
      <c r="E106">
        <v>3</v>
      </c>
      <c r="F106" t="s">
        <v>183</v>
      </c>
    </row>
    <row r="107" spans="1:6" x14ac:dyDescent="0.25">
      <c r="A107" t="s">
        <v>553</v>
      </c>
      <c r="B107" t="s">
        <v>173</v>
      </c>
      <c r="C107" t="s">
        <v>45</v>
      </c>
      <c r="D107" t="str">
        <f>HYPERLINK("http://service.sap.com/sap/support/notes/1516170","1516170")</f>
        <v>1516170</v>
      </c>
      <c r="E107">
        <v>2</v>
      </c>
      <c r="F107" t="s">
        <v>184</v>
      </c>
    </row>
    <row r="108" spans="1:6" x14ac:dyDescent="0.25">
      <c r="A108" t="s">
        <v>553</v>
      </c>
      <c r="B108" t="s">
        <v>173</v>
      </c>
      <c r="C108" t="s">
        <v>45</v>
      </c>
      <c r="D108" t="str">
        <f>HYPERLINK("http://service.sap.com/sap/support/notes/1520441","1520441")</f>
        <v>1520441</v>
      </c>
      <c r="E108">
        <v>2</v>
      </c>
      <c r="F108" t="s">
        <v>185</v>
      </c>
    </row>
    <row r="109" spans="1:6" x14ac:dyDescent="0.25">
      <c r="A109" t="s">
        <v>553</v>
      </c>
      <c r="B109" t="s">
        <v>173</v>
      </c>
      <c r="C109" t="s">
        <v>45</v>
      </c>
      <c r="D109" t="str">
        <f>HYPERLINK("http://service.sap.com/sap/support/notes/1520604","1520604")</f>
        <v>1520604</v>
      </c>
      <c r="E109">
        <v>2</v>
      </c>
      <c r="F109" t="s">
        <v>186</v>
      </c>
    </row>
    <row r="110" spans="1:6" x14ac:dyDescent="0.25">
      <c r="A110" t="s">
        <v>553</v>
      </c>
      <c r="B110" t="s">
        <v>173</v>
      </c>
      <c r="C110" t="s">
        <v>45</v>
      </c>
      <c r="D110" t="str">
        <f>HYPERLINK("http://service.sap.com/sap/support/notes/1521617","1521617")</f>
        <v>1521617</v>
      </c>
      <c r="E110">
        <v>2</v>
      </c>
      <c r="F110" t="s">
        <v>187</v>
      </c>
    </row>
    <row r="111" spans="1:6" x14ac:dyDescent="0.25">
      <c r="A111" t="s">
        <v>553</v>
      </c>
      <c r="B111" t="s">
        <v>173</v>
      </c>
      <c r="C111" t="s">
        <v>45</v>
      </c>
      <c r="D111" t="str">
        <f>HYPERLINK("http://service.sap.com/sap/support/notes/1522074","1522074")</f>
        <v>1522074</v>
      </c>
      <c r="E111">
        <v>1</v>
      </c>
      <c r="F111" t="s">
        <v>188</v>
      </c>
    </row>
    <row r="112" spans="1:6" x14ac:dyDescent="0.25">
      <c r="A112" t="s">
        <v>553</v>
      </c>
      <c r="B112" t="s">
        <v>189</v>
      </c>
      <c r="C112" t="s">
        <v>153</v>
      </c>
      <c r="D112" t="str">
        <f>HYPERLINK("http://service.sap.com/sap/support/notes/1246605","1246605")</f>
        <v>1246605</v>
      </c>
      <c r="E112">
        <v>1</v>
      </c>
      <c r="F112" t="s">
        <v>190</v>
      </c>
    </row>
    <row r="113" spans="1:6" x14ac:dyDescent="0.25">
      <c r="A113" t="s">
        <v>553</v>
      </c>
      <c r="B113" t="s">
        <v>191</v>
      </c>
      <c r="C113" t="s">
        <v>192</v>
      </c>
      <c r="D113" t="str">
        <f>HYPERLINK("http://service.sap.com/sap/support/notes/1060819","1060819")</f>
        <v>1060819</v>
      </c>
      <c r="F113" t="s">
        <v>193</v>
      </c>
    </row>
    <row r="114" spans="1:6" x14ac:dyDescent="0.25">
      <c r="A114" t="s">
        <v>553</v>
      </c>
      <c r="B114" t="s">
        <v>191</v>
      </c>
      <c r="C114" t="s">
        <v>192</v>
      </c>
      <c r="D114" t="str">
        <f>HYPERLINK("http://service.sap.com/sap/support/notes/1494788","1494788")</f>
        <v>1494788</v>
      </c>
      <c r="F114" t="s">
        <v>194</v>
      </c>
    </row>
    <row r="115" spans="1:6" x14ac:dyDescent="0.25">
      <c r="A115" t="s">
        <v>553</v>
      </c>
      <c r="B115" t="s">
        <v>191</v>
      </c>
      <c r="C115" t="s">
        <v>192</v>
      </c>
      <c r="D115" t="str">
        <f>HYPERLINK("http://service.sap.com/sap/support/notes/1501798","1501798")</f>
        <v>1501798</v>
      </c>
      <c r="F115" t="s">
        <v>195</v>
      </c>
    </row>
    <row r="116" spans="1:6" x14ac:dyDescent="0.25">
      <c r="A116" t="s">
        <v>553</v>
      </c>
      <c r="B116" t="s">
        <v>191</v>
      </c>
      <c r="C116" t="s">
        <v>192</v>
      </c>
      <c r="D116" t="str">
        <f>HYPERLINK("http://service.sap.com/sap/support/notes/1501824","1501824")</f>
        <v>1501824</v>
      </c>
      <c r="F116" t="s">
        <v>196</v>
      </c>
    </row>
    <row r="117" spans="1:6" x14ac:dyDescent="0.25">
      <c r="A117" t="s">
        <v>553</v>
      </c>
      <c r="B117" t="s">
        <v>191</v>
      </c>
      <c r="C117" t="s">
        <v>192</v>
      </c>
      <c r="D117" t="str">
        <f>HYPERLINK("http://service.sap.com/sap/support/notes/1506070","1506070")</f>
        <v>1506070</v>
      </c>
      <c r="F117" t="s">
        <v>197</v>
      </c>
    </row>
    <row r="118" spans="1:6" x14ac:dyDescent="0.25">
      <c r="A118" t="s">
        <v>553</v>
      </c>
      <c r="B118" t="s">
        <v>191</v>
      </c>
      <c r="C118" t="s">
        <v>192</v>
      </c>
      <c r="D118" t="str">
        <f>HYPERLINK("http://service.sap.com/sap/support/notes/1511435","1511435")</f>
        <v>1511435</v>
      </c>
      <c r="F118" t="s">
        <v>198</v>
      </c>
    </row>
    <row r="119" spans="1:6" x14ac:dyDescent="0.25">
      <c r="A119" t="s">
        <v>553</v>
      </c>
      <c r="B119" t="s">
        <v>191</v>
      </c>
      <c r="C119" t="s">
        <v>192</v>
      </c>
      <c r="D119" t="str">
        <f>HYPERLINK("http://service.sap.com/sap/support/notes/1512662","1512662")</f>
        <v>1512662</v>
      </c>
      <c r="F119" t="s">
        <v>199</v>
      </c>
    </row>
    <row r="120" spans="1:6" x14ac:dyDescent="0.25">
      <c r="A120" t="s">
        <v>553</v>
      </c>
      <c r="B120" t="s">
        <v>191</v>
      </c>
      <c r="C120" t="s">
        <v>192</v>
      </c>
      <c r="D120" t="str">
        <f>HYPERLINK("http://service.sap.com/sap/support/notes/1513636","1513636")</f>
        <v>1513636</v>
      </c>
      <c r="F120" t="s">
        <v>200</v>
      </c>
    </row>
    <row r="121" spans="1:6" x14ac:dyDescent="0.25">
      <c r="A121" t="s">
        <v>553</v>
      </c>
      <c r="B121" t="s">
        <v>201</v>
      </c>
      <c r="C121" t="s">
        <v>202</v>
      </c>
      <c r="D121" t="str">
        <f>HYPERLINK("http://service.sap.com/sap/support/notes/612934","612934")</f>
        <v>612934</v>
      </c>
      <c r="F121" t="s">
        <v>203</v>
      </c>
    </row>
    <row r="122" spans="1:6" x14ac:dyDescent="0.25">
      <c r="A122" t="s">
        <v>553</v>
      </c>
      <c r="B122" t="s">
        <v>201</v>
      </c>
      <c r="C122" t="s">
        <v>202</v>
      </c>
      <c r="D122" t="str">
        <f>HYPERLINK("http://service.sap.com/sap/support/notes/1505891","1505891")</f>
        <v>1505891</v>
      </c>
      <c r="F122" t="s">
        <v>204</v>
      </c>
    </row>
    <row r="123" spans="1:6" x14ac:dyDescent="0.25">
      <c r="A123" t="s">
        <v>553</v>
      </c>
      <c r="B123" t="s">
        <v>201</v>
      </c>
      <c r="C123" t="s">
        <v>202</v>
      </c>
      <c r="D123" t="str">
        <f>HYPERLINK("http://service.sap.com/sap/support/notes/1515882","1515882")</f>
        <v>1515882</v>
      </c>
      <c r="F123" t="s">
        <v>205</v>
      </c>
    </row>
    <row r="124" spans="1:6" x14ac:dyDescent="0.25">
      <c r="A124" t="s">
        <v>553</v>
      </c>
      <c r="B124" t="s">
        <v>201</v>
      </c>
      <c r="C124" t="s">
        <v>202</v>
      </c>
      <c r="D124" t="str">
        <f>HYPERLINK("http://service.sap.com/sap/support/notes/1520636","1520636")</f>
        <v>1520636</v>
      </c>
      <c r="F124" t="s">
        <v>206</v>
      </c>
    </row>
    <row r="125" spans="1:6" x14ac:dyDescent="0.25">
      <c r="A125" t="s">
        <v>553</v>
      </c>
      <c r="B125" t="s">
        <v>207</v>
      </c>
      <c r="C125" t="s">
        <v>208</v>
      </c>
      <c r="D125" t="str">
        <f>HYPERLINK("http://service.sap.com/sap/support/notes/1513007","1513007")</f>
        <v>1513007</v>
      </c>
      <c r="E125">
        <v>1</v>
      </c>
      <c r="F125" t="s">
        <v>209</v>
      </c>
    </row>
    <row r="126" spans="1:6" x14ac:dyDescent="0.25">
      <c r="A126" t="s">
        <v>553</v>
      </c>
      <c r="B126" t="s">
        <v>207</v>
      </c>
      <c r="C126" t="s">
        <v>208</v>
      </c>
      <c r="D126" t="str">
        <f>HYPERLINK("http://service.sap.com/sap/support/notes/1517443","1517443")</f>
        <v>1517443</v>
      </c>
      <c r="E126">
        <v>1</v>
      </c>
      <c r="F126" t="s">
        <v>210</v>
      </c>
    </row>
    <row r="127" spans="1:6" x14ac:dyDescent="0.25">
      <c r="A127" t="s">
        <v>553</v>
      </c>
      <c r="B127" t="s">
        <v>207</v>
      </c>
      <c r="C127" t="s">
        <v>208</v>
      </c>
      <c r="D127" t="str">
        <f>HYPERLINK("http://service.sap.com/sap/support/notes/1517445","1517445")</f>
        <v>1517445</v>
      </c>
      <c r="E127">
        <v>4</v>
      </c>
      <c r="F127" t="s">
        <v>211</v>
      </c>
    </row>
    <row r="128" spans="1:6" x14ac:dyDescent="0.25">
      <c r="A128" t="s">
        <v>553</v>
      </c>
      <c r="B128" t="s">
        <v>207</v>
      </c>
      <c r="C128" t="s">
        <v>208</v>
      </c>
      <c r="D128" t="str">
        <f>HYPERLINK("http://service.sap.com/sap/support/notes/1521326","1521326")</f>
        <v>1521326</v>
      </c>
      <c r="E128">
        <v>1</v>
      </c>
      <c r="F128" t="s">
        <v>212</v>
      </c>
    </row>
    <row r="129" spans="1:6" x14ac:dyDescent="0.25">
      <c r="A129" t="s">
        <v>553</v>
      </c>
      <c r="B129" t="s">
        <v>213</v>
      </c>
      <c r="C129" t="s">
        <v>214</v>
      </c>
      <c r="D129" t="str">
        <f>HYPERLINK("http://service.sap.com/sap/support/notes/1490500","1490500")</f>
        <v>1490500</v>
      </c>
      <c r="E129">
        <v>5</v>
      </c>
      <c r="F129" t="s">
        <v>215</v>
      </c>
    </row>
    <row r="130" spans="1:6" x14ac:dyDescent="0.25">
      <c r="A130" t="s">
        <v>553</v>
      </c>
      <c r="B130" t="s">
        <v>213</v>
      </c>
      <c r="C130" t="s">
        <v>214</v>
      </c>
      <c r="D130" t="str">
        <f>HYPERLINK("http://service.sap.com/sap/support/notes/1503163","1503163")</f>
        <v>1503163</v>
      </c>
      <c r="E130">
        <v>2</v>
      </c>
      <c r="F130" t="s">
        <v>216</v>
      </c>
    </row>
    <row r="131" spans="1:6" x14ac:dyDescent="0.25">
      <c r="A131" t="s">
        <v>553</v>
      </c>
      <c r="B131" t="s">
        <v>213</v>
      </c>
      <c r="C131" t="s">
        <v>214</v>
      </c>
      <c r="D131" t="str">
        <f>HYPERLINK("http://service.sap.com/sap/support/notes/1504711","1504711")</f>
        <v>1504711</v>
      </c>
      <c r="E131">
        <v>3</v>
      </c>
      <c r="F131" t="s">
        <v>217</v>
      </c>
    </row>
    <row r="132" spans="1:6" x14ac:dyDescent="0.25">
      <c r="A132" t="s">
        <v>553</v>
      </c>
      <c r="B132" t="s">
        <v>213</v>
      </c>
      <c r="C132" t="s">
        <v>214</v>
      </c>
      <c r="D132" t="str">
        <f>HYPERLINK("http://service.sap.com/sap/support/notes/1507036","1507036")</f>
        <v>1507036</v>
      </c>
      <c r="E132">
        <v>3</v>
      </c>
      <c r="F132" t="s">
        <v>218</v>
      </c>
    </row>
    <row r="133" spans="1:6" x14ac:dyDescent="0.25">
      <c r="A133" t="s">
        <v>553</v>
      </c>
      <c r="B133" t="s">
        <v>213</v>
      </c>
      <c r="C133" t="s">
        <v>214</v>
      </c>
      <c r="D133" t="str">
        <f>HYPERLINK("http://service.sap.com/sap/support/notes/1508164","1508164")</f>
        <v>1508164</v>
      </c>
      <c r="E133">
        <v>2</v>
      </c>
      <c r="F133" t="s">
        <v>219</v>
      </c>
    </row>
    <row r="134" spans="1:6" x14ac:dyDescent="0.25">
      <c r="A134" t="s">
        <v>553</v>
      </c>
      <c r="B134" t="s">
        <v>213</v>
      </c>
      <c r="C134" t="s">
        <v>214</v>
      </c>
      <c r="D134" t="str">
        <f>HYPERLINK("http://service.sap.com/sap/support/notes/1510848","1510848")</f>
        <v>1510848</v>
      </c>
      <c r="E134">
        <v>1</v>
      </c>
      <c r="F134" t="s">
        <v>220</v>
      </c>
    </row>
    <row r="135" spans="1:6" x14ac:dyDescent="0.25">
      <c r="A135" t="s">
        <v>553</v>
      </c>
      <c r="B135" t="s">
        <v>213</v>
      </c>
      <c r="C135" t="s">
        <v>214</v>
      </c>
      <c r="D135" t="str">
        <f>HYPERLINK("http://service.sap.com/sap/support/notes/1512102","1512102")</f>
        <v>1512102</v>
      </c>
      <c r="E135">
        <v>2</v>
      </c>
      <c r="F135" t="s">
        <v>221</v>
      </c>
    </row>
    <row r="136" spans="1:6" x14ac:dyDescent="0.25">
      <c r="A136" t="s">
        <v>553</v>
      </c>
      <c r="B136" t="s">
        <v>213</v>
      </c>
      <c r="C136" t="s">
        <v>214</v>
      </c>
      <c r="D136" t="str">
        <f>HYPERLINK("http://service.sap.com/sap/support/notes/1516923","1516923")</f>
        <v>1516923</v>
      </c>
      <c r="E136">
        <v>2</v>
      </c>
      <c r="F136" t="s">
        <v>222</v>
      </c>
    </row>
    <row r="137" spans="1:6" x14ac:dyDescent="0.25">
      <c r="A137" t="s">
        <v>553</v>
      </c>
      <c r="B137" t="s">
        <v>223</v>
      </c>
      <c r="C137" t="s">
        <v>49</v>
      </c>
      <c r="D137" t="str">
        <f>HYPERLINK("http://service.sap.com/sap/support/notes/1503354","1503354")</f>
        <v>1503354</v>
      </c>
      <c r="E137">
        <v>1</v>
      </c>
      <c r="F137" t="s">
        <v>224</v>
      </c>
    </row>
    <row r="138" spans="1:6" x14ac:dyDescent="0.25">
      <c r="A138" t="s">
        <v>553</v>
      </c>
      <c r="B138" t="s">
        <v>223</v>
      </c>
      <c r="C138" t="s">
        <v>49</v>
      </c>
      <c r="D138" t="str">
        <f>HYPERLINK("http://service.sap.com/sap/support/notes/1508181","1508181")</f>
        <v>1508181</v>
      </c>
      <c r="E138">
        <v>2</v>
      </c>
      <c r="F138" t="s">
        <v>225</v>
      </c>
    </row>
    <row r="139" spans="1:6" x14ac:dyDescent="0.25">
      <c r="A139" t="s">
        <v>553</v>
      </c>
      <c r="B139" t="s">
        <v>226</v>
      </c>
      <c r="C139" t="s">
        <v>52</v>
      </c>
    </row>
    <row r="140" spans="1:6" x14ac:dyDescent="0.25">
      <c r="A140" t="s">
        <v>553</v>
      </c>
      <c r="B140" t="s">
        <v>227</v>
      </c>
      <c r="C140" t="s">
        <v>228</v>
      </c>
      <c r="D140" t="str">
        <f>HYPERLINK("http://service.sap.com/sap/support/notes/1511092","1511092")</f>
        <v>1511092</v>
      </c>
      <c r="E140">
        <v>2</v>
      </c>
      <c r="F140" t="s">
        <v>229</v>
      </c>
    </row>
    <row r="141" spans="1:6" x14ac:dyDescent="0.25">
      <c r="A141" t="s">
        <v>553</v>
      </c>
      <c r="B141" t="s">
        <v>227</v>
      </c>
      <c r="C141" t="s">
        <v>228</v>
      </c>
      <c r="D141" t="str">
        <f>HYPERLINK("http://service.sap.com/sap/support/notes/1520384","1520384")</f>
        <v>1520384</v>
      </c>
      <c r="E141">
        <v>1</v>
      </c>
      <c r="F141" t="s">
        <v>230</v>
      </c>
    </row>
    <row r="142" spans="1:6" x14ac:dyDescent="0.25">
      <c r="A142" t="s">
        <v>553</v>
      </c>
      <c r="B142" t="s">
        <v>227</v>
      </c>
      <c r="C142" t="s">
        <v>228</v>
      </c>
      <c r="D142" t="str">
        <f>HYPERLINK("http://service.sap.com/sap/support/notes/1521728","1521728")</f>
        <v>1521728</v>
      </c>
      <c r="E142">
        <v>1</v>
      </c>
      <c r="F142" t="s">
        <v>231</v>
      </c>
    </row>
    <row r="143" spans="1:6" x14ac:dyDescent="0.25">
      <c r="A143" t="s">
        <v>553</v>
      </c>
      <c r="B143" t="s">
        <v>232</v>
      </c>
      <c r="C143" t="s">
        <v>233</v>
      </c>
      <c r="D143" t="str">
        <f>HYPERLINK("http://service.sap.com/sap/support/notes/1504158","1504158")</f>
        <v>1504158</v>
      </c>
      <c r="E143">
        <v>1</v>
      </c>
      <c r="F143" t="s">
        <v>234</v>
      </c>
    </row>
    <row r="144" spans="1:6" x14ac:dyDescent="0.25">
      <c r="A144" t="s">
        <v>553</v>
      </c>
      <c r="B144" t="s">
        <v>235</v>
      </c>
      <c r="C144" t="s">
        <v>236</v>
      </c>
    </row>
    <row r="145" spans="1:6" x14ac:dyDescent="0.25">
      <c r="A145" t="s">
        <v>553</v>
      </c>
      <c r="B145" t="s">
        <v>237</v>
      </c>
      <c r="C145" t="s">
        <v>238</v>
      </c>
      <c r="D145" t="str">
        <f>HYPERLINK("http://service.sap.com/sap/support/notes/1516029","1516029")</f>
        <v>1516029</v>
      </c>
      <c r="E145">
        <v>2</v>
      </c>
      <c r="F145" t="s">
        <v>239</v>
      </c>
    </row>
    <row r="146" spans="1:6" x14ac:dyDescent="0.25">
      <c r="A146" t="s">
        <v>553</v>
      </c>
      <c r="B146" t="s">
        <v>237</v>
      </c>
      <c r="C146" t="s">
        <v>238</v>
      </c>
      <c r="D146" t="str">
        <f>HYPERLINK("http://service.sap.com/sap/support/notes/1520329","1520329")</f>
        <v>1520329</v>
      </c>
      <c r="E146">
        <v>1</v>
      </c>
      <c r="F146" t="s">
        <v>240</v>
      </c>
    </row>
    <row r="147" spans="1:6" x14ac:dyDescent="0.25">
      <c r="A147" t="s">
        <v>553</v>
      </c>
      <c r="B147" t="s">
        <v>237</v>
      </c>
      <c r="C147" t="s">
        <v>238</v>
      </c>
      <c r="D147" t="str">
        <f>HYPERLINK("http://service.sap.com/sap/support/notes/1521626","1521626")</f>
        <v>1521626</v>
      </c>
      <c r="E147">
        <v>1</v>
      </c>
      <c r="F147" t="s">
        <v>241</v>
      </c>
    </row>
    <row r="148" spans="1:6" x14ac:dyDescent="0.25">
      <c r="A148" t="s">
        <v>553</v>
      </c>
      <c r="B148" t="s">
        <v>242</v>
      </c>
      <c r="C148" t="s">
        <v>243</v>
      </c>
      <c r="D148" t="str">
        <f>HYPERLINK("http://service.sap.com/sap/support/notes/1512655","1512655")</f>
        <v>1512655</v>
      </c>
      <c r="E148">
        <v>1</v>
      </c>
      <c r="F148" t="s">
        <v>244</v>
      </c>
    </row>
    <row r="149" spans="1:6" x14ac:dyDescent="0.25">
      <c r="A149" t="s">
        <v>553</v>
      </c>
      <c r="B149" t="s">
        <v>242</v>
      </c>
      <c r="C149" t="s">
        <v>243</v>
      </c>
      <c r="D149" t="str">
        <f>HYPERLINK("http://service.sap.com/sap/support/notes/1516864","1516864")</f>
        <v>1516864</v>
      </c>
      <c r="E149">
        <v>1</v>
      </c>
      <c r="F149" t="s">
        <v>245</v>
      </c>
    </row>
    <row r="150" spans="1:6" x14ac:dyDescent="0.25">
      <c r="A150" t="s">
        <v>553</v>
      </c>
      <c r="B150" t="s">
        <v>246</v>
      </c>
      <c r="C150" t="s">
        <v>247</v>
      </c>
      <c r="D150" t="str">
        <f>HYPERLINK("http://service.sap.com/sap/support/notes/1519417","1519417")</f>
        <v>1519417</v>
      </c>
      <c r="E150">
        <v>1</v>
      </c>
      <c r="F150" t="s">
        <v>248</v>
      </c>
    </row>
    <row r="151" spans="1:6" x14ac:dyDescent="0.25">
      <c r="A151" t="s">
        <v>553</v>
      </c>
      <c r="B151" t="s">
        <v>246</v>
      </c>
      <c r="C151" t="s">
        <v>247</v>
      </c>
      <c r="D151" t="str">
        <f>HYPERLINK("http://service.sap.com/sap/support/notes/1521265","1521265")</f>
        <v>1521265</v>
      </c>
      <c r="E151">
        <v>1</v>
      </c>
      <c r="F151" t="s">
        <v>249</v>
      </c>
    </row>
    <row r="152" spans="1:6" x14ac:dyDescent="0.25">
      <c r="A152" t="s">
        <v>553</v>
      </c>
      <c r="B152" t="s">
        <v>250</v>
      </c>
      <c r="C152" t="s">
        <v>251</v>
      </c>
    </row>
    <row r="153" spans="1:6" x14ac:dyDescent="0.25">
      <c r="A153" t="s">
        <v>553</v>
      </c>
      <c r="B153" t="s">
        <v>252</v>
      </c>
      <c r="C153" t="s">
        <v>253</v>
      </c>
      <c r="D153" t="str">
        <f>HYPERLINK("http://service.sap.com/sap/support/notes/1456267","1456267")</f>
        <v>1456267</v>
      </c>
      <c r="E153">
        <v>1</v>
      </c>
      <c r="F153" t="s">
        <v>254</v>
      </c>
    </row>
    <row r="154" spans="1:6" x14ac:dyDescent="0.25">
      <c r="A154" t="s">
        <v>553</v>
      </c>
      <c r="B154" t="s">
        <v>255</v>
      </c>
      <c r="C154" t="s">
        <v>256</v>
      </c>
      <c r="D154" t="str">
        <f>HYPERLINK("http://service.sap.com/sap/support/notes/1495457","1495457")</f>
        <v>1495457</v>
      </c>
      <c r="E154">
        <v>2</v>
      </c>
      <c r="F154" t="s">
        <v>257</v>
      </c>
    </row>
    <row r="155" spans="1:6" x14ac:dyDescent="0.25">
      <c r="A155" t="s">
        <v>553</v>
      </c>
      <c r="B155" t="s">
        <v>258</v>
      </c>
      <c r="C155" t="s">
        <v>259</v>
      </c>
      <c r="D155" t="str">
        <f>HYPERLINK("http://service.sap.com/sap/support/notes/1497648","1497648")</f>
        <v>1497648</v>
      </c>
      <c r="E155">
        <v>2</v>
      </c>
      <c r="F155" t="s">
        <v>260</v>
      </c>
    </row>
    <row r="156" spans="1:6" x14ac:dyDescent="0.25">
      <c r="A156" t="s">
        <v>553</v>
      </c>
      <c r="B156" t="s">
        <v>258</v>
      </c>
      <c r="C156" t="s">
        <v>259</v>
      </c>
      <c r="D156" t="str">
        <f>HYPERLINK("http://service.sap.com/sap/support/notes/1503995","1503995")</f>
        <v>1503995</v>
      </c>
      <c r="E156">
        <v>1</v>
      </c>
      <c r="F156" t="s">
        <v>261</v>
      </c>
    </row>
    <row r="157" spans="1:6" x14ac:dyDescent="0.25">
      <c r="A157" t="s">
        <v>553</v>
      </c>
      <c r="B157" t="s">
        <v>258</v>
      </c>
      <c r="C157" t="s">
        <v>259</v>
      </c>
      <c r="D157" t="str">
        <f>HYPERLINK("http://service.sap.com/sap/support/notes/1513740","1513740")</f>
        <v>1513740</v>
      </c>
      <c r="E157">
        <v>1</v>
      </c>
      <c r="F157" t="s">
        <v>262</v>
      </c>
    </row>
    <row r="158" spans="1:6" x14ac:dyDescent="0.25">
      <c r="A158" t="s">
        <v>553</v>
      </c>
      <c r="B158" t="s">
        <v>258</v>
      </c>
      <c r="C158" t="s">
        <v>259</v>
      </c>
      <c r="D158" t="str">
        <f>HYPERLINK("http://service.sap.com/sap/support/notes/1516888","1516888")</f>
        <v>1516888</v>
      </c>
      <c r="E158">
        <v>1</v>
      </c>
      <c r="F158" t="s">
        <v>263</v>
      </c>
    </row>
    <row r="159" spans="1:6" x14ac:dyDescent="0.25">
      <c r="A159" t="s">
        <v>553</v>
      </c>
      <c r="B159" t="s">
        <v>264</v>
      </c>
      <c r="C159" t="s">
        <v>265</v>
      </c>
      <c r="D159" t="str">
        <f>HYPERLINK("http://service.sap.com/sap/support/notes/1507590","1507590")</f>
        <v>1507590</v>
      </c>
      <c r="E159">
        <v>4</v>
      </c>
      <c r="F159" t="s">
        <v>266</v>
      </c>
    </row>
    <row r="160" spans="1:6" x14ac:dyDescent="0.25">
      <c r="A160" t="s">
        <v>553</v>
      </c>
      <c r="B160" t="s">
        <v>264</v>
      </c>
      <c r="C160" t="s">
        <v>265</v>
      </c>
      <c r="D160" t="str">
        <f>HYPERLINK("http://service.sap.com/sap/support/notes/1512873","1512873")</f>
        <v>1512873</v>
      </c>
      <c r="E160">
        <v>1</v>
      </c>
      <c r="F160" t="s">
        <v>267</v>
      </c>
    </row>
    <row r="161" spans="1:6" x14ac:dyDescent="0.25">
      <c r="A161" t="s">
        <v>553</v>
      </c>
      <c r="B161" t="s">
        <v>264</v>
      </c>
      <c r="C161" t="s">
        <v>265</v>
      </c>
      <c r="D161" t="str">
        <f>HYPERLINK("http://service.sap.com/sap/support/notes/1513118","1513118")</f>
        <v>1513118</v>
      </c>
      <c r="E161">
        <v>2</v>
      </c>
      <c r="F161" t="s">
        <v>268</v>
      </c>
    </row>
    <row r="162" spans="1:6" x14ac:dyDescent="0.25">
      <c r="A162" t="s">
        <v>553</v>
      </c>
      <c r="B162" t="s">
        <v>264</v>
      </c>
      <c r="C162" t="s">
        <v>265</v>
      </c>
      <c r="D162" t="str">
        <f>HYPERLINK("http://service.sap.com/sap/support/notes/1513553","1513553")</f>
        <v>1513553</v>
      </c>
      <c r="E162">
        <v>1</v>
      </c>
      <c r="F162" t="s">
        <v>269</v>
      </c>
    </row>
    <row r="163" spans="1:6" x14ac:dyDescent="0.25">
      <c r="A163" t="s">
        <v>553</v>
      </c>
      <c r="B163" t="s">
        <v>264</v>
      </c>
      <c r="C163" t="s">
        <v>265</v>
      </c>
      <c r="D163" t="str">
        <f>HYPERLINK("http://service.sap.com/sap/support/notes/1513562","1513562")</f>
        <v>1513562</v>
      </c>
      <c r="E163">
        <v>1</v>
      </c>
      <c r="F163" t="s">
        <v>270</v>
      </c>
    </row>
    <row r="164" spans="1:6" x14ac:dyDescent="0.25">
      <c r="A164" t="s">
        <v>553</v>
      </c>
      <c r="B164" t="s">
        <v>264</v>
      </c>
      <c r="C164" t="s">
        <v>265</v>
      </c>
      <c r="D164" t="str">
        <f>HYPERLINK("http://service.sap.com/sap/support/notes/1518146","1518146")</f>
        <v>1518146</v>
      </c>
      <c r="E164">
        <v>1</v>
      </c>
      <c r="F164" t="s">
        <v>271</v>
      </c>
    </row>
    <row r="165" spans="1:6" x14ac:dyDescent="0.25">
      <c r="A165" t="s">
        <v>553</v>
      </c>
      <c r="B165" t="s">
        <v>264</v>
      </c>
      <c r="C165" t="s">
        <v>265</v>
      </c>
      <c r="D165" t="str">
        <f>HYPERLINK("http://service.sap.com/sap/support/notes/1519224","1519224")</f>
        <v>1519224</v>
      </c>
      <c r="E165">
        <v>1</v>
      </c>
      <c r="F165" t="s">
        <v>272</v>
      </c>
    </row>
    <row r="166" spans="1:6" x14ac:dyDescent="0.25">
      <c r="A166" t="s">
        <v>553</v>
      </c>
      <c r="B166" t="s">
        <v>273</v>
      </c>
      <c r="C166" t="s">
        <v>153</v>
      </c>
      <c r="D166" t="str">
        <f>HYPERLINK("http://service.sap.com/sap/support/notes/1438157","1438157")</f>
        <v>1438157</v>
      </c>
      <c r="E166">
        <v>1</v>
      </c>
      <c r="F166" t="s">
        <v>274</v>
      </c>
    </row>
    <row r="167" spans="1:6" x14ac:dyDescent="0.25">
      <c r="A167" t="s">
        <v>553</v>
      </c>
      <c r="B167" t="s">
        <v>273</v>
      </c>
      <c r="C167" t="s">
        <v>153</v>
      </c>
      <c r="D167" t="str">
        <f>HYPERLINK("http://service.sap.com/sap/support/notes/1498228","1498228")</f>
        <v>1498228</v>
      </c>
      <c r="E167">
        <v>1</v>
      </c>
      <c r="F167" t="s">
        <v>275</v>
      </c>
    </row>
    <row r="168" spans="1:6" x14ac:dyDescent="0.25">
      <c r="A168" t="s">
        <v>553</v>
      </c>
      <c r="B168" t="s">
        <v>273</v>
      </c>
      <c r="C168" t="s">
        <v>153</v>
      </c>
      <c r="D168" t="str">
        <f>HYPERLINK("http://service.sap.com/sap/support/notes/1506405","1506405")</f>
        <v>1506405</v>
      </c>
      <c r="E168">
        <v>1</v>
      </c>
      <c r="F168" t="s">
        <v>276</v>
      </c>
    </row>
    <row r="169" spans="1:6" x14ac:dyDescent="0.25">
      <c r="A169" t="s">
        <v>553</v>
      </c>
      <c r="B169" t="s">
        <v>273</v>
      </c>
      <c r="C169" t="s">
        <v>153</v>
      </c>
      <c r="D169" t="str">
        <f>HYPERLINK("http://service.sap.com/sap/support/notes/1512393","1512393")</f>
        <v>1512393</v>
      </c>
      <c r="E169">
        <v>1</v>
      </c>
      <c r="F169" t="s">
        <v>277</v>
      </c>
    </row>
    <row r="170" spans="1:6" x14ac:dyDescent="0.25">
      <c r="A170" t="s">
        <v>553</v>
      </c>
      <c r="B170" t="s">
        <v>273</v>
      </c>
      <c r="C170" t="s">
        <v>153</v>
      </c>
      <c r="D170" t="str">
        <f>HYPERLINK("http://service.sap.com/sap/support/notes/1514734","1514734")</f>
        <v>1514734</v>
      </c>
      <c r="E170">
        <v>1</v>
      </c>
      <c r="F170" t="s">
        <v>278</v>
      </c>
    </row>
    <row r="171" spans="1:6" x14ac:dyDescent="0.25">
      <c r="A171" t="s">
        <v>553</v>
      </c>
      <c r="B171" t="s">
        <v>273</v>
      </c>
      <c r="C171" t="s">
        <v>153</v>
      </c>
      <c r="D171" t="str">
        <f>HYPERLINK("http://service.sap.com/sap/support/notes/1515863","1515863")</f>
        <v>1515863</v>
      </c>
      <c r="E171">
        <v>1</v>
      </c>
      <c r="F171" t="s">
        <v>279</v>
      </c>
    </row>
    <row r="172" spans="1:6" x14ac:dyDescent="0.25">
      <c r="A172" t="s">
        <v>553</v>
      </c>
      <c r="B172" t="s">
        <v>273</v>
      </c>
      <c r="C172" t="s">
        <v>153</v>
      </c>
      <c r="D172" t="str">
        <f>HYPERLINK("http://service.sap.com/sap/support/notes/1516897","1516897")</f>
        <v>1516897</v>
      </c>
      <c r="E172">
        <v>1</v>
      </c>
      <c r="F172" t="s">
        <v>280</v>
      </c>
    </row>
    <row r="173" spans="1:6" x14ac:dyDescent="0.25">
      <c r="A173" t="s">
        <v>553</v>
      </c>
      <c r="B173" t="s">
        <v>281</v>
      </c>
      <c r="C173" t="s">
        <v>282</v>
      </c>
      <c r="D173" t="str">
        <f>HYPERLINK("http://service.sap.com/sap/support/notes/1512364","1512364")</f>
        <v>1512364</v>
      </c>
      <c r="E173">
        <v>1</v>
      </c>
      <c r="F173" t="s">
        <v>283</v>
      </c>
    </row>
    <row r="174" spans="1:6" x14ac:dyDescent="0.25">
      <c r="A174" t="s">
        <v>553</v>
      </c>
      <c r="B174" t="s">
        <v>284</v>
      </c>
      <c r="C174" t="s">
        <v>285</v>
      </c>
      <c r="D174" t="str">
        <f>HYPERLINK("http://service.sap.com/sap/support/notes/1512321","1512321")</f>
        <v>1512321</v>
      </c>
      <c r="E174">
        <v>1</v>
      </c>
      <c r="F174" t="s">
        <v>286</v>
      </c>
    </row>
    <row r="175" spans="1:6" x14ac:dyDescent="0.25">
      <c r="A175" t="s">
        <v>553</v>
      </c>
      <c r="B175" t="s">
        <v>284</v>
      </c>
      <c r="C175" t="s">
        <v>285</v>
      </c>
      <c r="D175" t="str">
        <f>HYPERLINK("http://service.sap.com/sap/support/notes/1512933","1512933")</f>
        <v>1512933</v>
      </c>
      <c r="E175">
        <v>2</v>
      </c>
      <c r="F175" t="s">
        <v>287</v>
      </c>
    </row>
    <row r="176" spans="1:6" x14ac:dyDescent="0.25">
      <c r="A176" t="s">
        <v>553</v>
      </c>
      <c r="B176" t="s">
        <v>284</v>
      </c>
      <c r="C176" t="s">
        <v>285</v>
      </c>
      <c r="D176" t="str">
        <f>HYPERLINK("http://service.sap.com/sap/support/notes/1513710","1513710")</f>
        <v>1513710</v>
      </c>
      <c r="E176">
        <v>2</v>
      </c>
      <c r="F176" t="s">
        <v>288</v>
      </c>
    </row>
    <row r="177" spans="1:6" x14ac:dyDescent="0.25">
      <c r="A177" t="s">
        <v>553</v>
      </c>
      <c r="B177" t="s">
        <v>284</v>
      </c>
      <c r="C177" t="s">
        <v>285</v>
      </c>
      <c r="D177" t="str">
        <f>HYPERLINK("http://service.sap.com/sap/support/notes/1514033","1514033")</f>
        <v>1514033</v>
      </c>
      <c r="E177">
        <v>1</v>
      </c>
      <c r="F177" t="s">
        <v>289</v>
      </c>
    </row>
    <row r="178" spans="1:6" x14ac:dyDescent="0.25">
      <c r="A178" t="s">
        <v>553</v>
      </c>
      <c r="B178" t="s">
        <v>284</v>
      </c>
      <c r="C178" t="s">
        <v>285</v>
      </c>
      <c r="D178" t="str">
        <f>HYPERLINK("http://service.sap.com/sap/support/notes/1517277","1517277")</f>
        <v>1517277</v>
      </c>
      <c r="E178">
        <v>1</v>
      </c>
      <c r="F178" t="s">
        <v>290</v>
      </c>
    </row>
    <row r="179" spans="1:6" x14ac:dyDescent="0.25">
      <c r="A179" t="s">
        <v>553</v>
      </c>
      <c r="B179" t="s">
        <v>284</v>
      </c>
      <c r="C179" t="s">
        <v>285</v>
      </c>
      <c r="D179" t="str">
        <f>HYPERLINK("http://service.sap.com/sap/support/notes/1518500","1518500")</f>
        <v>1518500</v>
      </c>
      <c r="E179">
        <v>1</v>
      </c>
      <c r="F179" t="s">
        <v>291</v>
      </c>
    </row>
    <row r="180" spans="1:6" x14ac:dyDescent="0.25">
      <c r="A180" t="s">
        <v>553</v>
      </c>
      <c r="B180" t="s">
        <v>284</v>
      </c>
      <c r="C180" t="s">
        <v>285</v>
      </c>
      <c r="D180" t="str">
        <f>HYPERLINK("http://service.sap.com/sap/support/notes/1519617","1519617")</f>
        <v>1519617</v>
      </c>
      <c r="E180">
        <v>3</v>
      </c>
      <c r="F180" t="s">
        <v>292</v>
      </c>
    </row>
    <row r="181" spans="1:6" x14ac:dyDescent="0.25">
      <c r="A181" t="s">
        <v>553</v>
      </c>
      <c r="B181" t="s">
        <v>293</v>
      </c>
      <c r="C181" t="s">
        <v>294</v>
      </c>
      <c r="D181" t="str">
        <f>HYPERLINK("http://service.sap.com/sap/support/notes/1511641","1511641")</f>
        <v>1511641</v>
      </c>
      <c r="E181">
        <v>4</v>
      </c>
      <c r="F181" t="s">
        <v>295</v>
      </c>
    </row>
    <row r="182" spans="1:6" x14ac:dyDescent="0.25">
      <c r="A182" t="s">
        <v>553</v>
      </c>
      <c r="B182" t="s">
        <v>293</v>
      </c>
      <c r="C182" t="s">
        <v>294</v>
      </c>
      <c r="D182" t="str">
        <f>HYPERLINK("http://service.sap.com/sap/support/notes/1513538","1513538")</f>
        <v>1513538</v>
      </c>
      <c r="E182">
        <v>3</v>
      </c>
      <c r="F182" t="s">
        <v>296</v>
      </c>
    </row>
    <row r="183" spans="1:6" x14ac:dyDescent="0.25">
      <c r="A183" t="s">
        <v>553</v>
      </c>
      <c r="B183" t="s">
        <v>293</v>
      </c>
      <c r="C183" t="s">
        <v>294</v>
      </c>
      <c r="D183" t="str">
        <f>HYPERLINK("http://service.sap.com/sap/support/notes/1514337","1514337")</f>
        <v>1514337</v>
      </c>
      <c r="E183">
        <v>3</v>
      </c>
      <c r="F183" t="s">
        <v>297</v>
      </c>
    </row>
    <row r="184" spans="1:6" x14ac:dyDescent="0.25">
      <c r="A184" t="s">
        <v>553</v>
      </c>
      <c r="B184" t="s">
        <v>298</v>
      </c>
      <c r="C184" t="s">
        <v>299</v>
      </c>
    </row>
    <row r="185" spans="1:6" x14ac:dyDescent="0.25">
      <c r="A185" t="s">
        <v>553</v>
      </c>
      <c r="B185" t="s">
        <v>300</v>
      </c>
      <c r="C185" t="s">
        <v>301</v>
      </c>
      <c r="D185" t="str">
        <f>HYPERLINK("http://service.sap.com/sap/support/notes/1499974","1499974")</f>
        <v>1499974</v>
      </c>
      <c r="E185">
        <v>4</v>
      </c>
      <c r="F185" t="s">
        <v>302</v>
      </c>
    </row>
    <row r="186" spans="1:6" x14ac:dyDescent="0.25">
      <c r="A186" t="s">
        <v>553</v>
      </c>
      <c r="B186" t="s">
        <v>300</v>
      </c>
      <c r="C186" t="s">
        <v>301</v>
      </c>
      <c r="D186" t="str">
        <f>HYPERLINK("http://service.sap.com/sap/support/notes/1513963","1513963")</f>
        <v>1513963</v>
      </c>
      <c r="E186">
        <v>2</v>
      </c>
      <c r="F186" t="s">
        <v>303</v>
      </c>
    </row>
    <row r="187" spans="1:6" x14ac:dyDescent="0.25">
      <c r="A187" t="s">
        <v>553</v>
      </c>
      <c r="B187" t="s">
        <v>304</v>
      </c>
      <c r="C187" t="s">
        <v>305</v>
      </c>
      <c r="D187" t="str">
        <f>HYPERLINK("http://service.sap.com/sap/support/notes/1480073","1480073")</f>
        <v>1480073</v>
      </c>
      <c r="E187">
        <v>1</v>
      </c>
      <c r="F187" t="s">
        <v>306</v>
      </c>
    </row>
    <row r="188" spans="1:6" x14ac:dyDescent="0.25">
      <c r="A188" t="s">
        <v>553</v>
      </c>
      <c r="B188" t="s">
        <v>304</v>
      </c>
      <c r="C188" t="s">
        <v>305</v>
      </c>
      <c r="D188" t="str">
        <f>HYPERLINK("http://service.sap.com/sap/support/notes/1490978","1490978")</f>
        <v>1490978</v>
      </c>
      <c r="E188">
        <v>3</v>
      </c>
      <c r="F188" t="s">
        <v>307</v>
      </c>
    </row>
    <row r="189" spans="1:6" x14ac:dyDescent="0.25">
      <c r="A189" t="s">
        <v>553</v>
      </c>
      <c r="B189" t="s">
        <v>304</v>
      </c>
      <c r="C189" t="s">
        <v>305</v>
      </c>
      <c r="D189" t="str">
        <f>HYPERLINK("http://service.sap.com/sap/support/notes/1494479","1494479")</f>
        <v>1494479</v>
      </c>
      <c r="E189">
        <v>1</v>
      </c>
      <c r="F189" t="s">
        <v>308</v>
      </c>
    </row>
    <row r="190" spans="1:6" x14ac:dyDescent="0.25">
      <c r="A190" t="s">
        <v>553</v>
      </c>
      <c r="B190" t="s">
        <v>304</v>
      </c>
      <c r="C190" t="s">
        <v>305</v>
      </c>
      <c r="D190" t="str">
        <f>HYPERLINK("http://service.sap.com/sap/support/notes/1497888","1497888")</f>
        <v>1497888</v>
      </c>
      <c r="E190">
        <v>1</v>
      </c>
      <c r="F190" t="s">
        <v>309</v>
      </c>
    </row>
    <row r="191" spans="1:6" x14ac:dyDescent="0.25">
      <c r="A191" t="s">
        <v>553</v>
      </c>
      <c r="B191" t="s">
        <v>304</v>
      </c>
      <c r="C191" t="s">
        <v>305</v>
      </c>
      <c r="D191" t="str">
        <f>HYPERLINK("http://service.sap.com/sap/support/notes/1498017","1498017")</f>
        <v>1498017</v>
      </c>
      <c r="E191">
        <v>1</v>
      </c>
      <c r="F191" t="s">
        <v>310</v>
      </c>
    </row>
    <row r="192" spans="1:6" x14ac:dyDescent="0.25">
      <c r="A192" t="s">
        <v>553</v>
      </c>
      <c r="B192" t="s">
        <v>304</v>
      </c>
      <c r="C192" t="s">
        <v>305</v>
      </c>
      <c r="D192" t="str">
        <f>HYPERLINK("http://service.sap.com/sap/support/notes/1502411","1502411")</f>
        <v>1502411</v>
      </c>
      <c r="E192">
        <v>6</v>
      </c>
      <c r="F192" t="s">
        <v>311</v>
      </c>
    </row>
    <row r="193" spans="1:6" x14ac:dyDescent="0.25">
      <c r="A193" t="s">
        <v>553</v>
      </c>
      <c r="B193" t="s">
        <v>304</v>
      </c>
      <c r="C193" t="s">
        <v>305</v>
      </c>
      <c r="D193" t="str">
        <f>HYPERLINK("http://service.sap.com/sap/support/notes/1507803","1507803")</f>
        <v>1507803</v>
      </c>
      <c r="E193">
        <v>1</v>
      </c>
      <c r="F193" t="s">
        <v>312</v>
      </c>
    </row>
    <row r="194" spans="1:6" x14ac:dyDescent="0.25">
      <c r="A194" t="s">
        <v>553</v>
      </c>
      <c r="B194" t="s">
        <v>304</v>
      </c>
      <c r="C194" t="s">
        <v>305</v>
      </c>
      <c r="D194" t="str">
        <f>HYPERLINK("http://service.sap.com/sap/support/notes/1508822","1508822")</f>
        <v>1508822</v>
      </c>
      <c r="E194">
        <v>2</v>
      </c>
      <c r="F194" t="s">
        <v>313</v>
      </c>
    </row>
    <row r="195" spans="1:6" x14ac:dyDescent="0.25">
      <c r="A195" t="s">
        <v>553</v>
      </c>
      <c r="B195" t="s">
        <v>304</v>
      </c>
      <c r="C195" t="s">
        <v>305</v>
      </c>
      <c r="D195" t="str">
        <f>HYPERLINK("http://service.sap.com/sap/support/notes/1509012","1509012")</f>
        <v>1509012</v>
      </c>
      <c r="E195">
        <v>1</v>
      </c>
      <c r="F195" t="s">
        <v>314</v>
      </c>
    </row>
    <row r="196" spans="1:6" x14ac:dyDescent="0.25">
      <c r="A196" t="s">
        <v>553</v>
      </c>
      <c r="B196" t="s">
        <v>304</v>
      </c>
      <c r="C196" t="s">
        <v>305</v>
      </c>
      <c r="D196" t="str">
        <f>HYPERLINK("http://service.sap.com/sap/support/notes/1509574","1509574")</f>
        <v>1509574</v>
      </c>
      <c r="E196">
        <v>2</v>
      </c>
      <c r="F196" t="s">
        <v>315</v>
      </c>
    </row>
    <row r="197" spans="1:6" x14ac:dyDescent="0.25">
      <c r="A197" t="s">
        <v>553</v>
      </c>
      <c r="B197" t="s">
        <v>304</v>
      </c>
      <c r="C197" t="s">
        <v>305</v>
      </c>
      <c r="D197" t="str">
        <f>HYPERLINK("http://service.sap.com/sap/support/notes/1513193","1513193")</f>
        <v>1513193</v>
      </c>
      <c r="E197">
        <v>2</v>
      </c>
      <c r="F197" t="s">
        <v>316</v>
      </c>
    </row>
    <row r="198" spans="1:6" x14ac:dyDescent="0.25">
      <c r="A198" t="s">
        <v>553</v>
      </c>
      <c r="B198" t="s">
        <v>304</v>
      </c>
      <c r="C198" t="s">
        <v>305</v>
      </c>
      <c r="D198" t="str">
        <f>HYPERLINK("http://service.sap.com/sap/support/notes/1514475","1514475")</f>
        <v>1514475</v>
      </c>
      <c r="E198">
        <v>2</v>
      </c>
      <c r="F198" t="s">
        <v>317</v>
      </c>
    </row>
    <row r="199" spans="1:6" x14ac:dyDescent="0.25">
      <c r="A199" t="s">
        <v>553</v>
      </c>
      <c r="B199" t="s">
        <v>304</v>
      </c>
      <c r="C199" t="s">
        <v>305</v>
      </c>
      <c r="D199" t="str">
        <f>HYPERLINK("http://service.sap.com/sap/support/notes/1515018","1515018")</f>
        <v>1515018</v>
      </c>
      <c r="E199">
        <v>1</v>
      </c>
      <c r="F199" t="s">
        <v>318</v>
      </c>
    </row>
    <row r="200" spans="1:6" x14ac:dyDescent="0.25">
      <c r="A200" t="s">
        <v>553</v>
      </c>
      <c r="B200" t="s">
        <v>304</v>
      </c>
      <c r="C200" t="s">
        <v>305</v>
      </c>
      <c r="D200" t="str">
        <f>HYPERLINK("http://service.sap.com/sap/support/notes/1515610","1515610")</f>
        <v>1515610</v>
      </c>
      <c r="E200">
        <v>3</v>
      </c>
      <c r="F200" t="s">
        <v>319</v>
      </c>
    </row>
    <row r="201" spans="1:6" x14ac:dyDescent="0.25">
      <c r="A201" t="s">
        <v>553</v>
      </c>
      <c r="B201" t="s">
        <v>304</v>
      </c>
      <c r="C201" t="s">
        <v>305</v>
      </c>
      <c r="D201" t="str">
        <f>HYPERLINK("http://service.sap.com/sap/support/notes/1516576","1516576")</f>
        <v>1516576</v>
      </c>
      <c r="E201">
        <v>2</v>
      </c>
      <c r="F201" t="s">
        <v>320</v>
      </c>
    </row>
    <row r="202" spans="1:6" x14ac:dyDescent="0.25">
      <c r="A202" t="s">
        <v>553</v>
      </c>
      <c r="B202" t="s">
        <v>304</v>
      </c>
      <c r="C202" t="s">
        <v>305</v>
      </c>
      <c r="D202" t="str">
        <f>HYPERLINK("http://service.sap.com/sap/support/notes/1516797","1516797")</f>
        <v>1516797</v>
      </c>
      <c r="E202">
        <v>2</v>
      </c>
      <c r="F202" t="s">
        <v>321</v>
      </c>
    </row>
    <row r="203" spans="1:6" x14ac:dyDescent="0.25">
      <c r="A203" t="s">
        <v>553</v>
      </c>
      <c r="B203" t="s">
        <v>304</v>
      </c>
      <c r="C203" t="s">
        <v>305</v>
      </c>
      <c r="D203" t="str">
        <f>HYPERLINK("http://service.sap.com/sap/support/notes/1517267","1517267")</f>
        <v>1517267</v>
      </c>
      <c r="E203">
        <v>2</v>
      </c>
      <c r="F203" t="s">
        <v>322</v>
      </c>
    </row>
    <row r="204" spans="1:6" x14ac:dyDescent="0.25">
      <c r="A204" t="s">
        <v>553</v>
      </c>
      <c r="B204" t="s">
        <v>304</v>
      </c>
      <c r="C204" t="s">
        <v>305</v>
      </c>
      <c r="D204" t="str">
        <f>HYPERLINK("http://service.sap.com/sap/support/notes/1518569","1518569")</f>
        <v>1518569</v>
      </c>
      <c r="E204">
        <v>1</v>
      </c>
      <c r="F204" t="s">
        <v>323</v>
      </c>
    </row>
    <row r="205" spans="1:6" x14ac:dyDescent="0.25">
      <c r="A205" t="s">
        <v>553</v>
      </c>
      <c r="B205" t="s">
        <v>324</v>
      </c>
      <c r="C205" t="s">
        <v>55</v>
      </c>
      <c r="D205" t="str">
        <f>HYPERLINK("http://service.sap.com/sap/support/notes/1502468","1502468")</f>
        <v>1502468</v>
      </c>
      <c r="E205">
        <v>1</v>
      </c>
      <c r="F205" t="s">
        <v>325</v>
      </c>
    </row>
    <row r="206" spans="1:6" x14ac:dyDescent="0.25">
      <c r="A206" t="s">
        <v>553</v>
      </c>
      <c r="B206" t="s">
        <v>324</v>
      </c>
      <c r="C206" t="s">
        <v>55</v>
      </c>
      <c r="D206" t="str">
        <f>HYPERLINK("http://service.sap.com/sap/support/notes/1517062","1517062")</f>
        <v>1517062</v>
      </c>
      <c r="E206">
        <v>1</v>
      </c>
      <c r="F206" t="s">
        <v>326</v>
      </c>
    </row>
    <row r="207" spans="1:6" x14ac:dyDescent="0.25">
      <c r="A207" t="s">
        <v>553</v>
      </c>
      <c r="B207" t="s">
        <v>324</v>
      </c>
      <c r="C207" t="s">
        <v>55</v>
      </c>
      <c r="D207" t="str">
        <f>HYPERLINK("http://service.sap.com/sap/support/notes/1518816","1518816")</f>
        <v>1518816</v>
      </c>
      <c r="E207">
        <v>1</v>
      </c>
      <c r="F207" t="s">
        <v>327</v>
      </c>
    </row>
    <row r="208" spans="1:6" x14ac:dyDescent="0.25">
      <c r="A208" t="s">
        <v>553</v>
      </c>
      <c r="B208" t="s">
        <v>328</v>
      </c>
      <c r="C208" t="s">
        <v>58</v>
      </c>
      <c r="D208" t="str">
        <f>HYPERLINK("http://service.sap.com/sap/support/notes/1478984","1478984")</f>
        <v>1478984</v>
      </c>
      <c r="E208">
        <v>3</v>
      </c>
      <c r="F208" t="s">
        <v>329</v>
      </c>
    </row>
    <row r="209" spans="1:6" x14ac:dyDescent="0.25">
      <c r="A209" t="s">
        <v>553</v>
      </c>
      <c r="B209" t="s">
        <v>328</v>
      </c>
      <c r="C209" t="s">
        <v>58</v>
      </c>
      <c r="D209" t="str">
        <f>HYPERLINK("http://service.sap.com/sap/support/notes/1479484","1479484")</f>
        <v>1479484</v>
      </c>
      <c r="E209">
        <v>10</v>
      </c>
      <c r="F209" t="s">
        <v>330</v>
      </c>
    </row>
    <row r="210" spans="1:6" x14ac:dyDescent="0.25">
      <c r="A210" t="s">
        <v>553</v>
      </c>
      <c r="B210" t="s">
        <v>328</v>
      </c>
      <c r="C210" t="s">
        <v>58</v>
      </c>
      <c r="D210" t="str">
        <f>HYPERLINK("http://service.sap.com/sap/support/notes/1501806","1501806")</f>
        <v>1501806</v>
      </c>
      <c r="E210">
        <v>2</v>
      </c>
      <c r="F210" t="s">
        <v>331</v>
      </c>
    </row>
    <row r="211" spans="1:6" x14ac:dyDescent="0.25">
      <c r="A211" t="s">
        <v>553</v>
      </c>
      <c r="B211" t="s">
        <v>328</v>
      </c>
      <c r="C211" t="s">
        <v>58</v>
      </c>
      <c r="D211" t="str">
        <f>HYPERLINK("http://service.sap.com/sap/support/notes/1512494","1512494")</f>
        <v>1512494</v>
      </c>
      <c r="E211">
        <v>2</v>
      </c>
      <c r="F211" t="s">
        <v>332</v>
      </c>
    </row>
    <row r="212" spans="1:6" x14ac:dyDescent="0.25">
      <c r="A212" t="s">
        <v>553</v>
      </c>
      <c r="B212" t="s">
        <v>328</v>
      </c>
      <c r="C212" t="s">
        <v>58</v>
      </c>
      <c r="D212" t="str">
        <f>HYPERLINK("http://service.sap.com/sap/support/notes/1513151","1513151")</f>
        <v>1513151</v>
      </c>
      <c r="E212">
        <v>3</v>
      </c>
      <c r="F212" t="s">
        <v>333</v>
      </c>
    </row>
    <row r="213" spans="1:6" x14ac:dyDescent="0.25">
      <c r="A213" t="s">
        <v>553</v>
      </c>
      <c r="B213" t="s">
        <v>328</v>
      </c>
      <c r="C213" t="s">
        <v>58</v>
      </c>
      <c r="D213" t="str">
        <f>HYPERLINK("http://service.sap.com/sap/support/notes/1513184","1513184")</f>
        <v>1513184</v>
      </c>
      <c r="E213">
        <v>1</v>
      </c>
      <c r="F213" t="s">
        <v>334</v>
      </c>
    </row>
    <row r="214" spans="1:6" x14ac:dyDescent="0.25">
      <c r="A214" t="s">
        <v>553</v>
      </c>
      <c r="B214" t="s">
        <v>328</v>
      </c>
      <c r="C214" t="s">
        <v>58</v>
      </c>
      <c r="D214" t="str">
        <f>HYPERLINK("http://service.sap.com/sap/support/notes/1513318","1513318")</f>
        <v>1513318</v>
      </c>
      <c r="E214">
        <v>3</v>
      </c>
      <c r="F214" t="s">
        <v>335</v>
      </c>
    </row>
    <row r="215" spans="1:6" x14ac:dyDescent="0.25">
      <c r="A215" t="s">
        <v>553</v>
      </c>
      <c r="B215" t="s">
        <v>328</v>
      </c>
      <c r="C215" t="s">
        <v>58</v>
      </c>
      <c r="D215" t="str">
        <f>HYPERLINK("http://service.sap.com/sap/support/notes/1513896","1513896")</f>
        <v>1513896</v>
      </c>
      <c r="E215">
        <v>3</v>
      </c>
      <c r="F215" t="s">
        <v>336</v>
      </c>
    </row>
    <row r="216" spans="1:6" x14ac:dyDescent="0.25">
      <c r="A216" t="s">
        <v>553</v>
      </c>
      <c r="B216" t="s">
        <v>328</v>
      </c>
      <c r="C216" t="s">
        <v>58</v>
      </c>
      <c r="D216" t="str">
        <f>HYPERLINK("http://service.sap.com/sap/support/notes/1515533","1515533")</f>
        <v>1515533</v>
      </c>
      <c r="E216">
        <v>2</v>
      </c>
      <c r="F216" t="s">
        <v>337</v>
      </c>
    </row>
    <row r="217" spans="1:6" x14ac:dyDescent="0.25">
      <c r="A217" t="s">
        <v>553</v>
      </c>
      <c r="B217" t="s">
        <v>328</v>
      </c>
      <c r="C217" t="s">
        <v>58</v>
      </c>
      <c r="D217" t="str">
        <f>HYPERLINK("http://service.sap.com/sap/support/notes/1515690","1515690")</f>
        <v>1515690</v>
      </c>
      <c r="E217">
        <v>2</v>
      </c>
      <c r="F217" t="s">
        <v>338</v>
      </c>
    </row>
    <row r="218" spans="1:6" x14ac:dyDescent="0.25">
      <c r="A218" t="s">
        <v>553</v>
      </c>
      <c r="B218" t="s">
        <v>328</v>
      </c>
      <c r="C218" t="s">
        <v>58</v>
      </c>
      <c r="D218" t="str">
        <f>HYPERLINK("http://service.sap.com/sap/support/notes/1515836","1515836")</f>
        <v>1515836</v>
      </c>
      <c r="E218">
        <v>2</v>
      </c>
      <c r="F218" t="s">
        <v>339</v>
      </c>
    </row>
    <row r="219" spans="1:6" x14ac:dyDescent="0.25">
      <c r="A219" t="s">
        <v>553</v>
      </c>
      <c r="B219" t="s">
        <v>328</v>
      </c>
      <c r="C219" t="s">
        <v>58</v>
      </c>
      <c r="D219" t="str">
        <f>HYPERLINK("http://service.sap.com/sap/support/notes/1516005","1516005")</f>
        <v>1516005</v>
      </c>
      <c r="E219">
        <v>1</v>
      </c>
      <c r="F219" t="s">
        <v>340</v>
      </c>
    </row>
    <row r="220" spans="1:6" x14ac:dyDescent="0.25">
      <c r="A220" t="s">
        <v>553</v>
      </c>
      <c r="B220" t="s">
        <v>328</v>
      </c>
      <c r="C220" t="s">
        <v>58</v>
      </c>
      <c r="D220" t="str">
        <f>HYPERLINK("http://service.sap.com/sap/support/notes/1516010","1516010")</f>
        <v>1516010</v>
      </c>
      <c r="E220">
        <v>2</v>
      </c>
      <c r="F220" t="s">
        <v>341</v>
      </c>
    </row>
    <row r="221" spans="1:6" x14ac:dyDescent="0.25">
      <c r="A221" t="s">
        <v>553</v>
      </c>
      <c r="B221" t="s">
        <v>328</v>
      </c>
      <c r="C221" t="s">
        <v>58</v>
      </c>
      <c r="D221" t="str">
        <f>HYPERLINK("http://service.sap.com/sap/support/notes/1517505","1517505")</f>
        <v>1517505</v>
      </c>
      <c r="E221">
        <v>1</v>
      </c>
      <c r="F221" t="s">
        <v>342</v>
      </c>
    </row>
    <row r="222" spans="1:6" x14ac:dyDescent="0.25">
      <c r="A222" t="s">
        <v>553</v>
      </c>
      <c r="B222" t="s">
        <v>343</v>
      </c>
      <c r="C222" t="s">
        <v>344</v>
      </c>
      <c r="D222" t="str">
        <f>HYPERLINK("http://service.sap.com/sap/support/notes/1129168","1129168")</f>
        <v>1129168</v>
      </c>
      <c r="F222" t="s">
        <v>345</v>
      </c>
    </row>
    <row r="223" spans="1:6" x14ac:dyDescent="0.25">
      <c r="A223" t="s">
        <v>553</v>
      </c>
      <c r="B223" t="s">
        <v>343</v>
      </c>
      <c r="C223" t="s">
        <v>344</v>
      </c>
      <c r="D223" t="str">
        <f>HYPERLINK("http://service.sap.com/sap/support/notes/1516365","1516365")</f>
        <v>1516365</v>
      </c>
      <c r="F223" t="s">
        <v>346</v>
      </c>
    </row>
    <row r="224" spans="1:6" x14ac:dyDescent="0.25">
      <c r="A224" t="s">
        <v>553</v>
      </c>
      <c r="B224" t="s">
        <v>347</v>
      </c>
      <c r="C224" t="s">
        <v>153</v>
      </c>
      <c r="D224" t="str">
        <f>HYPERLINK("http://service.sap.com/sap/support/notes/1513351","1513351")</f>
        <v>1513351</v>
      </c>
      <c r="F224" t="s">
        <v>348</v>
      </c>
    </row>
    <row r="225" spans="1:6" x14ac:dyDescent="0.25">
      <c r="A225" t="s">
        <v>553</v>
      </c>
      <c r="B225" t="s">
        <v>349</v>
      </c>
      <c r="C225" t="s">
        <v>299</v>
      </c>
    </row>
    <row r="226" spans="1:6" x14ac:dyDescent="0.25">
      <c r="A226" t="s">
        <v>553</v>
      </c>
      <c r="B226" t="s">
        <v>350</v>
      </c>
      <c r="C226" t="s">
        <v>351</v>
      </c>
      <c r="D226" t="str">
        <f>HYPERLINK("http://service.sap.com/sap/support/notes/1366839","1366839")</f>
        <v>1366839</v>
      </c>
      <c r="F226" t="s">
        <v>352</v>
      </c>
    </row>
    <row r="227" spans="1:6" x14ac:dyDescent="0.25">
      <c r="A227" t="s">
        <v>553</v>
      </c>
      <c r="B227" t="s">
        <v>353</v>
      </c>
      <c r="C227" t="s">
        <v>354</v>
      </c>
      <c r="D227" t="str">
        <f>HYPERLINK("http://service.sap.com/sap/support/notes/1513753","1513753")</f>
        <v>1513753</v>
      </c>
      <c r="E227">
        <v>2</v>
      </c>
      <c r="F227" t="s">
        <v>355</v>
      </c>
    </row>
    <row r="228" spans="1:6" x14ac:dyDescent="0.25">
      <c r="A228" t="s">
        <v>553</v>
      </c>
      <c r="B228" t="s">
        <v>356</v>
      </c>
      <c r="C228" t="s">
        <v>71</v>
      </c>
      <c r="D228" t="str">
        <f>HYPERLINK("http://service.sap.com/sap/support/notes/1517224","1517224")</f>
        <v>1517224</v>
      </c>
      <c r="E228">
        <v>1</v>
      </c>
      <c r="F228" t="s">
        <v>357</v>
      </c>
    </row>
    <row r="229" spans="1:6" x14ac:dyDescent="0.25">
      <c r="A229" t="s">
        <v>553</v>
      </c>
      <c r="B229" t="s">
        <v>358</v>
      </c>
      <c r="C229" t="s">
        <v>359</v>
      </c>
      <c r="D229" t="str">
        <f>HYPERLINK("http://service.sap.com/sap/support/notes/1147798","1147798")</f>
        <v>1147798</v>
      </c>
      <c r="E229">
        <v>1</v>
      </c>
      <c r="F229" t="s">
        <v>360</v>
      </c>
    </row>
    <row r="230" spans="1:6" x14ac:dyDescent="0.25">
      <c r="A230" t="s">
        <v>553</v>
      </c>
      <c r="B230" t="s">
        <v>358</v>
      </c>
      <c r="C230" t="s">
        <v>359</v>
      </c>
      <c r="D230" t="str">
        <f>HYPERLINK("http://service.sap.com/sap/support/notes/1392972","1392972")</f>
        <v>1392972</v>
      </c>
      <c r="E230">
        <v>1</v>
      </c>
      <c r="F230" t="s">
        <v>361</v>
      </c>
    </row>
    <row r="231" spans="1:6" x14ac:dyDescent="0.25">
      <c r="A231" t="s">
        <v>553</v>
      </c>
      <c r="B231" t="s">
        <v>358</v>
      </c>
      <c r="C231" t="s">
        <v>359</v>
      </c>
      <c r="D231" t="str">
        <f>HYPERLINK("http://service.sap.com/sap/support/notes/1521228","1521228")</f>
        <v>1521228</v>
      </c>
      <c r="E231">
        <v>1</v>
      </c>
      <c r="F231" t="s">
        <v>362</v>
      </c>
    </row>
    <row r="232" spans="1:6" x14ac:dyDescent="0.25">
      <c r="A232" t="s">
        <v>553</v>
      </c>
      <c r="B232" t="s">
        <v>363</v>
      </c>
      <c r="C232" t="s">
        <v>74</v>
      </c>
      <c r="D232" t="str">
        <f>HYPERLINK("http://service.sap.com/sap/support/notes/1503687","1503687")</f>
        <v>1503687</v>
      </c>
      <c r="E232">
        <v>3</v>
      </c>
      <c r="F232" t="s">
        <v>364</v>
      </c>
    </row>
    <row r="233" spans="1:6" x14ac:dyDescent="0.25">
      <c r="A233" t="s">
        <v>553</v>
      </c>
      <c r="B233" t="s">
        <v>363</v>
      </c>
      <c r="C233" t="s">
        <v>74</v>
      </c>
      <c r="D233" t="str">
        <f>HYPERLINK("http://service.sap.com/sap/support/notes/1507860","1507860")</f>
        <v>1507860</v>
      </c>
      <c r="E233">
        <v>3</v>
      </c>
      <c r="F233" t="s">
        <v>365</v>
      </c>
    </row>
    <row r="234" spans="1:6" x14ac:dyDescent="0.25">
      <c r="A234" t="s">
        <v>553</v>
      </c>
      <c r="B234" t="s">
        <v>363</v>
      </c>
      <c r="C234" t="s">
        <v>74</v>
      </c>
      <c r="D234" t="str">
        <f>HYPERLINK("http://service.sap.com/sap/support/notes/1510648","1510648")</f>
        <v>1510648</v>
      </c>
      <c r="E234">
        <v>1</v>
      </c>
      <c r="F234" t="s">
        <v>366</v>
      </c>
    </row>
    <row r="235" spans="1:6" x14ac:dyDescent="0.25">
      <c r="A235" t="s">
        <v>553</v>
      </c>
      <c r="B235" t="s">
        <v>363</v>
      </c>
      <c r="C235" t="s">
        <v>74</v>
      </c>
      <c r="D235" t="str">
        <f>HYPERLINK("http://service.sap.com/sap/support/notes/1512047","1512047")</f>
        <v>1512047</v>
      </c>
      <c r="E235">
        <v>1</v>
      </c>
      <c r="F235" t="s">
        <v>367</v>
      </c>
    </row>
    <row r="236" spans="1:6" x14ac:dyDescent="0.25">
      <c r="A236" t="s">
        <v>553</v>
      </c>
      <c r="B236" t="s">
        <v>363</v>
      </c>
      <c r="C236" t="s">
        <v>74</v>
      </c>
      <c r="D236" t="str">
        <f>HYPERLINK("http://service.sap.com/sap/support/notes/1515141","1515141")</f>
        <v>1515141</v>
      </c>
      <c r="E236">
        <v>2</v>
      </c>
      <c r="F236" t="s">
        <v>368</v>
      </c>
    </row>
    <row r="237" spans="1:6" x14ac:dyDescent="0.25">
      <c r="A237" t="s">
        <v>553</v>
      </c>
      <c r="B237" t="s">
        <v>363</v>
      </c>
      <c r="C237" t="s">
        <v>74</v>
      </c>
      <c r="D237" t="str">
        <f>HYPERLINK("http://service.sap.com/sap/support/notes/1515316","1515316")</f>
        <v>1515316</v>
      </c>
      <c r="E237">
        <v>2</v>
      </c>
      <c r="F237" t="s">
        <v>369</v>
      </c>
    </row>
    <row r="238" spans="1:6" x14ac:dyDescent="0.25">
      <c r="A238" t="s">
        <v>553</v>
      </c>
      <c r="B238" t="s">
        <v>363</v>
      </c>
      <c r="C238" t="s">
        <v>74</v>
      </c>
      <c r="D238" t="str">
        <f>HYPERLINK("http://service.sap.com/sap/support/notes/1517374","1517374")</f>
        <v>1517374</v>
      </c>
      <c r="E238">
        <v>4</v>
      </c>
      <c r="F238" t="s">
        <v>370</v>
      </c>
    </row>
    <row r="239" spans="1:6" x14ac:dyDescent="0.25">
      <c r="A239" t="s">
        <v>553</v>
      </c>
      <c r="B239" t="s">
        <v>371</v>
      </c>
      <c r="C239" t="s">
        <v>372</v>
      </c>
      <c r="D239" t="str">
        <f>HYPERLINK("http://service.sap.com/sap/support/notes/1487460","1487460")</f>
        <v>1487460</v>
      </c>
      <c r="E239">
        <v>1</v>
      </c>
      <c r="F239" t="s">
        <v>373</v>
      </c>
    </row>
    <row r="240" spans="1:6" x14ac:dyDescent="0.25">
      <c r="A240" t="s">
        <v>553</v>
      </c>
      <c r="B240" t="s">
        <v>374</v>
      </c>
      <c r="C240" t="s">
        <v>77</v>
      </c>
      <c r="D240" t="str">
        <f>HYPERLINK("http://service.sap.com/sap/support/notes/1501446","1501446")</f>
        <v>1501446</v>
      </c>
      <c r="E240">
        <v>2</v>
      </c>
      <c r="F240" t="s">
        <v>375</v>
      </c>
    </row>
    <row r="241" spans="1:6" x14ac:dyDescent="0.25">
      <c r="A241" t="s">
        <v>553</v>
      </c>
      <c r="B241" t="s">
        <v>374</v>
      </c>
      <c r="C241" t="s">
        <v>77</v>
      </c>
      <c r="D241" t="str">
        <f>HYPERLINK("http://service.sap.com/sap/support/notes/1509002","1509002")</f>
        <v>1509002</v>
      </c>
      <c r="E241">
        <v>4</v>
      </c>
      <c r="F241" t="s">
        <v>376</v>
      </c>
    </row>
    <row r="242" spans="1:6" x14ac:dyDescent="0.25">
      <c r="A242" t="s">
        <v>553</v>
      </c>
      <c r="B242" t="s">
        <v>374</v>
      </c>
      <c r="C242" t="s">
        <v>77</v>
      </c>
      <c r="D242" t="str">
        <f>HYPERLINK("http://service.sap.com/sap/support/notes/1516076","1516076")</f>
        <v>1516076</v>
      </c>
      <c r="E242">
        <v>1</v>
      </c>
      <c r="F242" t="s">
        <v>377</v>
      </c>
    </row>
    <row r="243" spans="1:6" x14ac:dyDescent="0.25">
      <c r="A243" t="s">
        <v>553</v>
      </c>
      <c r="B243" t="s">
        <v>374</v>
      </c>
      <c r="C243" t="s">
        <v>77</v>
      </c>
      <c r="D243" t="str">
        <f>HYPERLINK("http://service.sap.com/sap/support/notes/1521391","1521391")</f>
        <v>1521391</v>
      </c>
      <c r="E243">
        <v>2</v>
      </c>
      <c r="F243" t="s">
        <v>378</v>
      </c>
    </row>
    <row r="244" spans="1:6" x14ac:dyDescent="0.25">
      <c r="A244" t="s">
        <v>553</v>
      </c>
      <c r="B244" t="s">
        <v>379</v>
      </c>
      <c r="C244" t="s">
        <v>80</v>
      </c>
      <c r="D244" t="str">
        <f>HYPERLINK("http://service.sap.com/sap/support/notes/1494243","1494243")</f>
        <v>1494243</v>
      </c>
      <c r="E244">
        <v>9</v>
      </c>
      <c r="F244" t="s">
        <v>380</v>
      </c>
    </row>
    <row r="245" spans="1:6" x14ac:dyDescent="0.25">
      <c r="A245" t="s">
        <v>553</v>
      </c>
      <c r="B245" t="s">
        <v>379</v>
      </c>
      <c r="C245" t="s">
        <v>80</v>
      </c>
      <c r="D245" t="str">
        <f>HYPERLINK("http://service.sap.com/sap/support/notes/1512271","1512271")</f>
        <v>1512271</v>
      </c>
      <c r="E245">
        <v>1</v>
      </c>
      <c r="F245" t="s">
        <v>381</v>
      </c>
    </row>
    <row r="246" spans="1:6" x14ac:dyDescent="0.25">
      <c r="A246" t="s">
        <v>553</v>
      </c>
      <c r="B246" t="s">
        <v>379</v>
      </c>
      <c r="C246" t="s">
        <v>80</v>
      </c>
      <c r="D246" t="str">
        <f>HYPERLINK("http://service.sap.com/sap/support/notes/1518071","1518071")</f>
        <v>1518071</v>
      </c>
      <c r="E246">
        <v>2</v>
      </c>
      <c r="F246" t="s">
        <v>382</v>
      </c>
    </row>
    <row r="247" spans="1:6" x14ac:dyDescent="0.25">
      <c r="A247" t="s">
        <v>553</v>
      </c>
      <c r="B247" t="s">
        <v>379</v>
      </c>
      <c r="C247" t="s">
        <v>80</v>
      </c>
      <c r="D247" t="str">
        <f>HYPERLINK("http://service.sap.com/sap/support/notes/1518103","1518103")</f>
        <v>1518103</v>
      </c>
      <c r="E247">
        <v>2</v>
      </c>
      <c r="F247" t="s">
        <v>383</v>
      </c>
    </row>
    <row r="248" spans="1:6" x14ac:dyDescent="0.25">
      <c r="A248" t="s">
        <v>553</v>
      </c>
      <c r="B248" t="s">
        <v>379</v>
      </c>
      <c r="C248" t="s">
        <v>80</v>
      </c>
      <c r="D248" t="str">
        <f>HYPERLINK("http://service.sap.com/sap/support/notes/1519176","1519176")</f>
        <v>1519176</v>
      </c>
      <c r="E248">
        <v>5</v>
      </c>
      <c r="F248" t="s">
        <v>384</v>
      </c>
    </row>
    <row r="249" spans="1:6" x14ac:dyDescent="0.25">
      <c r="A249" t="s">
        <v>553</v>
      </c>
      <c r="B249" t="s">
        <v>379</v>
      </c>
      <c r="C249" t="s">
        <v>80</v>
      </c>
      <c r="D249" t="str">
        <f>HYPERLINK("http://service.sap.com/sap/support/notes/1521198","1521198")</f>
        <v>1521198</v>
      </c>
      <c r="E249">
        <v>1</v>
      </c>
      <c r="F249" t="s">
        <v>385</v>
      </c>
    </row>
    <row r="250" spans="1:6" x14ac:dyDescent="0.25">
      <c r="A250" t="s">
        <v>553</v>
      </c>
      <c r="B250" t="s">
        <v>386</v>
      </c>
      <c r="C250" t="s">
        <v>299</v>
      </c>
      <c r="D250" t="str">
        <f>HYPERLINK("http://service.sap.com/sap/support/notes/1517729","1517729")</f>
        <v>1517729</v>
      </c>
      <c r="E250">
        <v>3</v>
      </c>
      <c r="F250" t="s">
        <v>387</v>
      </c>
    </row>
    <row r="251" spans="1:6" x14ac:dyDescent="0.25">
      <c r="A251" t="s">
        <v>553</v>
      </c>
      <c r="B251" t="s">
        <v>388</v>
      </c>
      <c r="C251" t="s">
        <v>87</v>
      </c>
      <c r="D251" t="str">
        <f>HYPERLINK("http://service.sap.com/sap/support/notes/1224058","1224058")</f>
        <v>1224058</v>
      </c>
      <c r="E251">
        <v>1</v>
      </c>
      <c r="F251" t="s">
        <v>389</v>
      </c>
    </row>
    <row r="252" spans="1:6" x14ac:dyDescent="0.25">
      <c r="A252" t="s">
        <v>553</v>
      </c>
      <c r="B252" t="s">
        <v>388</v>
      </c>
      <c r="C252" t="s">
        <v>87</v>
      </c>
      <c r="D252" t="str">
        <f>HYPERLINK("http://service.sap.com/sap/support/notes/1502889","1502889")</f>
        <v>1502889</v>
      </c>
      <c r="E252">
        <v>1</v>
      </c>
      <c r="F252" t="s">
        <v>390</v>
      </c>
    </row>
    <row r="253" spans="1:6" x14ac:dyDescent="0.25">
      <c r="A253" t="s">
        <v>553</v>
      </c>
      <c r="B253" t="s">
        <v>388</v>
      </c>
      <c r="C253" t="s">
        <v>87</v>
      </c>
      <c r="D253" t="str">
        <f>HYPERLINK("http://service.sap.com/sap/support/notes/1513233","1513233")</f>
        <v>1513233</v>
      </c>
      <c r="E253">
        <v>1</v>
      </c>
      <c r="F253" t="s">
        <v>391</v>
      </c>
    </row>
    <row r="254" spans="1:6" x14ac:dyDescent="0.25">
      <c r="A254" t="s">
        <v>553</v>
      </c>
      <c r="B254" t="s">
        <v>388</v>
      </c>
      <c r="C254" t="s">
        <v>87</v>
      </c>
      <c r="D254" t="str">
        <f>HYPERLINK("http://service.sap.com/sap/support/notes/1513868","1513868")</f>
        <v>1513868</v>
      </c>
      <c r="E254">
        <v>2</v>
      </c>
      <c r="F254" t="s">
        <v>392</v>
      </c>
    </row>
    <row r="255" spans="1:6" x14ac:dyDescent="0.25">
      <c r="A255" t="s">
        <v>553</v>
      </c>
      <c r="B255" t="s">
        <v>388</v>
      </c>
      <c r="C255" t="s">
        <v>87</v>
      </c>
      <c r="D255" t="str">
        <f>HYPERLINK("http://service.sap.com/sap/support/notes/1517135","1517135")</f>
        <v>1517135</v>
      </c>
      <c r="E255">
        <v>3</v>
      </c>
      <c r="F255" t="s">
        <v>393</v>
      </c>
    </row>
    <row r="256" spans="1:6" x14ac:dyDescent="0.25">
      <c r="A256" t="s">
        <v>553</v>
      </c>
      <c r="B256" t="s">
        <v>388</v>
      </c>
      <c r="C256" t="s">
        <v>87</v>
      </c>
      <c r="D256" t="str">
        <f>HYPERLINK("http://service.sap.com/sap/support/notes/1517594","1517594")</f>
        <v>1517594</v>
      </c>
      <c r="E256">
        <v>1</v>
      </c>
      <c r="F256" t="s">
        <v>394</v>
      </c>
    </row>
    <row r="257" spans="1:6" x14ac:dyDescent="0.25">
      <c r="A257" t="s">
        <v>553</v>
      </c>
      <c r="B257" t="s">
        <v>388</v>
      </c>
      <c r="C257" t="s">
        <v>87</v>
      </c>
      <c r="D257" t="str">
        <f>HYPERLINK("http://service.sap.com/sap/support/notes/1517602","1517602")</f>
        <v>1517602</v>
      </c>
      <c r="E257">
        <v>3</v>
      </c>
      <c r="F257" t="s">
        <v>395</v>
      </c>
    </row>
    <row r="258" spans="1:6" x14ac:dyDescent="0.25">
      <c r="A258" t="s">
        <v>553</v>
      </c>
      <c r="B258" t="s">
        <v>396</v>
      </c>
      <c r="C258" t="s">
        <v>397</v>
      </c>
      <c r="D258" t="str">
        <f>HYPERLINK("http://service.sap.com/sap/support/notes/1514077","1514077")</f>
        <v>1514077</v>
      </c>
      <c r="E258">
        <v>4</v>
      </c>
      <c r="F258" t="s">
        <v>398</v>
      </c>
    </row>
    <row r="259" spans="1:6" x14ac:dyDescent="0.25">
      <c r="A259" t="s">
        <v>553</v>
      </c>
      <c r="B259" t="s">
        <v>396</v>
      </c>
      <c r="C259" t="s">
        <v>397</v>
      </c>
      <c r="D259" t="str">
        <f>HYPERLINK("http://service.sap.com/sap/support/notes/1515134","1515134")</f>
        <v>1515134</v>
      </c>
      <c r="E259">
        <v>4</v>
      </c>
      <c r="F259" t="s">
        <v>399</v>
      </c>
    </row>
    <row r="260" spans="1:6" x14ac:dyDescent="0.25">
      <c r="A260" t="s">
        <v>553</v>
      </c>
      <c r="B260" t="s">
        <v>396</v>
      </c>
      <c r="C260" t="s">
        <v>397</v>
      </c>
      <c r="D260" t="str">
        <f>HYPERLINK("http://service.sap.com/sap/support/notes/1519472","1519472")</f>
        <v>1519472</v>
      </c>
      <c r="E260">
        <v>3</v>
      </c>
      <c r="F260" t="s">
        <v>400</v>
      </c>
    </row>
    <row r="261" spans="1:6" x14ac:dyDescent="0.25">
      <c r="A261" t="s">
        <v>553</v>
      </c>
      <c r="B261" t="s">
        <v>401</v>
      </c>
      <c r="C261" t="s">
        <v>402</v>
      </c>
      <c r="D261" t="str">
        <f>HYPERLINK("http://service.sap.com/sap/support/notes/1481465","1481465")</f>
        <v>1481465</v>
      </c>
      <c r="E261">
        <v>9</v>
      </c>
      <c r="F261" t="s">
        <v>403</v>
      </c>
    </row>
    <row r="262" spans="1:6" x14ac:dyDescent="0.25">
      <c r="A262" t="s">
        <v>553</v>
      </c>
      <c r="B262" t="s">
        <v>401</v>
      </c>
      <c r="C262" t="s">
        <v>402</v>
      </c>
      <c r="D262" t="str">
        <f>HYPERLINK("http://service.sap.com/sap/support/notes/1486897","1486897")</f>
        <v>1486897</v>
      </c>
      <c r="E262">
        <v>5</v>
      </c>
      <c r="F262" t="s">
        <v>404</v>
      </c>
    </row>
    <row r="263" spans="1:6" x14ac:dyDescent="0.25">
      <c r="A263" t="s">
        <v>553</v>
      </c>
      <c r="B263" t="s">
        <v>405</v>
      </c>
      <c r="C263" t="s">
        <v>90</v>
      </c>
      <c r="D263" t="str">
        <f>HYPERLINK("http://service.sap.com/sap/support/notes/645372","645372")</f>
        <v>645372</v>
      </c>
      <c r="E263">
        <v>1</v>
      </c>
      <c r="F263" t="s">
        <v>406</v>
      </c>
    </row>
    <row r="264" spans="1:6" x14ac:dyDescent="0.25">
      <c r="A264" t="s">
        <v>553</v>
      </c>
      <c r="B264" t="s">
        <v>405</v>
      </c>
      <c r="C264" t="s">
        <v>90</v>
      </c>
      <c r="D264" t="str">
        <f>HYPERLINK("http://service.sap.com/sap/support/notes/1436880","1436880")</f>
        <v>1436880</v>
      </c>
      <c r="E264">
        <v>6</v>
      </c>
      <c r="F264" t="s">
        <v>407</v>
      </c>
    </row>
    <row r="265" spans="1:6" x14ac:dyDescent="0.25">
      <c r="A265" t="s">
        <v>553</v>
      </c>
      <c r="B265" t="s">
        <v>405</v>
      </c>
      <c r="C265" t="s">
        <v>90</v>
      </c>
      <c r="D265" t="str">
        <f>HYPERLINK("http://service.sap.com/sap/support/notes/1477038","1477038")</f>
        <v>1477038</v>
      </c>
      <c r="E265">
        <v>1</v>
      </c>
      <c r="F265" t="s">
        <v>408</v>
      </c>
    </row>
    <row r="266" spans="1:6" x14ac:dyDescent="0.25">
      <c r="A266" t="s">
        <v>553</v>
      </c>
      <c r="B266" t="s">
        <v>405</v>
      </c>
      <c r="C266" t="s">
        <v>90</v>
      </c>
      <c r="D266" t="str">
        <f>HYPERLINK("http://service.sap.com/sap/support/notes/1514673","1514673")</f>
        <v>1514673</v>
      </c>
      <c r="E266">
        <v>1</v>
      </c>
      <c r="F266" t="s">
        <v>409</v>
      </c>
    </row>
    <row r="267" spans="1:6" x14ac:dyDescent="0.25">
      <c r="A267" t="s">
        <v>553</v>
      </c>
      <c r="B267" t="s">
        <v>405</v>
      </c>
      <c r="C267" t="s">
        <v>90</v>
      </c>
      <c r="D267" t="str">
        <f>HYPERLINK("http://service.sap.com/sap/support/notes/1517396","1517396")</f>
        <v>1517396</v>
      </c>
      <c r="E267">
        <v>1</v>
      </c>
      <c r="F267" t="s">
        <v>410</v>
      </c>
    </row>
    <row r="268" spans="1:6" x14ac:dyDescent="0.25">
      <c r="A268" t="s">
        <v>553</v>
      </c>
      <c r="B268" t="s">
        <v>411</v>
      </c>
      <c r="C268" t="s">
        <v>412</v>
      </c>
      <c r="D268" t="str">
        <f>HYPERLINK("http://service.sap.com/sap/support/notes/1499522","1499522")</f>
        <v>1499522</v>
      </c>
      <c r="E268">
        <v>1</v>
      </c>
      <c r="F268" t="s">
        <v>413</v>
      </c>
    </row>
    <row r="269" spans="1:6" x14ac:dyDescent="0.25">
      <c r="A269" t="s">
        <v>553</v>
      </c>
      <c r="B269" t="s">
        <v>411</v>
      </c>
      <c r="C269" t="s">
        <v>412</v>
      </c>
      <c r="D269" t="str">
        <f>HYPERLINK("http://service.sap.com/sap/support/notes/1514092","1514092")</f>
        <v>1514092</v>
      </c>
      <c r="E269">
        <v>2</v>
      </c>
      <c r="F269" t="s">
        <v>414</v>
      </c>
    </row>
    <row r="270" spans="1:6" x14ac:dyDescent="0.25">
      <c r="A270" t="s">
        <v>553</v>
      </c>
      <c r="B270" t="s">
        <v>415</v>
      </c>
      <c r="C270" t="s">
        <v>416</v>
      </c>
      <c r="D270" t="str">
        <f>HYPERLINK("http://service.sap.com/sap/support/notes/1494547","1494547")</f>
        <v>1494547</v>
      </c>
      <c r="F270" t="s">
        <v>417</v>
      </c>
    </row>
    <row r="271" spans="1:6" x14ac:dyDescent="0.25">
      <c r="A271" t="s">
        <v>553</v>
      </c>
      <c r="B271" t="s">
        <v>415</v>
      </c>
      <c r="C271" t="s">
        <v>416</v>
      </c>
      <c r="D271" t="str">
        <f>HYPERLINK("http://service.sap.com/sap/support/notes/1499104","1499104")</f>
        <v>1499104</v>
      </c>
      <c r="F271" t="s">
        <v>418</v>
      </c>
    </row>
    <row r="272" spans="1:6" x14ac:dyDescent="0.25">
      <c r="A272" t="s">
        <v>553</v>
      </c>
      <c r="B272" t="s">
        <v>415</v>
      </c>
      <c r="C272" t="s">
        <v>416</v>
      </c>
      <c r="D272" t="str">
        <f>HYPERLINK("http://service.sap.com/sap/support/notes/1510384","1510384")</f>
        <v>1510384</v>
      </c>
      <c r="F272" t="s">
        <v>419</v>
      </c>
    </row>
    <row r="273" spans="1:6" x14ac:dyDescent="0.25">
      <c r="A273" t="s">
        <v>553</v>
      </c>
      <c r="B273" t="s">
        <v>415</v>
      </c>
      <c r="C273" t="s">
        <v>416</v>
      </c>
      <c r="D273" t="str">
        <f>HYPERLINK("http://service.sap.com/sap/support/notes/1515132","1515132")</f>
        <v>1515132</v>
      </c>
      <c r="F273" t="s">
        <v>420</v>
      </c>
    </row>
    <row r="274" spans="1:6" x14ac:dyDescent="0.25">
      <c r="A274" t="s">
        <v>553</v>
      </c>
      <c r="B274" t="s">
        <v>415</v>
      </c>
      <c r="C274" t="s">
        <v>416</v>
      </c>
      <c r="D274" t="str">
        <f>HYPERLINK("http://service.sap.com/sap/support/notes/1516210","1516210")</f>
        <v>1516210</v>
      </c>
      <c r="F274" t="s">
        <v>421</v>
      </c>
    </row>
    <row r="275" spans="1:6" x14ac:dyDescent="0.25">
      <c r="A275" t="s">
        <v>553</v>
      </c>
      <c r="B275" t="s">
        <v>415</v>
      </c>
      <c r="C275" t="s">
        <v>416</v>
      </c>
      <c r="D275" t="str">
        <f>HYPERLINK("http://service.sap.com/sap/support/notes/1517055","1517055")</f>
        <v>1517055</v>
      </c>
      <c r="F275" t="s">
        <v>422</v>
      </c>
    </row>
    <row r="276" spans="1:6" x14ac:dyDescent="0.25">
      <c r="A276" t="s">
        <v>553</v>
      </c>
      <c r="B276" t="s">
        <v>415</v>
      </c>
      <c r="C276" t="s">
        <v>416</v>
      </c>
      <c r="D276" t="str">
        <f>HYPERLINK("http://service.sap.com/sap/support/notes/1518676","1518676")</f>
        <v>1518676</v>
      </c>
      <c r="F276" t="s">
        <v>423</v>
      </c>
    </row>
    <row r="277" spans="1:6" x14ac:dyDescent="0.25">
      <c r="A277" t="s">
        <v>553</v>
      </c>
      <c r="B277" t="s">
        <v>415</v>
      </c>
      <c r="C277" t="s">
        <v>416</v>
      </c>
      <c r="D277" t="str">
        <f>HYPERLINK("http://service.sap.com/sap/support/notes/1518786","1518786")</f>
        <v>1518786</v>
      </c>
      <c r="F277" t="s">
        <v>424</v>
      </c>
    </row>
    <row r="278" spans="1:6" x14ac:dyDescent="0.25">
      <c r="A278" t="s">
        <v>553</v>
      </c>
      <c r="B278" t="s">
        <v>425</v>
      </c>
      <c r="C278" t="s">
        <v>426</v>
      </c>
      <c r="D278" t="str">
        <f>HYPERLINK("http://service.sap.com/sap/support/notes/1488474","1488474")</f>
        <v>1488474</v>
      </c>
      <c r="F278" t="s">
        <v>427</v>
      </c>
    </row>
    <row r="279" spans="1:6" x14ac:dyDescent="0.25">
      <c r="A279" t="s">
        <v>553</v>
      </c>
      <c r="B279" t="s">
        <v>425</v>
      </c>
      <c r="C279" t="s">
        <v>426</v>
      </c>
      <c r="D279" t="str">
        <f>HYPERLINK("http://service.sap.com/sap/support/notes/1500305","1500305")</f>
        <v>1500305</v>
      </c>
      <c r="F279" t="s">
        <v>428</v>
      </c>
    </row>
    <row r="280" spans="1:6" x14ac:dyDescent="0.25">
      <c r="A280" t="s">
        <v>553</v>
      </c>
      <c r="B280" t="s">
        <v>425</v>
      </c>
      <c r="C280" t="s">
        <v>426</v>
      </c>
      <c r="D280" t="str">
        <f>HYPERLINK("http://service.sap.com/sap/support/notes/1517701","1517701")</f>
        <v>1517701</v>
      </c>
      <c r="F280" t="s">
        <v>429</v>
      </c>
    </row>
    <row r="281" spans="1:6" x14ac:dyDescent="0.25">
      <c r="A281" t="s">
        <v>553</v>
      </c>
      <c r="B281" t="s">
        <v>425</v>
      </c>
      <c r="C281" t="s">
        <v>426</v>
      </c>
      <c r="D281" t="str">
        <f>HYPERLINK("http://service.sap.com/sap/support/notes/1518715","1518715")</f>
        <v>1518715</v>
      </c>
      <c r="F281" t="s">
        <v>430</v>
      </c>
    </row>
    <row r="282" spans="1:6" x14ac:dyDescent="0.25">
      <c r="A282" t="s">
        <v>553</v>
      </c>
      <c r="B282" t="s">
        <v>431</v>
      </c>
      <c r="C282" t="s">
        <v>432</v>
      </c>
      <c r="D282" t="str">
        <f>HYPERLINK("http://service.sap.com/sap/support/notes/1509699","1509699")</f>
        <v>1509699</v>
      </c>
      <c r="E282">
        <v>1</v>
      </c>
      <c r="F282" t="s">
        <v>433</v>
      </c>
    </row>
    <row r="283" spans="1:6" x14ac:dyDescent="0.25">
      <c r="A283" t="s">
        <v>553</v>
      </c>
      <c r="B283" t="s">
        <v>431</v>
      </c>
      <c r="C283" t="s">
        <v>432</v>
      </c>
      <c r="D283" t="str">
        <f>HYPERLINK("http://service.sap.com/sap/support/notes/1510012","1510012")</f>
        <v>1510012</v>
      </c>
      <c r="E283">
        <v>1</v>
      </c>
      <c r="F283" t="s">
        <v>434</v>
      </c>
    </row>
    <row r="284" spans="1:6" x14ac:dyDescent="0.25">
      <c r="A284" t="s">
        <v>553</v>
      </c>
      <c r="B284" t="s">
        <v>431</v>
      </c>
      <c r="C284" t="s">
        <v>432</v>
      </c>
      <c r="D284" t="str">
        <f>HYPERLINK("http://service.sap.com/sap/support/notes/1513690","1513690")</f>
        <v>1513690</v>
      </c>
      <c r="E284">
        <v>2</v>
      </c>
      <c r="F284" t="s">
        <v>435</v>
      </c>
    </row>
    <row r="285" spans="1:6" x14ac:dyDescent="0.25">
      <c r="A285" t="s">
        <v>553</v>
      </c>
      <c r="B285" t="s">
        <v>436</v>
      </c>
      <c r="C285" t="s">
        <v>437</v>
      </c>
      <c r="D285" t="str">
        <f>HYPERLINK("http://service.sap.com/sap/support/notes/1510932","1510932")</f>
        <v>1510932</v>
      </c>
      <c r="E285">
        <v>1</v>
      </c>
      <c r="F285" t="s">
        <v>438</v>
      </c>
    </row>
    <row r="286" spans="1:6" x14ac:dyDescent="0.25">
      <c r="A286" t="s">
        <v>553</v>
      </c>
      <c r="B286" t="s">
        <v>436</v>
      </c>
      <c r="C286" t="s">
        <v>437</v>
      </c>
      <c r="D286" t="str">
        <f>HYPERLINK("http://service.sap.com/sap/support/notes/1519571","1519571")</f>
        <v>1519571</v>
      </c>
      <c r="E286">
        <v>1</v>
      </c>
      <c r="F286" t="s">
        <v>439</v>
      </c>
    </row>
    <row r="287" spans="1:6" x14ac:dyDescent="0.25">
      <c r="A287" t="s">
        <v>553</v>
      </c>
      <c r="B287" t="s">
        <v>440</v>
      </c>
      <c r="C287" t="s">
        <v>441</v>
      </c>
      <c r="D287" t="str">
        <f>HYPERLINK("http://service.sap.com/sap/support/notes/1496608","1496608")</f>
        <v>1496608</v>
      </c>
      <c r="E287">
        <v>2</v>
      </c>
      <c r="F287" t="s">
        <v>442</v>
      </c>
    </row>
    <row r="288" spans="1:6" x14ac:dyDescent="0.25">
      <c r="A288" t="s">
        <v>553</v>
      </c>
      <c r="B288" t="s">
        <v>440</v>
      </c>
      <c r="C288" t="s">
        <v>441</v>
      </c>
      <c r="D288" t="str">
        <f>HYPERLINK("http://service.sap.com/sap/support/notes/1496693","1496693")</f>
        <v>1496693</v>
      </c>
      <c r="E288">
        <v>2</v>
      </c>
      <c r="F288" t="s">
        <v>443</v>
      </c>
    </row>
    <row r="289" spans="1:6" x14ac:dyDescent="0.25">
      <c r="A289" t="s">
        <v>553</v>
      </c>
      <c r="B289" t="s">
        <v>440</v>
      </c>
      <c r="C289" t="s">
        <v>441</v>
      </c>
      <c r="D289" t="str">
        <f>HYPERLINK("http://service.sap.com/sap/support/notes/1503315","1503315")</f>
        <v>1503315</v>
      </c>
      <c r="E289">
        <v>2</v>
      </c>
      <c r="F289" t="s">
        <v>444</v>
      </c>
    </row>
    <row r="290" spans="1:6" x14ac:dyDescent="0.25">
      <c r="A290" t="s">
        <v>553</v>
      </c>
      <c r="B290" t="s">
        <v>440</v>
      </c>
      <c r="C290" t="s">
        <v>441</v>
      </c>
      <c r="D290" t="str">
        <f>HYPERLINK("http://service.sap.com/sap/support/notes/1506929","1506929")</f>
        <v>1506929</v>
      </c>
      <c r="E290">
        <v>2</v>
      </c>
      <c r="F290" t="s">
        <v>445</v>
      </c>
    </row>
    <row r="291" spans="1:6" x14ac:dyDescent="0.25">
      <c r="A291" t="s">
        <v>553</v>
      </c>
      <c r="B291" t="s">
        <v>440</v>
      </c>
      <c r="C291" t="s">
        <v>441</v>
      </c>
      <c r="D291" t="str">
        <f>HYPERLINK("http://service.sap.com/sap/support/notes/1511259","1511259")</f>
        <v>1511259</v>
      </c>
      <c r="E291">
        <v>2</v>
      </c>
      <c r="F291" t="s">
        <v>446</v>
      </c>
    </row>
    <row r="292" spans="1:6" x14ac:dyDescent="0.25">
      <c r="A292" t="s">
        <v>553</v>
      </c>
      <c r="B292" t="s">
        <v>440</v>
      </c>
      <c r="C292" t="s">
        <v>441</v>
      </c>
      <c r="D292" t="str">
        <f>HYPERLINK("http://service.sap.com/sap/support/notes/1514099","1514099")</f>
        <v>1514099</v>
      </c>
      <c r="E292">
        <v>2</v>
      </c>
      <c r="F292" t="s">
        <v>447</v>
      </c>
    </row>
    <row r="293" spans="1:6" x14ac:dyDescent="0.25">
      <c r="A293" t="s">
        <v>553</v>
      </c>
      <c r="B293" t="s">
        <v>440</v>
      </c>
      <c r="C293" t="s">
        <v>441</v>
      </c>
      <c r="D293" t="str">
        <f>HYPERLINK("http://service.sap.com/sap/support/notes/1516874","1516874")</f>
        <v>1516874</v>
      </c>
      <c r="E293">
        <v>2</v>
      </c>
      <c r="F293" t="s">
        <v>448</v>
      </c>
    </row>
    <row r="294" spans="1:6" x14ac:dyDescent="0.25">
      <c r="A294" t="s">
        <v>553</v>
      </c>
      <c r="B294" t="s">
        <v>449</v>
      </c>
      <c r="C294" t="s">
        <v>450</v>
      </c>
      <c r="D294" t="str">
        <f>HYPERLINK("http://service.sap.com/sap/support/notes/1477136","1477136")</f>
        <v>1477136</v>
      </c>
      <c r="E294">
        <v>2</v>
      </c>
      <c r="F294" t="s">
        <v>451</v>
      </c>
    </row>
    <row r="295" spans="1:6" x14ac:dyDescent="0.25">
      <c r="A295" t="s">
        <v>553</v>
      </c>
      <c r="B295" t="s">
        <v>449</v>
      </c>
      <c r="C295" t="s">
        <v>450</v>
      </c>
      <c r="D295" t="str">
        <f>HYPERLINK("http://service.sap.com/sap/support/notes/1477388","1477388")</f>
        <v>1477388</v>
      </c>
      <c r="E295">
        <v>9</v>
      </c>
      <c r="F295" t="s">
        <v>452</v>
      </c>
    </row>
    <row r="296" spans="1:6" x14ac:dyDescent="0.25">
      <c r="A296" t="s">
        <v>553</v>
      </c>
      <c r="B296" t="s">
        <v>449</v>
      </c>
      <c r="C296" t="s">
        <v>450</v>
      </c>
      <c r="D296" t="str">
        <f>HYPERLINK("http://service.sap.com/sap/support/notes/1499743","1499743")</f>
        <v>1499743</v>
      </c>
      <c r="E296">
        <v>2</v>
      </c>
      <c r="F296" t="s">
        <v>453</v>
      </c>
    </row>
    <row r="297" spans="1:6" x14ac:dyDescent="0.25">
      <c r="A297" t="s">
        <v>553</v>
      </c>
      <c r="B297" t="s">
        <v>449</v>
      </c>
      <c r="C297" t="s">
        <v>450</v>
      </c>
      <c r="D297" t="str">
        <f>HYPERLINK("http://service.sap.com/sap/support/notes/1500694","1500694")</f>
        <v>1500694</v>
      </c>
      <c r="E297">
        <v>3</v>
      </c>
      <c r="F297" t="s">
        <v>454</v>
      </c>
    </row>
    <row r="298" spans="1:6" x14ac:dyDescent="0.25">
      <c r="A298" t="s">
        <v>553</v>
      </c>
      <c r="B298" t="s">
        <v>449</v>
      </c>
      <c r="C298" t="s">
        <v>450</v>
      </c>
      <c r="D298" t="str">
        <f>HYPERLINK("http://service.sap.com/sap/support/notes/1502003","1502003")</f>
        <v>1502003</v>
      </c>
      <c r="E298">
        <v>2</v>
      </c>
      <c r="F298" t="s">
        <v>455</v>
      </c>
    </row>
    <row r="299" spans="1:6" x14ac:dyDescent="0.25">
      <c r="A299" t="s">
        <v>553</v>
      </c>
      <c r="B299" t="s">
        <v>449</v>
      </c>
      <c r="C299" t="s">
        <v>450</v>
      </c>
      <c r="D299" t="str">
        <f>HYPERLINK("http://service.sap.com/sap/support/notes/1504170","1504170")</f>
        <v>1504170</v>
      </c>
      <c r="E299">
        <v>3</v>
      </c>
      <c r="F299" t="s">
        <v>456</v>
      </c>
    </row>
    <row r="300" spans="1:6" x14ac:dyDescent="0.25">
      <c r="A300" t="s">
        <v>553</v>
      </c>
      <c r="B300" t="s">
        <v>449</v>
      </c>
      <c r="C300" t="s">
        <v>450</v>
      </c>
      <c r="D300" t="str">
        <f>HYPERLINK("http://service.sap.com/sap/support/notes/1504709","1504709")</f>
        <v>1504709</v>
      </c>
      <c r="E300">
        <v>2</v>
      </c>
      <c r="F300" t="s">
        <v>457</v>
      </c>
    </row>
    <row r="301" spans="1:6" x14ac:dyDescent="0.25">
      <c r="A301" t="s">
        <v>553</v>
      </c>
      <c r="B301" t="s">
        <v>449</v>
      </c>
      <c r="C301" t="s">
        <v>450</v>
      </c>
      <c r="D301" t="str">
        <f>HYPERLINK("http://service.sap.com/sap/support/notes/1509567","1509567")</f>
        <v>1509567</v>
      </c>
      <c r="E301">
        <v>2</v>
      </c>
      <c r="F301" t="s">
        <v>458</v>
      </c>
    </row>
    <row r="302" spans="1:6" x14ac:dyDescent="0.25">
      <c r="A302" t="s">
        <v>553</v>
      </c>
      <c r="B302" t="s">
        <v>449</v>
      </c>
      <c r="C302" t="s">
        <v>450</v>
      </c>
      <c r="D302" t="str">
        <f>HYPERLINK("http://service.sap.com/sap/support/notes/1513628","1513628")</f>
        <v>1513628</v>
      </c>
      <c r="E302">
        <v>2</v>
      </c>
      <c r="F302" t="s">
        <v>459</v>
      </c>
    </row>
    <row r="303" spans="1:6" x14ac:dyDescent="0.25">
      <c r="A303" t="s">
        <v>553</v>
      </c>
      <c r="B303" t="s">
        <v>460</v>
      </c>
      <c r="C303" t="s">
        <v>461</v>
      </c>
      <c r="D303" t="str">
        <f>HYPERLINK("http://service.sap.com/sap/support/notes/1511961","1511961")</f>
        <v>1511961</v>
      </c>
      <c r="E303">
        <v>1</v>
      </c>
      <c r="F303" t="s">
        <v>462</v>
      </c>
    </row>
    <row r="304" spans="1:6" x14ac:dyDescent="0.25">
      <c r="A304" t="s">
        <v>553</v>
      </c>
      <c r="B304" t="s">
        <v>460</v>
      </c>
      <c r="C304" t="s">
        <v>461</v>
      </c>
      <c r="D304" t="str">
        <f>HYPERLINK("http://service.sap.com/sap/support/notes/1512566","1512566")</f>
        <v>1512566</v>
      </c>
      <c r="E304">
        <v>2</v>
      </c>
      <c r="F304" t="s">
        <v>463</v>
      </c>
    </row>
    <row r="305" spans="1:6" x14ac:dyDescent="0.25">
      <c r="A305" t="s">
        <v>553</v>
      </c>
      <c r="B305" t="s">
        <v>460</v>
      </c>
      <c r="C305" t="s">
        <v>461</v>
      </c>
      <c r="D305" t="str">
        <f>HYPERLINK("http://service.sap.com/sap/support/notes/1512795","1512795")</f>
        <v>1512795</v>
      </c>
      <c r="E305">
        <v>1</v>
      </c>
      <c r="F305" t="s">
        <v>464</v>
      </c>
    </row>
    <row r="306" spans="1:6" x14ac:dyDescent="0.25">
      <c r="A306" t="s">
        <v>553</v>
      </c>
      <c r="B306" t="s">
        <v>460</v>
      </c>
      <c r="C306" t="s">
        <v>461</v>
      </c>
      <c r="D306" t="str">
        <f>HYPERLINK("http://service.sap.com/sap/support/notes/1512950","1512950")</f>
        <v>1512950</v>
      </c>
      <c r="E306">
        <v>1</v>
      </c>
      <c r="F306" t="s">
        <v>465</v>
      </c>
    </row>
    <row r="307" spans="1:6" x14ac:dyDescent="0.25">
      <c r="A307" t="s">
        <v>553</v>
      </c>
      <c r="B307" t="s">
        <v>460</v>
      </c>
      <c r="C307" t="s">
        <v>461</v>
      </c>
      <c r="D307" t="str">
        <f>HYPERLINK("http://service.sap.com/sap/support/notes/1514171","1514171")</f>
        <v>1514171</v>
      </c>
      <c r="E307">
        <v>1</v>
      </c>
      <c r="F307" t="s">
        <v>466</v>
      </c>
    </row>
    <row r="308" spans="1:6" x14ac:dyDescent="0.25">
      <c r="A308" t="s">
        <v>553</v>
      </c>
      <c r="B308" t="s">
        <v>460</v>
      </c>
      <c r="C308" t="s">
        <v>461</v>
      </c>
      <c r="D308" t="str">
        <f>HYPERLINK("http://service.sap.com/sap/support/notes/1516411","1516411")</f>
        <v>1516411</v>
      </c>
      <c r="E308">
        <v>1</v>
      </c>
      <c r="F308" t="s">
        <v>467</v>
      </c>
    </row>
    <row r="309" spans="1:6" x14ac:dyDescent="0.25">
      <c r="A309" t="s">
        <v>553</v>
      </c>
      <c r="B309" t="s">
        <v>460</v>
      </c>
      <c r="C309" t="s">
        <v>461</v>
      </c>
      <c r="D309" t="str">
        <f>HYPERLINK("http://service.sap.com/sap/support/notes/1517626","1517626")</f>
        <v>1517626</v>
      </c>
      <c r="E309">
        <v>1</v>
      </c>
      <c r="F309" t="s">
        <v>468</v>
      </c>
    </row>
    <row r="310" spans="1:6" x14ac:dyDescent="0.25">
      <c r="A310" t="s">
        <v>553</v>
      </c>
      <c r="B310" t="s">
        <v>460</v>
      </c>
      <c r="C310" t="s">
        <v>461</v>
      </c>
      <c r="D310" t="str">
        <f>HYPERLINK("http://service.sap.com/sap/support/notes/1517669","1517669")</f>
        <v>1517669</v>
      </c>
      <c r="E310">
        <v>1</v>
      </c>
      <c r="F310" t="s">
        <v>469</v>
      </c>
    </row>
    <row r="311" spans="1:6" x14ac:dyDescent="0.25">
      <c r="A311" t="s">
        <v>553</v>
      </c>
      <c r="B311" t="s">
        <v>460</v>
      </c>
      <c r="C311" t="s">
        <v>461</v>
      </c>
      <c r="D311" t="str">
        <f>HYPERLINK("http://service.sap.com/sap/support/notes/1517697","1517697")</f>
        <v>1517697</v>
      </c>
      <c r="E311">
        <v>1</v>
      </c>
      <c r="F311" t="s">
        <v>470</v>
      </c>
    </row>
    <row r="312" spans="1:6" x14ac:dyDescent="0.25">
      <c r="A312" t="s">
        <v>553</v>
      </c>
      <c r="B312" t="s">
        <v>460</v>
      </c>
      <c r="C312" t="s">
        <v>461</v>
      </c>
      <c r="D312" t="str">
        <f>HYPERLINK("http://service.sap.com/sap/support/notes/1518898","1518898")</f>
        <v>1518898</v>
      </c>
      <c r="E312">
        <v>1</v>
      </c>
      <c r="F312" t="s">
        <v>471</v>
      </c>
    </row>
    <row r="313" spans="1:6" x14ac:dyDescent="0.25">
      <c r="A313" t="s">
        <v>553</v>
      </c>
      <c r="B313" t="s">
        <v>472</v>
      </c>
      <c r="C313" t="s">
        <v>473</v>
      </c>
      <c r="D313" t="str">
        <f>HYPERLINK("http://service.sap.com/sap/support/notes/1518666","1518666")</f>
        <v>1518666</v>
      </c>
      <c r="E313">
        <v>1</v>
      </c>
      <c r="F313" t="s">
        <v>474</v>
      </c>
    </row>
    <row r="314" spans="1:6" x14ac:dyDescent="0.25">
      <c r="A314" t="s">
        <v>553</v>
      </c>
      <c r="B314" t="s">
        <v>472</v>
      </c>
      <c r="C314" t="s">
        <v>473</v>
      </c>
      <c r="D314" t="str">
        <f>HYPERLINK("http://service.sap.com/sap/support/notes/1520233","1520233")</f>
        <v>1520233</v>
      </c>
      <c r="E314">
        <v>1</v>
      </c>
      <c r="F314" t="s">
        <v>475</v>
      </c>
    </row>
    <row r="315" spans="1:6" x14ac:dyDescent="0.25">
      <c r="A315" t="s">
        <v>553</v>
      </c>
      <c r="B315" t="s">
        <v>476</v>
      </c>
      <c r="C315" t="s">
        <v>477</v>
      </c>
      <c r="D315" t="str">
        <f>HYPERLINK("http://service.sap.com/sap/support/notes/1512559","1512559")</f>
        <v>1512559</v>
      </c>
      <c r="E315">
        <v>1</v>
      </c>
      <c r="F315" t="s">
        <v>478</v>
      </c>
    </row>
    <row r="316" spans="1:6" x14ac:dyDescent="0.25">
      <c r="A316" t="s">
        <v>553</v>
      </c>
      <c r="B316" t="s">
        <v>479</v>
      </c>
      <c r="C316" t="s">
        <v>480</v>
      </c>
      <c r="D316" t="str">
        <f>HYPERLINK("http://service.sap.com/sap/support/notes/1477037","1477037")</f>
        <v>1477037</v>
      </c>
      <c r="F316" t="s">
        <v>481</v>
      </c>
    </row>
    <row r="317" spans="1:6" x14ac:dyDescent="0.25">
      <c r="A317" t="s">
        <v>553</v>
      </c>
      <c r="B317" t="s">
        <v>479</v>
      </c>
      <c r="C317" t="s">
        <v>480</v>
      </c>
      <c r="D317" t="str">
        <f>HYPERLINK("http://service.sap.com/sap/support/notes/1512322","1512322")</f>
        <v>1512322</v>
      </c>
      <c r="F317" t="s">
        <v>482</v>
      </c>
    </row>
    <row r="318" spans="1:6" x14ac:dyDescent="0.25">
      <c r="A318" t="s">
        <v>553</v>
      </c>
      <c r="B318" t="s">
        <v>479</v>
      </c>
      <c r="C318" t="s">
        <v>480</v>
      </c>
      <c r="D318" t="str">
        <f>HYPERLINK("http://service.sap.com/sap/support/notes/1515377","1515377")</f>
        <v>1515377</v>
      </c>
      <c r="F318" t="s">
        <v>483</v>
      </c>
    </row>
    <row r="319" spans="1:6" x14ac:dyDescent="0.25">
      <c r="A319" t="s">
        <v>553</v>
      </c>
      <c r="B319" t="s">
        <v>479</v>
      </c>
      <c r="C319" t="s">
        <v>480</v>
      </c>
      <c r="D319" t="str">
        <f>HYPERLINK("http://service.sap.com/sap/support/notes/1515775","1515775")</f>
        <v>1515775</v>
      </c>
      <c r="F319" t="s">
        <v>484</v>
      </c>
    </row>
    <row r="320" spans="1:6" x14ac:dyDescent="0.25">
      <c r="A320" t="s">
        <v>553</v>
      </c>
      <c r="B320" t="s">
        <v>479</v>
      </c>
      <c r="C320" t="s">
        <v>480</v>
      </c>
      <c r="D320" t="str">
        <f>HYPERLINK("http://service.sap.com/sap/support/notes/1516286","1516286")</f>
        <v>1516286</v>
      </c>
      <c r="F320" t="s">
        <v>485</v>
      </c>
    </row>
    <row r="321" spans="1:6" x14ac:dyDescent="0.25">
      <c r="A321" t="s">
        <v>553</v>
      </c>
      <c r="B321" t="s">
        <v>479</v>
      </c>
      <c r="C321" t="s">
        <v>480</v>
      </c>
      <c r="D321" t="str">
        <f>HYPERLINK("http://service.sap.com/sap/support/notes/1518708","1518708")</f>
        <v>1518708</v>
      </c>
      <c r="F321" t="s">
        <v>486</v>
      </c>
    </row>
    <row r="322" spans="1:6" x14ac:dyDescent="0.25">
      <c r="A322" t="s">
        <v>553</v>
      </c>
      <c r="B322" t="s">
        <v>487</v>
      </c>
      <c r="C322" t="s">
        <v>153</v>
      </c>
      <c r="D322" t="str">
        <f>HYPERLINK("http://service.sap.com/sap/support/notes/1518308","1518308")</f>
        <v>1518308</v>
      </c>
      <c r="F322" t="s">
        <v>488</v>
      </c>
    </row>
    <row r="323" spans="1:6" x14ac:dyDescent="0.25">
      <c r="A323" t="s">
        <v>553</v>
      </c>
      <c r="B323" t="s">
        <v>489</v>
      </c>
      <c r="C323" t="s">
        <v>104</v>
      </c>
      <c r="D323" t="str">
        <f>HYPERLINK("http://service.sap.com/sap/support/notes/1511610","1511610")</f>
        <v>1511610</v>
      </c>
      <c r="E323">
        <v>1</v>
      </c>
      <c r="F323" t="s">
        <v>490</v>
      </c>
    </row>
    <row r="324" spans="1:6" x14ac:dyDescent="0.25">
      <c r="A324" t="s">
        <v>553</v>
      </c>
      <c r="B324" t="s">
        <v>489</v>
      </c>
      <c r="C324" t="s">
        <v>104</v>
      </c>
      <c r="D324" t="str">
        <f>HYPERLINK("http://service.sap.com/sap/support/notes/1514660","1514660")</f>
        <v>1514660</v>
      </c>
      <c r="E324">
        <v>1</v>
      </c>
      <c r="F324" t="s">
        <v>491</v>
      </c>
    </row>
    <row r="325" spans="1:6" x14ac:dyDescent="0.25">
      <c r="A325" t="s">
        <v>553</v>
      </c>
      <c r="B325" t="s">
        <v>489</v>
      </c>
      <c r="C325" t="s">
        <v>104</v>
      </c>
      <c r="D325" t="str">
        <f>HYPERLINK("http://service.sap.com/sap/support/notes/1515848","1515848")</f>
        <v>1515848</v>
      </c>
      <c r="E325">
        <v>1</v>
      </c>
      <c r="F325" t="s">
        <v>492</v>
      </c>
    </row>
    <row r="326" spans="1:6" x14ac:dyDescent="0.25">
      <c r="A326" t="s">
        <v>553</v>
      </c>
      <c r="B326" t="s">
        <v>489</v>
      </c>
      <c r="C326" t="s">
        <v>104</v>
      </c>
      <c r="D326" t="str">
        <f>HYPERLINK("http://service.sap.com/sap/support/notes/1517226","1517226")</f>
        <v>1517226</v>
      </c>
      <c r="E326">
        <v>1</v>
      </c>
      <c r="F326" t="s">
        <v>493</v>
      </c>
    </row>
    <row r="327" spans="1:6" x14ac:dyDescent="0.25">
      <c r="A327" t="s">
        <v>553</v>
      </c>
      <c r="B327" t="s">
        <v>489</v>
      </c>
      <c r="C327" t="s">
        <v>104</v>
      </c>
      <c r="D327" t="str">
        <f>HYPERLINK("http://service.sap.com/sap/support/notes/1518685","1518685")</f>
        <v>1518685</v>
      </c>
      <c r="E327">
        <v>1</v>
      </c>
      <c r="F327" t="s">
        <v>494</v>
      </c>
    </row>
    <row r="328" spans="1:6" x14ac:dyDescent="0.25">
      <c r="A328" t="s">
        <v>553</v>
      </c>
      <c r="B328" t="s">
        <v>495</v>
      </c>
      <c r="C328" t="s">
        <v>496</v>
      </c>
      <c r="D328" t="str">
        <f>HYPERLINK("http://service.sap.com/sap/support/notes/1338383","1338383")</f>
        <v>1338383</v>
      </c>
      <c r="E328">
        <v>1</v>
      </c>
      <c r="F328" t="s">
        <v>497</v>
      </c>
    </row>
    <row r="329" spans="1:6" x14ac:dyDescent="0.25">
      <c r="A329" t="s">
        <v>553</v>
      </c>
      <c r="B329" t="s">
        <v>495</v>
      </c>
      <c r="C329" t="s">
        <v>496</v>
      </c>
      <c r="D329" t="str">
        <f>HYPERLINK("http://service.sap.com/sap/support/notes/1512760","1512760")</f>
        <v>1512760</v>
      </c>
      <c r="E329">
        <v>1</v>
      </c>
      <c r="F329" t="s">
        <v>498</v>
      </c>
    </row>
    <row r="330" spans="1:6" x14ac:dyDescent="0.25">
      <c r="A330" t="s">
        <v>553</v>
      </c>
      <c r="B330" t="s">
        <v>499</v>
      </c>
      <c r="C330" t="s">
        <v>108</v>
      </c>
      <c r="D330" t="str">
        <f>HYPERLINK("http://service.sap.com/sap/support/notes/1516105","1516105")</f>
        <v>1516105</v>
      </c>
      <c r="E330">
        <v>1</v>
      </c>
      <c r="F330" t="s">
        <v>500</v>
      </c>
    </row>
    <row r="331" spans="1:6" x14ac:dyDescent="0.25">
      <c r="A331" t="s">
        <v>553</v>
      </c>
      <c r="B331" t="s">
        <v>501</v>
      </c>
      <c r="C331" t="s">
        <v>153</v>
      </c>
    </row>
    <row r="332" spans="1:6" x14ac:dyDescent="0.25">
      <c r="A332" t="s">
        <v>553</v>
      </c>
      <c r="B332" t="s">
        <v>502</v>
      </c>
      <c r="C332" t="s">
        <v>503</v>
      </c>
      <c r="D332" t="str">
        <f>HYPERLINK("http://service.sap.com/sap/support/notes/1515588","1515588")</f>
        <v>1515588</v>
      </c>
      <c r="E332">
        <v>1</v>
      </c>
      <c r="F332" t="s">
        <v>504</v>
      </c>
    </row>
    <row r="333" spans="1:6" x14ac:dyDescent="0.25">
      <c r="A333" t="s">
        <v>553</v>
      </c>
      <c r="B333" t="s">
        <v>505</v>
      </c>
      <c r="C333" t="s">
        <v>299</v>
      </c>
      <c r="D333" t="str">
        <f>HYPERLINK("http://service.sap.com/sap/support/notes/1477948","1477948")</f>
        <v>1477948</v>
      </c>
      <c r="E333">
        <v>1</v>
      </c>
      <c r="F333" t="s">
        <v>506</v>
      </c>
    </row>
    <row r="334" spans="1:6" x14ac:dyDescent="0.25">
      <c r="A334" t="s">
        <v>553</v>
      </c>
      <c r="B334" t="s">
        <v>505</v>
      </c>
      <c r="C334" t="s">
        <v>299</v>
      </c>
      <c r="D334" t="str">
        <f>HYPERLINK("http://service.sap.com/sap/support/notes/1500574","1500574")</f>
        <v>1500574</v>
      </c>
      <c r="E334">
        <v>1</v>
      </c>
      <c r="F334" t="s">
        <v>507</v>
      </c>
    </row>
    <row r="335" spans="1:6" x14ac:dyDescent="0.25">
      <c r="A335" t="s">
        <v>553</v>
      </c>
      <c r="B335" t="s">
        <v>508</v>
      </c>
      <c r="C335" t="s">
        <v>509</v>
      </c>
      <c r="D335" t="str">
        <f>HYPERLINK("http://service.sap.com/sap/support/notes/1490536","1490536")</f>
        <v>1490536</v>
      </c>
      <c r="E335">
        <v>3</v>
      </c>
      <c r="F335" t="s">
        <v>510</v>
      </c>
    </row>
    <row r="336" spans="1:6" x14ac:dyDescent="0.25">
      <c r="A336" t="s">
        <v>553</v>
      </c>
      <c r="B336" t="s">
        <v>508</v>
      </c>
      <c r="C336" t="s">
        <v>509</v>
      </c>
      <c r="D336" t="str">
        <f>HYPERLINK("http://service.sap.com/sap/support/notes/1494198","1494198")</f>
        <v>1494198</v>
      </c>
      <c r="E336">
        <v>4</v>
      </c>
      <c r="F336" t="s">
        <v>511</v>
      </c>
    </row>
    <row r="337" spans="1:6" x14ac:dyDescent="0.25">
      <c r="A337" t="s">
        <v>553</v>
      </c>
      <c r="B337" t="s">
        <v>508</v>
      </c>
      <c r="C337" t="s">
        <v>509</v>
      </c>
      <c r="D337" t="str">
        <f>HYPERLINK("http://service.sap.com/sap/support/notes/1503168","1503168")</f>
        <v>1503168</v>
      </c>
      <c r="E337">
        <v>3</v>
      </c>
      <c r="F337" t="s">
        <v>512</v>
      </c>
    </row>
    <row r="338" spans="1:6" x14ac:dyDescent="0.25">
      <c r="A338" t="s">
        <v>553</v>
      </c>
      <c r="B338" t="s">
        <v>508</v>
      </c>
      <c r="C338" t="s">
        <v>509</v>
      </c>
      <c r="D338" t="str">
        <f>HYPERLINK("http://service.sap.com/sap/support/notes/1508622","1508622")</f>
        <v>1508622</v>
      </c>
      <c r="E338">
        <v>3</v>
      </c>
      <c r="F338" t="s">
        <v>513</v>
      </c>
    </row>
    <row r="339" spans="1:6" x14ac:dyDescent="0.25">
      <c r="A339" t="s">
        <v>553</v>
      </c>
      <c r="B339" t="s">
        <v>508</v>
      </c>
      <c r="C339" t="s">
        <v>509</v>
      </c>
      <c r="D339" t="str">
        <f>HYPERLINK("http://service.sap.com/sap/support/notes/1512624","1512624")</f>
        <v>1512624</v>
      </c>
      <c r="E339">
        <v>2</v>
      </c>
      <c r="F339" t="s">
        <v>514</v>
      </c>
    </row>
    <row r="340" spans="1:6" x14ac:dyDescent="0.25">
      <c r="A340" t="s">
        <v>553</v>
      </c>
      <c r="B340" t="s">
        <v>508</v>
      </c>
      <c r="C340" t="s">
        <v>509</v>
      </c>
      <c r="D340" t="str">
        <f>HYPERLINK("http://service.sap.com/sap/support/notes/1513162","1513162")</f>
        <v>1513162</v>
      </c>
      <c r="E340">
        <v>2</v>
      </c>
      <c r="F340" t="s">
        <v>515</v>
      </c>
    </row>
    <row r="341" spans="1:6" x14ac:dyDescent="0.25">
      <c r="A341" t="s">
        <v>553</v>
      </c>
      <c r="B341" t="s">
        <v>508</v>
      </c>
      <c r="C341" t="s">
        <v>509</v>
      </c>
      <c r="D341" t="str">
        <f>HYPERLINK("http://service.sap.com/sap/support/notes/1513549","1513549")</f>
        <v>1513549</v>
      </c>
      <c r="E341">
        <v>3</v>
      </c>
      <c r="F341" t="s">
        <v>516</v>
      </c>
    </row>
    <row r="342" spans="1:6" x14ac:dyDescent="0.25">
      <c r="A342" t="s">
        <v>553</v>
      </c>
      <c r="B342" t="s">
        <v>508</v>
      </c>
      <c r="C342" t="s">
        <v>509</v>
      </c>
      <c r="D342" t="str">
        <f>HYPERLINK("http://service.sap.com/sap/support/notes/1514528","1514528")</f>
        <v>1514528</v>
      </c>
      <c r="E342">
        <v>2</v>
      </c>
      <c r="F342" t="s">
        <v>517</v>
      </c>
    </row>
    <row r="343" spans="1:6" x14ac:dyDescent="0.25">
      <c r="A343" t="s">
        <v>553</v>
      </c>
      <c r="B343" t="s">
        <v>508</v>
      </c>
      <c r="C343" t="s">
        <v>509</v>
      </c>
      <c r="D343" t="str">
        <f>HYPERLINK("http://service.sap.com/sap/support/notes/1515521","1515521")</f>
        <v>1515521</v>
      </c>
      <c r="E343">
        <v>3</v>
      </c>
      <c r="F343" t="s">
        <v>518</v>
      </c>
    </row>
    <row r="344" spans="1:6" x14ac:dyDescent="0.25">
      <c r="A344" t="s">
        <v>553</v>
      </c>
      <c r="B344" t="s">
        <v>508</v>
      </c>
      <c r="C344" t="s">
        <v>509</v>
      </c>
      <c r="D344" t="str">
        <f>HYPERLINK("http://service.sap.com/sap/support/notes/1516396","1516396")</f>
        <v>1516396</v>
      </c>
      <c r="E344">
        <v>1</v>
      </c>
      <c r="F344" t="s">
        <v>519</v>
      </c>
    </row>
    <row r="345" spans="1:6" x14ac:dyDescent="0.25">
      <c r="A345" t="s">
        <v>553</v>
      </c>
      <c r="B345" t="s">
        <v>508</v>
      </c>
      <c r="C345" t="s">
        <v>509</v>
      </c>
      <c r="D345" t="str">
        <f>HYPERLINK("http://service.sap.com/sap/support/notes/1516540","1516540")</f>
        <v>1516540</v>
      </c>
      <c r="E345">
        <v>2</v>
      </c>
      <c r="F345" t="s">
        <v>520</v>
      </c>
    </row>
    <row r="346" spans="1:6" x14ac:dyDescent="0.25">
      <c r="A346" t="s">
        <v>553</v>
      </c>
      <c r="B346" t="s">
        <v>508</v>
      </c>
      <c r="C346" t="s">
        <v>509</v>
      </c>
      <c r="D346" t="str">
        <f>HYPERLINK("http://service.sap.com/sap/support/notes/1518503","1518503")</f>
        <v>1518503</v>
      </c>
      <c r="E346">
        <v>3</v>
      </c>
      <c r="F346" t="s">
        <v>521</v>
      </c>
    </row>
    <row r="347" spans="1:6" x14ac:dyDescent="0.25">
      <c r="A347" t="s">
        <v>553</v>
      </c>
      <c r="B347" t="s">
        <v>508</v>
      </c>
      <c r="C347" t="s">
        <v>509</v>
      </c>
      <c r="D347" t="str">
        <f>HYPERLINK("http://service.sap.com/sap/support/notes/1518602","1518602")</f>
        <v>1518602</v>
      </c>
      <c r="E347">
        <v>2</v>
      </c>
      <c r="F347" t="s">
        <v>522</v>
      </c>
    </row>
    <row r="348" spans="1:6" x14ac:dyDescent="0.25">
      <c r="A348" t="s">
        <v>553</v>
      </c>
      <c r="B348" t="s">
        <v>508</v>
      </c>
      <c r="C348" t="s">
        <v>509</v>
      </c>
      <c r="D348" t="str">
        <f>HYPERLINK("http://service.sap.com/sap/support/notes/1519142","1519142")</f>
        <v>1519142</v>
      </c>
      <c r="E348">
        <v>1</v>
      </c>
      <c r="F348" t="s">
        <v>523</v>
      </c>
    </row>
    <row r="349" spans="1:6" x14ac:dyDescent="0.25">
      <c r="A349" t="s">
        <v>553</v>
      </c>
      <c r="B349" t="s">
        <v>508</v>
      </c>
      <c r="C349" t="s">
        <v>509</v>
      </c>
      <c r="D349" t="str">
        <f>HYPERLINK("http://service.sap.com/sap/support/notes/1519934","1519934")</f>
        <v>1519934</v>
      </c>
      <c r="E349">
        <v>1</v>
      </c>
      <c r="F349" t="s">
        <v>524</v>
      </c>
    </row>
    <row r="350" spans="1:6" x14ac:dyDescent="0.25">
      <c r="A350" t="s">
        <v>553</v>
      </c>
      <c r="B350" t="s">
        <v>525</v>
      </c>
      <c r="C350" t="s">
        <v>526</v>
      </c>
      <c r="D350" t="str">
        <f>HYPERLINK("http://service.sap.com/sap/support/notes/1477003","1477003")</f>
        <v>1477003</v>
      </c>
      <c r="E350">
        <v>4</v>
      </c>
      <c r="F350" t="s">
        <v>527</v>
      </c>
    </row>
    <row r="351" spans="1:6" x14ac:dyDescent="0.25">
      <c r="A351" t="s">
        <v>553</v>
      </c>
      <c r="B351" t="s">
        <v>528</v>
      </c>
      <c r="C351" t="s">
        <v>529</v>
      </c>
      <c r="D351" t="str">
        <f>HYPERLINK("http://service.sap.com/sap/support/notes/870012","870012")</f>
        <v>870012</v>
      </c>
      <c r="E351">
        <v>1</v>
      </c>
      <c r="F351" t="s">
        <v>530</v>
      </c>
    </row>
    <row r="352" spans="1:6" x14ac:dyDescent="0.25">
      <c r="A352" t="s">
        <v>553</v>
      </c>
      <c r="B352" t="s">
        <v>531</v>
      </c>
      <c r="C352" t="s">
        <v>532</v>
      </c>
      <c r="D352" t="str">
        <f>HYPERLINK("http://service.sap.com/sap/support/notes/1506219","1506219")</f>
        <v>1506219</v>
      </c>
      <c r="E352">
        <v>1</v>
      </c>
      <c r="F352" t="s">
        <v>37</v>
      </c>
    </row>
    <row r="353" spans="1:6" x14ac:dyDescent="0.25">
      <c r="A353" t="s">
        <v>553</v>
      </c>
      <c r="B353" t="s">
        <v>531</v>
      </c>
      <c r="C353" t="s">
        <v>532</v>
      </c>
      <c r="D353" t="str">
        <f>HYPERLINK("http://service.sap.com/sap/support/notes/1523841","1523841")</f>
        <v>1523841</v>
      </c>
      <c r="E353">
        <v>1</v>
      </c>
      <c r="F353" t="s">
        <v>533</v>
      </c>
    </row>
    <row r="354" spans="1:6" x14ac:dyDescent="0.25">
      <c r="A354" t="s">
        <v>553</v>
      </c>
      <c r="B354" t="s">
        <v>534</v>
      </c>
      <c r="C354" t="s">
        <v>535</v>
      </c>
      <c r="D354" t="str">
        <f>HYPERLINK("http://service.sap.com/sap/support/notes/1504240","1504240")</f>
        <v>1504240</v>
      </c>
      <c r="E354">
        <v>2</v>
      </c>
      <c r="F354" t="s">
        <v>536</v>
      </c>
    </row>
    <row r="355" spans="1:6" x14ac:dyDescent="0.25">
      <c r="A355" t="s">
        <v>553</v>
      </c>
      <c r="B355" t="s">
        <v>534</v>
      </c>
      <c r="C355" t="s">
        <v>535</v>
      </c>
      <c r="D355" t="str">
        <f>HYPERLINK("http://service.sap.com/sap/support/notes/1504614","1504614")</f>
        <v>1504614</v>
      </c>
      <c r="E355">
        <v>3</v>
      </c>
      <c r="F355" t="s">
        <v>537</v>
      </c>
    </row>
    <row r="356" spans="1:6" x14ac:dyDescent="0.25">
      <c r="A356" t="s">
        <v>553</v>
      </c>
      <c r="B356" t="s">
        <v>534</v>
      </c>
      <c r="C356" t="s">
        <v>535</v>
      </c>
      <c r="D356" t="str">
        <f>HYPERLINK("http://service.sap.com/sap/support/notes/1506791","1506791")</f>
        <v>1506791</v>
      </c>
      <c r="E356">
        <v>4</v>
      </c>
      <c r="F356" t="s">
        <v>538</v>
      </c>
    </row>
    <row r="357" spans="1:6" x14ac:dyDescent="0.25">
      <c r="A357" t="s">
        <v>553</v>
      </c>
      <c r="B357" t="s">
        <v>534</v>
      </c>
      <c r="C357" t="s">
        <v>535</v>
      </c>
      <c r="D357" t="str">
        <f>HYPERLINK("http://service.sap.com/sap/support/notes/1508231","1508231")</f>
        <v>1508231</v>
      </c>
      <c r="E357">
        <v>1</v>
      </c>
      <c r="F357" t="s">
        <v>539</v>
      </c>
    </row>
    <row r="358" spans="1:6" x14ac:dyDescent="0.25">
      <c r="A358" t="s">
        <v>553</v>
      </c>
      <c r="B358" t="s">
        <v>534</v>
      </c>
      <c r="C358" t="s">
        <v>535</v>
      </c>
      <c r="D358" t="str">
        <f>HYPERLINK("http://service.sap.com/sap/support/notes/1509176","1509176")</f>
        <v>1509176</v>
      </c>
      <c r="E358">
        <v>2</v>
      </c>
      <c r="F358" t="s">
        <v>540</v>
      </c>
    </row>
    <row r="359" spans="1:6" x14ac:dyDescent="0.25">
      <c r="A359" t="s">
        <v>553</v>
      </c>
      <c r="B359" t="s">
        <v>534</v>
      </c>
      <c r="C359" t="s">
        <v>535</v>
      </c>
      <c r="D359" t="str">
        <f>HYPERLINK("http://service.sap.com/sap/support/notes/1514073","1514073")</f>
        <v>1514073</v>
      </c>
      <c r="E359">
        <v>1</v>
      </c>
      <c r="F359" t="s">
        <v>541</v>
      </c>
    </row>
    <row r="360" spans="1:6" x14ac:dyDescent="0.25">
      <c r="A360" t="s">
        <v>553</v>
      </c>
      <c r="B360" t="s">
        <v>534</v>
      </c>
      <c r="C360" t="s">
        <v>535</v>
      </c>
      <c r="D360" t="str">
        <f>HYPERLINK("http://service.sap.com/sap/support/notes/1516587","1516587")</f>
        <v>1516587</v>
      </c>
      <c r="E360">
        <v>2</v>
      </c>
      <c r="F360" t="s">
        <v>542</v>
      </c>
    </row>
    <row r="361" spans="1:6" x14ac:dyDescent="0.25">
      <c r="A361" t="s">
        <v>553</v>
      </c>
      <c r="B361" t="s">
        <v>543</v>
      </c>
      <c r="C361" t="s">
        <v>544</v>
      </c>
    </row>
    <row r="362" spans="1:6" x14ac:dyDescent="0.25">
      <c r="A362" t="s">
        <v>553</v>
      </c>
      <c r="B362" t="s">
        <v>545</v>
      </c>
      <c r="C362" t="s">
        <v>546</v>
      </c>
    </row>
    <row r="363" spans="1:6" x14ac:dyDescent="0.25">
      <c r="A363" t="s">
        <v>553</v>
      </c>
      <c r="B363" t="s">
        <v>547</v>
      </c>
      <c r="C363" t="s">
        <v>548</v>
      </c>
    </row>
    <row r="364" spans="1:6" x14ac:dyDescent="0.25">
      <c r="A364" t="s">
        <v>553</v>
      </c>
      <c r="B364" t="s">
        <v>549</v>
      </c>
      <c r="C364" t="s">
        <v>550</v>
      </c>
      <c r="D364" t="str">
        <f>HYPERLINK("http://service.sap.com/sap/support/notes/1509804","1509804")</f>
        <v>1509804</v>
      </c>
      <c r="E364">
        <v>1</v>
      </c>
      <c r="F364" t="s">
        <v>551</v>
      </c>
    </row>
    <row r="365" spans="1:6" x14ac:dyDescent="0.25">
      <c r="A365" t="s">
        <v>1403</v>
      </c>
      <c r="B365" t="s">
        <v>554</v>
      </c>
    </row>
    <row r="366" spans="1:6" x14ac:dyDescent="0.25">
      <c r="A366" t="s">
        <v>1403</v>
      </c>
      <c r="B366" t="s">
        <v>555</v>
      </c>
    </row>
    <row r="367" spans="1:6" x14ac:dyDescent="0.25">
      <c r="A367" t="s">
        <v>1403</v>
      </c>
      <c r="B367" t="s">
        <v>556</v>
      </c>
      <c r="C367" t="s">
        <v>557</v>
      </c>
      <c r="D367" t="str">
        <f>HYPERLINK("http://service.sap.com/sap/support/notes/1481274","1481274")</f>
        <v>1481274</v>
      </c>
      <c r="E367">
        <v>1</v>
      </c>
      <c r="F367" t="s">
        <v>558</v>
      </c>
    </row>
    <row r="368" spans="1:6" x14ac:dyDescent="0.25">
      <c r="A368" t="s">
        <v>1403</v>
      </c>
      <c r="B368" t="s">
        <v>556</v>
      </c>
      <c r="C368" t="s">
        <v>557</v>
      </c>
      <c r="D368" t="str">
        <f>HYPERLINK("http://service.sap.com/sap/support/notes/1481551","1481551")</f>
        <v>1481551</v>
      </c>
      <c r="E368">
        <v>1</v>
      </c>
      <c r="F368" t="s">
        <v>559</v>
      </c>
    </row>
    <row r="369" spans="1:6" x14ac:dyDescent="0.25">
      <c r="A369" t="s">
        <v>1403</v>
      </c>
      <c r="B369" t="s">
        <v>556</v>
      </c>
      <c r="C369" t="s">
        <v>557</v>
      </c>
      <c r="D369" t="str">
        <f>HYPERLINK("http://service.sap.com/sap/support/notes/1489744","1489744")</f>
        <v>1489744</v>
      </c>
      <c r="E369">
        <v>1</v>
      </c>
      <c r="F369" t="s">
        <v>560</v>
      </c>
    </row>
    <row r="370" spans="1:6" x14ac:dyDescent="0.25">
      <c r="A370" t="s">
        <v>1403</v>
      </c>
      <c r="B370" t="s">
        <v>556</v>
      </c>
      <c r="C370" t="s">
        <v>557</v>
      </c>
      <c r="D370" t="str">
        <f>HYPERLINK("http://service.sap.com/sap/support/notes/1493837","1493837")</f>
        <v>1493837</v>
      </c>
      <c r="E370">
        <v>1</v>
      </c>
      <c r="F370" t="s">
        <v>561</v>
      </c>
    </row>
    <row r="371" spans="1:6" x14ac:dyDescent="0.25">
      <c r="A371" t="s">
        <v>1403</v>
      </c>
      <c r="B371" t="s">
        <v>556</v>
      </c>
      <c r="C371" t="s">
        <v>557</v>
      </c>
      <c r="D371" t="str">
        <f>HYPERLINK("http://service.sap.com/sap/support/notes/1494992","1494992")</f>
        <v>1494992</v>
      </c>
      <c r="E371">
        <v>1</v>
      </c>
      <c r="F371" t="s">
        <v>562</v>
      </c>
    </row>
    <row r="372" spans="1:6" x14ac:dyDescent="0.25">
      <c r="A372" t="s">
        <v>1403</v>
      </c>
      <c r="B372" t="s">
        <v>563</v>
      </c>
      <c r="C372" t="s">
        <v>564</v>
      </c>
      <c r="D372" t="str">
        <f>HYPERLINK("http://service.sap.com/sap/support/notes/1496176","1496176")</f>
        <v>1496176</v>
      </c>
      <c r="E372">
        <v>1</v>
      </c>
      <c r="F372" t="s">
        <v>565</v>
      </c>
    </row>
    <row r="373" spans="1:6" x14ac:dyDescent="0.25">
      <c r="A373" t="s">
        <v>1403</v>
      </c>
      <c r="B373" t="s">
        <v>5</v>
      </c>
    </row>
    <row r="374" spans="1:6" x14ac:dyDescent="0.25">
      <c r="A374" t="s">
        <v>1403</v>
      </c>
      <c r="B374" t="s">
        <v>7</v>
      </c>
    </row>
    <row r="375" spans="1:6" x14ac:dyDescent="0.25">
      <c r="A375" t="s">
        <v>1403</v>
      </c>
      <c r="B375" t="s">
        <v>12</v>
      </c>
      <c r="C375" t="s">
        <v>13</v>
      </c>
      <c r="D375" t="str">
        <f>HYPERLINK("http://service.sap.com/sap/support/notes/1439862","1439862")</f>
        <v>1439862</v>
      </c>
      <c r="E375">
        <v>10</v>
      </c>
      <c r="F375" t="s">
        <v>566</v>
      </c>
    </row>
    <row r="376" spans="1:6" x14ac:dyDescent="0.25">
      <c r="A376" t="s">
        <v>1403</v>
      </c>
      <c r="B376" t="s">
        <v>12</v>
      </c>
      <c r="C376" t="s">
        <v>13</v>
      </c>
      <c r="D376" t="str">
        <f>HYPERLINK("http://service.sap.com/sap/support/notes/1459436","1459436")</f>
        <v>1459436</v>
      </c>
      <c r="E376">
        <v>3</v>
      </c>
      <c r="F376" t="s">
        <v>567</v>
      </c>
    </row>
    <row r="377" spans="1:6" x14ac:dyDescent="0.25">
      <c r="A377" t="s">
        <v>1403</v>
      </c>
      <c r="B377" t="s">
        <v>12</v>
      </c>
      <c r="C377" t="s">
        <v>13</v>
      </c>
      <c r="D377" t="str">
        <f>HYPERLINK("http://service.sap.com/sap/support/notes/1520164","1520164")</f>
        <v>1520164</v>
      </c>
      <c r="E377">
        <v>3</v>
      </c>
      <c r="F377" t="s">
        <v>568</v>
      </c>
    </row>
    <row r="378" spans="1:6" x14ac:dyDescent="0.25">
      <c r="A378" t="s">
        <v>1403</v>
      </c>
      <c r="B378" t="s">
        <v>569</v>
      </c>
      <c r="C378" t="s">
        <v>570</v>
      </c>
      <c r="D378" t="str">
        <f>HYPERLINK("http://service.sap.com/sap/support/notes/1479392","1479392")</f>
        <v>1479392</v>
      </c>
      <c r="E378">
        <v>1</v>
      </c>
      <c r="F378" t="s">
        <v>571</v>
      </c>
    </row>
    <row r="379" spans="1:6" x14ac:dyDescent="0.25">
      <c r="A379" t="s">
        <v>1403</v>
      </c>
      <c r="B379" t="s">
        <v>569</v>
      </c>
      <c r="C379" t="s">
        <v>570</v>
      </c>
      <c r="D379" t="str">
        <f>HYPERLINK("http://service.sap.com/sap/support/notes/1512990","1512990")</f>
        <v>1512990</v>
      </c>
      <c r="E379">
        <v>1</v>
      </c>
      <c r="F379" t="s">
        <v>572</v>
      </c>
    </row>
    <row r="380" spans="1:6" x14ac:dyDescent="0.25">
      <c r="A380" t="s">
        <v>1403</v>
      </c>
      <c r="B380" t="s">
        <v>573</v>
      </c>
    </row>
    <row r="381" spans="1:6" x14ac:dyDescent="0.25">
      <c r="A381" t="s">
        <v>1403</v>
      </c>
      <c r="B381" t="s">
        <v>574</v>
      </c>
    </row>
    <row r="382" spans="1:6" x14ac:dyDescent="0.25">
      <c r="A382" t="s">
        <v>1403</v>
      </c>
      <c r="B382" t="s">
        <v>575</v>
      </c>
      <c r="C382" t="s">
        <v>576</v>
      </c>
      <c r="D382" t="str">
        <f>HYPERLINK("http://service.sap.com/sap/support/notes/1480416","1480416")</f>
        <v>1480416</v>
      </c>
      <c r="E382">
        <v>1</v>
      </c>
      <c r="F382" t="s">
        <v>577</v>
      </c>
    </row>
    <row r="383" spans="1:6" x14ac:dyDescent="0.25">
      <c r="A383" t="s">
        <v>1403</v>
      </c>
      <c r="B383" t="s">
        <v>578</v>
      </c>
      <c r="C383" t="s">
        <v>579</v>
      </c>
      <c r="D383" t="str">
        <f>HYPERLINK("http://service.sap.com/sap/support/notes/1446185","1446185")</f>
        <v>1446185</v>
      </c>
      <c r="E383">
        <v>2</v>
      </c>
      <c r="F383" t="s">
        <v>580</v>
      </c>
    </row>
    <row r="384" spans="1:6" x14ac:dyDescent="0.25">
      <c r="A384" t="s">
        <v>1403</v>
      </c>
      <c r="B384" t="s">
        <v>581</v>
      </c>
    </row>
    <row r="385" spans="1:6" x14ac:dyDescent="0.25">
      <c r="A385" t="s">
        <v>1403</v>
      </c>
      <c r="B385" t="s">
        <v>582</v>
      </c>
      <c r="C385" t="s">
        <v>583</v>
      </c>
      <c r="D385" t="str">
        <f>HYPERLINK("http://service.sap.com/sap/support/notes/1526402","1526402")</f>
        <v>1526402</v>
      </c>
      <c r="E385">
        <v>3</v>
      </c>
      <c r="F385" t="s">
        <v>584</v>
      </c>
    </row>
    <row r="386" spans="1:6" x14ac:dyDescent="0.25">
      <c r="A386" t="s">
        <v>1403</v>
      </c>
      <c r="B386" t="s">
        <v>585</v>
      </c>
    </row>
    <row r="387" spans="1:6" x14ac:dyDescent="0.25">
      <c r="A387" t="s">
        <v>1403</v>
      </c>
      <c r="B387" t="s">
        <v>586</v>
      </c>
    </row>
    <row r="388" spans="1:6" x14ac:dyDescent="0.25">
      <c r="A388" t="s">
        <v>1403</v>
      </c>
      <c r="B388" t="s">
        <v>587</v>
      </c>
    </row>
    <row r="389" spans="1:6" x14ac:dyDescent="0.25">
      <c r="A389" t="s">
        <v>1403</v>
      </c>
      <c r="B389" t="s">
        <v>588</v>
      </c>
      <c r="C389" t="s">
        <v>589</v>
      </c>
      <c r="D389" t="str">
        <f>HYPERLINK("http://service.sap.com/sap/support/notes/1525104","1525104")</f>
        <v>1525104</v>
      </c>
      <c r="E389">
        <v>1</v>
      </c>
      <c r="F389" t="s">
        <v>590</v>
      </c>
    </row>
    <row r="390" spans="1:6" x14ac:dyDescent="0.25">
      <c r="A390" t="s">
        <v>1403</v>
      </c>
      <c r="B390" t="s">
        <v>20</v>
      </c>
    </row>
    <row r="391" spans="1:6" x14ac:dyDescent="0.25">
      <c r="A391" t="s">
        <v>1403</v>
      </c>
      <c r="B391" t="s">
        <v>22</v>
      </c>
    </row>
    <row r="392" spans="1:6" x14ac:dyDescent="0.25">
      <c r="A392" t="s">
        <v>1403</v>
      </c>
      <c r="B392" t="s">
        <v>24</v>
      </c>
      <c r="C392" t="s">
        <v>25</v>
      </c>
      <c r="D392" t="str">
        <f>HYPERLINK("http://service.sap.com/sap/support/notes/1284280","1284280")</f>
        <v>1284280</v>
      </c>
      <c r="E392">
        <v>3</v>
      </c>
      <c r="F392" t="s">
        <v>26</v>
      </c>
    </row>
    <row r="393" spans="1:6" x14ac:dyDescent="0.25">
      <c r="A393" t="s">
        <v>1403</v>
      </c>
      <c r="B393" t="s">
        <v>27</v>
      </c>
      <c r="C393" t="s">
        <v>13</v>
      </c>
      <c r="D393" t="str">
        <f>HYPERLINK("http://service.sap.com/sap/support/notes/1125364","1125364")</f>
        <v>1125364</v>
      </c>
      <c r="E393">
        <v>1</v>
      </c>
      <c r="F393" t="s">
        <v>591</v>
      </c>
    </row>
    <row r="394" spans="1:6" x14ac:dyDescent="0.25">
      <c r="A394" t="s">
        <v>1403</v>
      </c>
      <c r="B394" t="s">
        <v>592</v>
      </c>
      <c r="C394" t="s">
        <v>593</v>
      </c>
      <c r="D394" t="str">
        <f>HYPERLINK("http://service.sap.com/sap/support/notes/1223776","1223776")</f>
        <v>1223776</v>
      </c>
      <c r="E394">
        <v>5</v>
      </c>
      <c r="F394" t="s">
        <v>594</v>
      </c>
    </row>
    <row r="395" spans="1:6" x14ac:dyDescent="0.25">
      <c r="A395" t="s">
        <v>1403</v>
      </c>
      <c r="B395" t="s">
        <v>592</v>
      </c>
      <c r="C395" t="s">
        <v>593</v>
      </c>
      <c r="D395" t="str">
        <f>HYPERLINK("http://service.sap.com/sap/support/notes/1513086","1513086")</f>
        <v>1513086</v>
      </c>
      <c r="E395">
        <v>2</v>
      </c>
      <c r="F395" t="s">
        <v>595</v>
      </c>
    </row>
    <row r="396" spans="1:6" x14ac:dyDescent="0.25">
      <c r="A396" t="s">
        <v>1403</v>
      </c>
      <c r="B396" t="s">
        <v>596</v>
      </c>
      <c r="C396" t="s">
        <v>597</v>
      </c>
      <c r="D396" t="str">
        <f>HYPERLINK("http://service.sap.com/sap/support/notes/1473496","1473496")</f>
        <v>1473496</v>
      </c>
      <c r="E396">
        <v>1</v>
      </c>
      <c r="F396" t="s">
        <v>598</v>
      </c>
    </row>
    <row r="397" spans="1:6" x14ac:dyDescent="0.25">
      <c r="A397" t="s">
        <v>1403</v>
      </c>
      <c r="B397" t="s">
        <v>596</v>
      </c>
      <c r="C397" t="s">
        <v>597</v>
      </c>
      <c r="D397" t="str">
        <f>HYPERLINK("http://service.sap.com/sap/support/notes/1474407","1474407")</f>
        <v>1474407</v>
      </c>
      <c r="E397">
        <v>2</v>
      </c>
      <c r="F397" t="s">
        <v>599</v>
      </c>
    </row>
    <row r="398" spans="1:6" x14ac:dyDescent="0.25">
      <c r="A398" t="s">
        <v>1403</v>
      </c>
      <c r="B398" t="s">
        <v>596</v>
      </c>
      <c r="C398" t="s">
        <v>597</v>
      </c>
      <c r="D398" t="str">
        <f>HYPERLINK("http://service.sap.com/sap/support/notes/1494078","1494078")</f>
        <v>1494078</v>
      </c>
      <c r="E398">
        <v>1</v>
      </c>
      <c r="F398" t="s">
        <v>600</v>
      </c>
    </row>
    <row r="399" spans="1:6" x14ac:dyDescent="0.25">
      <c r="A399" t="s">
        <v>1403</v>
      </c>
      <c r="B399" t="s">
        <v>596</v>
      </c>
      <c r="C399" t="s">
        <v>597</v>
      </c>
      <c r="D399" t="str">
        <f>HYPERLINK("http://service.sap.com/sap/support/notes/1494296","1494296")</f>
        <v>1494296</v>
      </c>
      <c r="E399">
        <v>1</v>
      </c>
      <c r="F399" t="s">
        <v>601</v>
      </c>
    </row>
    <row r="400" spans="1:6" x14ac:dyDescent="0.25">
      <c r="A400" t="s">
        <v>1403</v>
      </c>
      <c r="B400" t="s">
        <v>596</v>
      </c>
      <c r="C400" t="s">
        <v>597</v>
      </c>
      <c r="D400" t="str">
        <f>HYPERLINK("http://service.sap.com/sap/support/notes/1494713","1494713")</f>
        <v>1494713</v>
      </c>
      <c r="E400">
        <v>1</v>
      </c>
      <c r="F400" t="s">
        <v>602</v>
      </c>
    </row>
    <row r="401" spans="1:6" x14ac:dyDescent="0.25">
      <c r="A401" t="s">
        <v>1403</v>
      </c>
      <c r="B401" t="s">
        <v>596</v>
      </c>
      <c r="C401" t="s">
        <v>597</v>
      </c>
      <c r="D401" t="str">
        <f>HYPERLINK("http://service.sap.com/sap/support/notes/1520746","1520746")</f>
        <v>1520746</v>
      </c>
      <c r="E401">
        <v>2</v>
      </c>
      <c r="F401" t="s">
        <v>603</v>
      </c>
    </row>
    <row r="402" spans="1:6" x14ac:dyDescent="0.25">
      <c r="A402" t="s">
        <v>1403</v>
      </c>
      <c r="B402" t="s">
        <v>596</v>
      </c>
      <c r="C402" t="s">
        <v>597</v>
      </c>
      <c r="D402" t="str">
        <f>HYPERLINK("http://service.sap.com/sap/support/notes/1531068","1531068")</f>
        <v>1531068</v>
      </c>
      <c r="E402">
        <v>1</v>
      </c>
      <c r="F402" t="s">
        <v>604</v>
      </c>
    </row>
    <row r="403" spans="1:6" x14ac:dyDescent="0.25">
      <c r="A403" t="s">
        <v>1403</v>
      </c>
      <c r="B403" t="s">
        <v>28</v>
      </c>
      <c r="C403" t="s">
        <v>29</v>
      </c>
      <c r="D403" t="str">
        <f>HYPERLINK("http://service.sap.com/sap/support/notes/813841","813841")</f>
        <v>813841</v>
      </c>
      <c r="E403">
        <v>4</v>
      </c>
      <c r="F403" t="s">
        <v>605</v>
      </c>
    </row>
    <row r="404" spans="1:6" x14ac:dyDescent="0.25">
      <c r="A404" t="s">
        <v>1403</v>
      </c>
      <c r="B404" t="s">
        <v>28</v>
      </c>
      <c r="C404" t="s">
        <v>29</v>
      </c>
      <c r="D404" t="str">
        <f>HYPERLINK("http://service.sap.com/sap/support/notes/1426797","1426797")</f>
        <v>1426797</v>
      </c>
      <c r="E404">
        <v>1</v>
      </c>
      <c r="F404" t="s">
        <v>606</v>
      </c>
    </row>
    <row r="405" spans="1:6" x14ac:dyDescent="0.25">
      <c r="A405" t="s">
        <v>1403</v>
      </c>
      <c r="B405" t="s">
        <v>28</v>
      </c>
      <c r="C405" t="s">
        <v>29</v>
      </c>
      <c r="D405" t="str">
        <f>HYPERLINK("http://service.sap.com/sap/support/notes/1476250","1476250")</f>
        <v>1476250</v>
      </c>
      <c r="E405">
        <v>3</v>
      </c>
      <c r="F405" t="s">
        <v>607</v>
      </c>
    </row>
    <row r="406" spans="1:6" x14ac:dyDescent="0.25">
      <c r="A406" t="s">
        <v>1403</v>
      </c>
      <c r="B406" t="s">
        <v>28</v>
      </c>
      <c r="C406" t="s">
        <v>29</v>
      </c>
      <c r="D406" t="str">
        <f>HYPERLINK("http://service.sap.com/sap/support/notes/1479701","1479701")</f>
        <v>1479701</v>
      </c>
      <c r="E406">
        <v>2</v>
      </c>
      <c r="F406" t="s">
        <v>608</v>
      </c>
    </row>
    <row r="407" spans="1:6" x14ac:dyDescent="0.25">
      <c r="A407" t="s">
        <v>1403</v>
      </c>
      <c r="B407" t="s">
        <v>28</v>
      </c>
      <c r="C407" t="s">
        <v>29</v>
      </c>
      <c r="D407" t="str">
        <f>HYPERLINK("http://service.sap.com/sap/support/notes/1480053","1480053")</f>
        <v>1480053</v>
      </c>
      <c r="E407">
        <v>2</v>
      </c>
      <c r="F407" t="s">
        <v>609</v>
      </c>
    </row>
    <row r="408" spans="1:6" x14ac:dyDescent="0.25">
      <c r="A408" t="s">
        <v>1403</v>
      </c>
      <c r="B408" t="s">
        <v>28</v>
      </c>
      <c r="C408" t="s">
        <v>29</v>
      </c>
      <c r="D408" t="str">
        <f>HYPERLINK("http://service.sap.com/sap/support/notes/1482184","1482184")</f>
        <v>1482184</v>
      </c>
      <c r="E408">
        <v>2</v>
      </c>
      <c r="F408" t="s">
        <v>610</v>
      </c>
    </row>
    <row r="409" spans="1:6" x14ac:dyDescent="0.25">
      <c r="A409" t="s">
        <v>1403</v>
      </c>
      <c r="B409" t="s">
        <v>28</v>
      </c>
      <c r="C409" t="s">
        <v>29</v>
      </c>
      <c r="D409" t="str">
        <f>HYPERLINK("http://service.sap.com/sap/support/notes/1499478","1499478")</f>
        <v>1499478</v>
      </c>
      <c r="E409">
        <v>1</v>
      </c>
      <c r="F409" t="s">
        <v>611</v>
      </c>
    </row>
    <row r="410" spans="1:6" x14ac:dyDescent="0.25">
      <c r="A410" t="s">
        <v>1403</v>
      </c>
      <c r="B410" t="s">
        <v>28</v>
      </c>
      <c r="C410" t="s">
        <v>29</v>
      </c>
      <c r="D410" t="str">
        <f>HYPERLINK("http://service.sap.com/sap/support/notes/1502055","1502055")</f>
        <v>1502055</v>
      </c>
      <c r="E410">
        <v>1</v>
      </c>
      <c r="F410" t="s">
        <v>612</v>
      </c>
    </row>
    <row r="411" spans="1:6" x14ac:dyDescent="0.25">
      <c r="A411" t="s">
        <v>1403</v>
      </c>
      <c r="B411" t="s">
        <v>28</v>
      </c>
      <c r="C411" t="s">
        <v>29</v>
      </c>
      <c r="D411" t="str">
        <f>HYPERLINK("http://service.sap.com/sap/support/notes/1526822","1526822")</f>
        <v>1526822</v>
      </c>
      <c r="E411">
        <v>2</v>
      </c>
      <c r="F411" t="s">
        <v>613</v>
      </c>
    </row>
    <row r="412" spans="1:6" x14ac:dyDescent="0.25">
      <c r="A412" t="s">
        <v>1403</v>
      </c>
      <c r="B412" t="s">
        <v>28</v>
      </c>
      <c r="C412" t="s">
        <v>29</v>
      </c>
      <c r="D412" t="str">
        <f>HYPERLINK("http://service.sap.com/sap/support/notes/1530248","1530248")</f>
        <v>1530248</v>
      </c>
      <c r="E412">
        <v>4</v>
      </c>
      <c r="F412" t="s">
        <v>614</v>
      </c>
    </row>
    <row r="413" spans="1:6" x14ac:dyDescent="0.25">
      <c r="A413" t="s">
        <v>1403</v>
      </c>
      <c r="B413" t="s">
        <v>28</v>
      </c>
      <c r="C413" t="s">
        <v>29</v>
      </c>
      <c r="D413" t="str">
        <f>HYPERLINK("http://service.sap.com/sap/support/notes/1530323","1530323")</f>
        <v>1530323</v>
      </c>
      <c r="E413">
        <v>1</v>
      </c>
      <c r="F413" t="s">
        <v>615</v>
      </c>
    </row>
    <row r="414" spans="1:6" x14ac:dyDescent="0.25">
      <c r="A414" t="s">
        <v>1403</v>
      </c>
      <c r="B414" t="s">
        <v>616</v>
      </c>
      <c r="C414" t="s">
        <v>617</v>
      </c>
      <c r="D414" t="str">
        <f>HYPERLINK("http://service.sap.com/sap/support/notes/1467016","1467016")</f>
        <v>1467016</v>
      </c>
      <c r="E414">
        <v>1</v>
      </c>
      <c r="F414" t="s">
        <v>618</v>
      </c>
    </row>
    <row r="415" spans="1:6" x14ac:dyDescent="0.25">
      <c r="A415" t="s">
        <v>1403</v>
      </c>
      <c r="B415" t="s">
        <v>619</v>
      </c>
      <c r="C415" t="s">
        <v>620</v>
      </c>
      <c r="D415" t="str">
        <f>HYPERLINK("http://service.sap.com/sap/support/notes/1338718","1338718")</f>
        <v>1338718</v>
      </c>
      <c r="E415">
        <v>3</v>
      </c>
      <c r="F415" t="s">
        <v>621</v>
      </c>
    </row>
    <row r="416" spans="1:6" x14ac:dyDescent="0.25">
      <c r="A416" t="s">
        <v>1403</v>
      </c>
      <c r="B416" t="s">
        <v>622</v>
      </c>
      <c r="C416" t="s">
        <v>623</v>
      </c>
      <c r="D416" t="str">
        <f>HYPERLINK("http://service.sap.com/sap/support/notes/1456935","1456935")</f>
        <v>1456935</v>
      </c>
      <c r="E416">
        <v>11</v>
      </c>
      <c r="F416" t="s">
        <v>624</v>
      </c>
    </row>
    <row r="417" spans="1:6" x14ac:dyDescent="0.25">
      <c r="A417" t="s">
        <v>1403</v>
      </c>
      <c r="B417" t="s">
        <v>622</v>
      </c>
      <c r="C417" t="s">
        <v>623</v>
      </c>
      <c r="D417" t="str">
        <f>HYPERLINK("http://service.sap.com/sap/support/notes/1483743","1483743")</f>
        <v>1483743</v>
      </c>
      <c r="E417">
        <v>2</v>
      </c>
      <c r="F417" t="s">
        <v>625</v>
      </c>
    </row>
    <row r="418" spans="1:6" x14ac:dyDescent="0.25">
      <c r="A418" t="s">
        <v>1403</v>
      </c>
      <c r="B418" t="s">
        <v>622</v>
      </c>
      <c r="C418" t="s">
        <v>623</v>
      </c>
      <c r="D418" t="str">
        <f>HYPERLINK("http://service.sap.com/sap/support/notes/1518740","1518740")</f>
        <v>1518740</v>
      </c>
      <c r="E418">
        <v>1</v>
      </c>
      <c r="F418" t="s">
        <v>626</v>
      </c>
    </row>
    <row r="419" spans="1:6" x14ac:dyDescent="0.25">
      <c r="A419" t="s">
        <v>1403</v>
      </c>
      <c r="B419" t="s">
        <v>622</v>
      </c>
      <c r="C419" t="s">
        <v>623</v>
      </c>
      <c r="D419" t="str">
        <f>HYPERLINK("http://service.sap.com/sap/support/notes/1518784","1518784")</f>
        <v>1518784</v>
      </c>
      <c r="E419">
        <v>1</v>
      </c>
      <c r="F419" t="s">
        <v>627</v>
      </c>
    </row>
    <row r="420" spans="1:6" x14ac:dyDescent="0.25">
      <c r="A420" t="s">
        <v>1403</v>
      </c>
      <c r="B420" t="s">
        <v>622</v>
      </c>
      <c r="C420" t="s">
        <v>623</v>
      </c>
      <c r="D420" t="str">
        <f>HYPERLINK("http://service.sap.com/sap/support/notes/1526426","1526426")</f>
        <v>1526426</v>
      </c>
      <c r="E420">
        <v>1</v>
      </c>
      <c r="F420" t="s">
        <v>628</v>
      </c>
    </row>
    <row r="421" spans="1:6" x14ac:dyDescent="0.25">
      <c r="A421" t="s">
        <v>1403</v>
      </c>
      <c r="B421" t="s">
        <v>629</v>
      </c>
      <c r="C421" t="s">
        <v>630</v>
      </c>
      <c r="D421" t="str">
        <f>HYPERLINK("http://service.sap.com/sap/support/notes/1480690","1480690")</f>
        <v>1480690</v>
      </c>
      <c r="E421">
        <v>1</v>
      </c>
      <c r="F421" t="s">
        <v>631</v>
      </c>
    </row>
    <row r="422" spans="1:6" x14ac:dyDescent="0.25">
      <c r="A422" t="s">
        <v>1403</v>
      </c>
      <c r="B422" t="s">
        <v>629</v>
      </c>
      <c r="C422" t="s">
        <v>630</v>
      </c>
      <c r="D422" t="str">
        <f>HYPERLINK("http://service.sap.com/sap/support/notes/1493586","1493586")</f>
        <v>1493586</v>
      </c>
      <c r="E422">
        <v>1</v>
      </c>
      <c r="F422" t="s">
        <v>632</v>
      </c>
    </row>
    <row r="423" spans="1:6" x14ac:dyDescent="0.25">
      <c r="A423" t="s">
        <v>1403</v>
      </c>
      <c r="B423" t="s">
        <v>633</v>
      </c>
      <c r="C423" t="s">
        <v>634</v>
      </c>
      <c r="D423" t="str">
        <f>HYPERLINK("http://service.sap.com/sap/support/notes/1487263","1487263")</f>
        <v>1487263</v>
      </c>
      <c r="E423">
        <v>1</v>
      </c>
      <c r="F423" t="s">
        <v>635</v>
      </c>
    </row>
    <row r="424" spans="1:6" x14ac:dyDescent="0.25">
      <c r="A424" t="s">
        <v>1403</v>
      </c>
      <c r="B424" t="s">
        <v>633</v>
      </c>
      <c r="C424" t="s">
        <v>634</v>
      </c>
      <c r="D424" t="str">
        <f>HYPERLINK("http://service.sap.com/sap/support/notes/1494944","1494944")</f>
        <v>1494944</v>
      </c>
      <c r="E424">
        <v>2</v>
      </c>
      <c r="F424" t="s">
        <v>636</v>
      </c>
    </row>
    <row r="425" spans="1:6" x14ac:dyDescent="0.25">
      <c r="A425" t="s">
        <v>1403</v>
      </c>
      <c r="B425" t="s">
        <v>633</v>
      </c>
      <c r="C425" t="s">
        <v>634</v>
      </c>
      <c r="D425" t="str">
        <f>HYPERLINK("http://service.sap.com/sap/support/notes/1509617","1509617")</f>
        <v>1509617</v>
      </c>
      <c r="E425">
        <v>1</v>
      </c>
      <c r="F425" t="s">
        <v>637</v>
      </c>
    </row>
    <row r="426" spans="1:6" x14ac:dyDescent="0.25">
      <c r="A426" t="s">
        <v>1403</v>
      </c>
      <c r="B426" t="s">
        <v>633</v>
      </c>
      <c r="C426" t="s">
        <v>634</v>
      </c>
      <c r="D426" t="str">
        <f>HYPERLINK("http://service.sap.com/sap/support/notes/1531178","1531178")</f>
        <v>1531178</v>
      </c>
      <c r="E426">
        <v>1</v>
      </c>
      <c r="F426" t="s">
        <v>638</v>
      </c>
    </row>
    <row r="427" spans="1:6" x14ac:dyDescent="0.25">
      <c r="A427" t="s">
        <v>1403</v>
      </c>
      <c r="B427" t="s">
        <v>633</v>
      </c>
      <c r="C427" t="s">
        <v>634</v>
      </c>
      <c r="D427" t="str">
        <f>HYPERLINK("http://service.sap.com/sap/support/notes/1532157","1532157")</f>
        <v>1532157</v>
      </c>
      <c r="E427">
        <v>1</v>
      </c>
      <c r="F427" t="s">
        <v>639</v>
      </c>
    </row>
    <row r="428" spans="1:6" x14ac:dyDescent="0.25">
      <c r="A428" t="s">
        <v>1403</v>
      </c>
      <c r="B428" t="s">
        <v>640</v>
      </c>
      <c r="C428" t="s">
        <v>641</v>
      </c>
      <c r="D428" t="str">
        <f>HYPERLINK("http://service.sap.com/sap/support/notes/1488617","1488617")</f>
        <v>1488617</v>
      </c>
      <c r="E428">
        <v>1</v>
      </c>
      <c r="F428" t="s">
        <v>642</v>
      </c>
    </row>
    <row r="429" spans="1:6" x14ac:dyDescent="0.25">
      <c r="A429" t="s">
        <v>1403</v>
      </c>
      <c r="B429" t="s">
        <v>640</v>
      </c>
      <c r="C429" t="s">
        <v>641</v>
      </c>
      <c r="D429" t="str">
        <f>HYPERLINK("http://service.sap.com/sap/support/notes/1517842","1517842")</f>
        <v>1517842</v>
      </c>
      <c r="E429">
        <v>1</v>
      </c>
      <c r="F429" t="s">
        <v>643</v>
      </c>
    </row>
    <row r="430" spans="1:6" x14ac:dyDescent="0.25">
      <c r="A430" t="s">
        <v>1403</v>
      </c>
      <c r="B430" t="s">
        <v>33</v>
      </c>
      <c r="C430" t="s">
        <v>34</v>
      </c>
      <c r="D430" t="str">
        <f>HYPERLINK("http://service.sap.com/sap/support/notes/781411","781411")</f>
        <v>781411</v>
      </c>
      <c r="E430">
        <v>2</v>
      </c>
      <c r="F430" t="s">
        <v>644</v>
      </c>
    </row>
    <row r="431" spans="1:6" x14ac:dyDescent="0.25">
      <c r="A431" t="s">
        <v>1403</v>
      </c>
      <c r="B431" t="s">
        <v>33</v>
      </c>
      <c r="C431" t="s">
        <v>34</v>
      </c>
      <c r="D431" t="str">
        <f>HYPERLINK("http://service.sap.com/sap/support/notes/1260906","1260906")</f>
        <v>1260906</v>
      </c>
      <c r="E431">
        <v>5</v>
      </c>
      <c r="F431" t="s">
        <v>645</v>
      </c>
    </row>
    <row r="432" spans="1:6" x14ac:dyDescent="0.25">
      <c r="A432" t="s">
        <v>1403</v>
      </c>
      <c r="B432" t="s">
        <v>33</v>
      </c>
      <c r="C432" t="s">
        <v>34</v>
      </c>
      <c r="D432" t="str">
        <f>HYPERLINK("http://service.sap.com/sap/support/notes/1443661","1443661")</f>
        <v>1443661</v>
      </c>
      <c r="E432">
        <v>1</v>
      </c>
      <c r="F432" t="s">
        <v>646</v>
      </c>
    </row>
    <row r="433" spans="1:6" x14ac:dyDescent="0.25">
      <c r="A433" t="s">
        <v>1403</v>
      </c>
      <c r="B433" t="s">
        <v>33</v>
      </c>
      <c r="C433" t="s">
        <v>34</v>
      </c>
      <c r="D433" t="str">
        <f>HYPERLINK("http://service.sap.com/sap/support/notes/1454361","1454361")</f>
        <v>1454361</v>
      </c>
      <c r="E433">
        <v>1</v>
      </c>
      <c r="F433" t="s">
        <v>647</v>
      </c>
    </row>
    <row r="434" spans="1:6" x14ac:dyDescent="0.25">
      <c r="A434" t="s">
        <v>1403</v>
      </c>
      <c r="B434" t="s">
        <v>33</v>
      </c>
      <c r="C434" t="s">
        <v>34</v>
      </c>
      <c r="D434" t="str">
        <f>HYPERLINK("http://service.sap.com/sap/support/notes/1483559","1483559")</f>
        <v>1483559</v>
      </c>
      <c r="E434">
        <v>1</v>
      </c>
      <c r="F434" t="s">
        <v>648</v>
      </c>
    </row>
    <row r="435" spans="1:6" x14ac:dyDescent="0.25">
      <c r="A435" t="s">
        <v>1403</v>
      </c>
      <c r="B435" t="s">
        <v>33</v>
      </c>
      <c r="C435" t="s">
        <v>34</v>
      </c>
      <c r="D435" t="str">
        <f>HYPERLINK("http://service.sap.com/sap/support/notes/1496990","1496990")</f>
        <v>1496990</v>
      </c>
      <c r="E435">
        <v>2</v>
      </c>
      <c r="F435" t="s">
        <v>649</v>
      </c>
    </row>
    <row r="436" spans="1:6" x14ac:dyDescent="0.25">
      <c r="A436" t="s">
        <v>1403</v>
      </c>
      <c r="B436" t="s">
        <v>33</v>
      </c>
      <c r="C436" t="s">
        <v>34</v>
      </c>
      <c r="D436" t="str">
        <f>HYPERLINK("http://service.sap.com/sap/support/notes/1524029","1524029")</f>
        <v>1524029</v>
      </c>
      <c r="E436">
        <v>1</v>
      </c>
      <c r="F436" t="s">
        <v>650</v>
      </c>
    </row>
    <row r="437" spans="1:6" x14ac:dyDescent="0.25">
      <c r="A437" t="s">
        <v>1403</v>
      </c>
      <c r="B437" t="s">
        <v>33</v>
      </c>
      <c r="C437" t="s">
        <v>34</v>
      </c>
      <c r="D437" t="str">
        <f>HYPERLINK("http://service.sap.com/sap/support/notes/1524773","1524773")</f>
        <v>1524773</v>
      </c>
      <c r="E437">
        <v>1</v>
      </c>
      <c r="F437" t="s">
        <v>651</v>
      </c>
    </row>
    <row r="438" spans="1:6" x14ac:dyDescent="0.25">
      <c r="A438" t="s">
        <v>1403</v>
      </c>
      <c r="B438" t="s">
        <v>652</v>
      </c>
      <c r="C438" t="s">
        <v>653</v>
      </c>
      <c r="D438" t="str">
        <f>HYPERLINK("http://service.sap.com/sap/support/notes/1471277","1471277")</f>
        <v>1471277</v>
      </c>
      <c r="E438">
        <v>2</v>
      </c>
      <c r="F438" t="s">
        <v>654</v>
      </c>
    </row>
    <row r="439" spans="1:6" x14ac:dyDescent="0.25">
      <c r="A439" t="s">
        <v>1403</v>
      </c>
      <c r="B439" t="s">
        <v>652</v>
      </c>
      <c r="C439" t="s">
        <v>653</v>
      </c>
      <c r="D439" t="str">
        <f>HYPERLINK("http://service.sap.com/sap/support/notes/1492441","1492441")</f>
        <v>1492441</v>
      </c>
      <c r="E439">
        <v>3</v>
      </c>
      <c r="F439" t="s">
        <v>655</v>
      </c>
    </row>
    <row r="440" spans="1:6" x14ac:dyDescent="0.25">
      <c r="A440" t="s">
        <v>1403</v>
      </c>
      <c r="B440" t="s">
        <v>652</v>
      </c>
      <c r="C440" t="s">
        <v>653</v>
      </c>
      <c r="D440" t="str">
        <f>HYPERLINK("http://service.sap.com/sap/support/notes/1519209","1519209")</f>
        <v>1519209</v>
      </c>
      <c r="E440">
        <v>3</v>
      </c>
      <c r="F440" t="s">
        <v>656</v>
      </c>
    </row>
    <row r="441" spans="1:6" x14ac:dyDescent="0.25">
      <c r="A441" t="s">
        <v>1403</v>
      </c>
      <c r="B441" t="s">
        <v>35</v>
      </c>
      <c r="C441" t="s">
        <v>36</v>
      </c>
      <c r="D441" t="str">
        <f>HYPERLINK("http://service.sap.com/sap/support/notes/1289172","1289172")</f>
        <v>1289172</v>
      </c>
      <c r="E441">
        <v>8</v>
      </c>
      <c r="F441" t="s">
        <v>657</v>
      </c>
    </row>
    <row r="442" spans="1:6" x14ac:dyDescent="0.25">
      <c r="A442" t="s">
        <v>1403</v>
      </c>
      <c r="B442" t="s">
        <v>35</v>
      </c>
      <c r="C442" t="s">
        <v>36</v>
      </c>
      <c r="D442" t="str">
        <f>HYPERLINK("http://service.sap.com/sap/support/notes/1472937","1472937")</f>
        <v>1472937</v>
      </c>
      <c r="E442">
        <v>1</v>
      </c>
      <c r="F442" t="s">
        <v>658</v>
      </c>
    </row>
    <row r="443" spans="1:6" x14ac:dyDescent="0.25">
      <c r="A443" t="s">
        <v>1403</v>
      </c>
      <c r="B443" t="s">
        <v>35</v>
      </c>
      <c r="C443" t="s">
        <v>36</v>
      </c>
      <c r="D443" t="str">
        <f>HYPERLINK("http://service.sap.com/sap/support/notes/1474433","1474433")</f>
        <v>1474433</v>
      </c>
      <c r="E443">
        <v>2</v>
      </c>
      <c r="F443" t="s">
        <v>659</v>
      </c>
    </row>
    <row r="444" spans="1:6" x14ac:dyDescent="0.25">
      <c r="A444" t="s">
        <v>1403</v>
      </c>
      <c r="B444" t="s">
        <v>35</v>
      </c>
      <c r="C444" t="s">
        <v>36</v>
      </c>
      <c r="D444" t="str">
        <f>HYPERLINK("http://service.sap.com/sap/support/notes/1482977","1482977")</f>
        <v>1482977</v>
      </c>
      <c r="E444">
        <v>1</v>
      </c>
      <c r="F444" t="s">
        <v>660</v>
      </c>
    </row>
    <row r="445" spans="1:6" x14ac:dyDescent="0.25">
      <c r="A445" t="s">
        <v>1403</v>
      </c>
      <c r="B445" t="s">
        <v>35</v>
      </c>
      <c r="C445" t="s">
        <v>36</v>
      </c>
      <c r="D445" t="str">
        <f>HYPERLINK("http://service.sap.com/sap/support/notes/1490709","1490709")</f>
        <v>1490709</v>
      </c>
      <c r="E445">
        <v>7</v>
      </c>
      <c r="F445" t="s">
        <v>661</v>
      </c>
    </row>
    <row r="446" spans="1:6" x14ac:dyDescent="0.25">
      <c r="A446" t="s">
        <v>1403</v>
      </c>
      <c r="B446" t="s">
        <v>35</v>
      </c>
      <c r="C446" t="s">
        <v>36</v>
      </c>
      <c r="D446" t="str">
        <f>HYPERLINK("http://service.sap.com/sap/support/notes/1499747","1499747")</f>
        <v>1499747</v>
      </c>
      <c r="E446">
        <v>2</v>
      </c>
      <c r="F446" t="s">
        <v>662</v>
      </c>
    </row>
    <row r="447" spans="1:6" x14ac:dyDescent="0.25">
      <c r="A447" t="s">
        <v>1403</v>
      </c>
      <c r="B447" t="s">
        <v>35</v>
      </c>
      <c r="C447" t="s">
        <v>36</v>
      </c>
      <c r="D447" t="str">
        <f>HYPERLINK("http://service.sap.com/sap/support/notes/1511429","1511429")</f>
        <v>1511429</v>
      </c>
      <c r="E447">
        <v>1</v>
      </c>
      <c r="F447" t="s">
        <v>663</v>
      </c>
    </row>
    <row r="448" spans="1:6" x14ac:dyDescent="0.25">
      <c r="A448" t="s">
        <v>1403</v>
      </c>
      <c r="B448" t="s">
        <v>35</v>
      </c>
      <c r="C448" t="s">
        <v>36</v>
      </c>
      <c r="D448" t="str">
        <f>HYPERLINK("http://service.sap.com/sap/support/notes/1520183","1520183")</f>
        <v>1520183</v>
      </c>
      <c r="E448">
        <v>1</v>
      </c>
      <c r="F448" t="s">
        <v>37</v>
      </c>
    </row>
    <row r="449" spans="1:6" x14ac:dyDescent="0.25">
      <c r="A449" t="s">
        <v>1403</v>
      </c>
      <c r="B449" t="s">
        <v>35</v>
      </c>
      <c r="C449" t="s">
        <v>36</v>
      </c>
      <c r="D449" t="str">
        <f>HYPERLINK("http://service.sap.com/sap/support/notes/1521796","1521796")</f>
        <v>1521796</v>
      </c>
      <c r="E449">
        <v>2</v>
      </c>
      <c r="F449" t="s">
        <v>664</v>
      </c>
    </row>
    <row r="450" spans="1:6" x14ac:dyDescent="0.25">
      <c r="A450" t="s">
        <v>1403</v>
      </c>
      <c r="B450" t="s">
        <v>38</v>
      </c>
    </row>
    <row r="451" spans="1:6" x14ac:dyDescent="0.25">
      <c r="A451" t="s">
        <v>1403</v>
      </c>
      <c r="B451" t="s">
        <v>665</v>
      </c>
      <c r="C451" t="s">
        <v>134</v>
      </c>
      <c r="D451" t="str">
        <f>HYPERLINK("http://service.sap.com/sap/support/notes/1041427","1041427")</f>
        <v>1041427</v>
      </c>
      <c r="E451">
        <v>1</v>
      </c>
      <c r="F451" t="s">
        <v>666</v>
      </c>
    </row>
    <row r="452" spans="1:6" x14ac:dyDescent="0.25">
      <c r="A452" t="s">
        <v>1403</v>
      </c>
      <c r="B452" t="s">
        <v>40</v>
      </c>
      <c r="C452" t="s">
        <v>41</v>
      </c>
      <c r="D452" t="str">
        <f>HYPERLINK("http://service.sap.com/sap/support/notes/1303688","1303688")</f>
        <v>1303688</v>
      </c>
      <c r="E452">
        <v>4</v>
      </c>
      <c r="F452" t="s">
        <v>667</v>
      </c>
    </row>
    <row r="453" spans="1:6" x14ac:dyDescent="0.25">
      <c r="A453" t="s">
        <v>1403</v>
      </c>
      <c r="B453" t="s">
        <v>40</v>
      </c>
      <c r="C453" t="s">
        <v>41</v>
      </c>
      <c r="D453" t="str">
        <f>HYPERLINK("http://service.sap.com/sap/support/notes/1376902","1376902")</f>
        <v>1376902</v>
      </c>
      <c r="E453">
        <v>3</v>
      </c>
      <c r="F453" t="s">
        <v>668</v>
      </c>
    </row>
    <row r="454" spans="1:6" x14ac:dyDescent="0.25">
      <c r="A454" t="s">
        <v>1403</v>
      </c>
      <c r="B454" t="s">
        <v>44</v>
      </c>
      <c r="C454" t="s">
        <v>45</v>
      </c>
      <c r="D454" t="str">
        <f>HYPERLINK("http://service.sap.com/sap/support/notes/1522091","1522091")</f>
        <v>1522091</v>
      </c>
      <c r="E454">
        <v>3</v>
      </c>
      <c r="F454" t="s">
        <v>669</v>
      </c>
    </row>
    <row r="455" spans="1:6" x14ac:dyDescent="0.25">
      <c r="A455" t="s">
        <v>1403</v>
      </c>
      <c r="B455" t="s">
        <v>44</v>
      </c>
      <c r="C455" t="s">
        <v>45</v>
      </c>
      <c r="D455" t="str">
        <f>HYPERLINK("http://service.sap.com/sap/support/notes/1524216","1524216")</f>
        <v>1524216</v>
      </c>
      <c r="E455">
        <v>2</v>
      </c>
      <c r="F455" t="s">
        <v>670</v>
      </c>
    </row>
    <row r="456" spans="1:6" x14ac:dyDescent="0.25">
      <c r="A456" t="s">
        <v>1403</v>
      </c>
      <c r="B456" t="s">
        <v>671</v>
      </c>
      <c r="C456" t="s">
        <v>214</v>
      </c>
      <c r="D456" t="str">
        <f>HYPERLINK("http://service.sap.com/sap/support/notes/1526926","1526926")</f>
        <v>1526926</v>
      </c>
      <c r="E456">
        <v>3</v>
      </c>
      <c r="F456" t="s">
        <v>672</v>
      </c>
    </row>
    <row r="457" spans="1:6" x14ac:dyDescent="0.25">
      <c r="A457" t="s">
        <v>1403</v>
      </c>
      <c r="B457" t="s">
        <v>48</v>
      </c>
      <c r="C457" t="s">
        <v>49</v>
      </c>
      <c r="D457" t="str">
        <f>HYPERLINK("http://service.sap.com/sap/support/notes/1519605","1519605")</f>
        <v>1519605</v>
      </c>
      <c r="E457">
        <v>1</v>
      </c>
      <c r="F457" t="s">
        <v>50</v>
      </c>
    </row>
    <row r="458" spans="1:6" x14ac:dyDescent="0.25">
      <c r="A458" t="s">
        <v>1403</v>
      </c>
      <c r="B458" t="s">
        <v>51</v>
      </c>
      <c r="C458" t="s">
        <v>52</v>
      </c>
      <c r="D458" t="str">
        <f>HYPERLINK("http://service.sap.com/sap/support/notes/1471156","1471156")</f>
        <v>1471156</v>
      </c>
      <c r="E458">
        <v>1</v>
      </c>
      <c r="F458" t="s">
        <v>673</v>
      </c>
    </row>
    <row r="459" spans="1:6" x14ac:dyDescent="0.25">
      <c r="A459" t="s">
        <v>1403</v>
      </c>
      <c r="B459" t="s">
        <v>51</v>
      </c>
      <c r="C459" t="s">
        <v>52</v>
      </c>
      <c r="D459" t="str">
        <f>HYPERLINK("http://service.sap.com/sap/support/notes/1476300","1476300")</f>
        <v>1476300</v>
      </c>
      <c r="E459">
        <v>1</v>
      </c>
      <c r="F459" t="s">
        <v>674</v>
      </c>
    </row>
    <row r="460" spans="1:6" x14ac:dyDescent="0.25">
      <c r="A460" t="s">
        <v>1403</v>
      </c>
      <c r="B460" t="s">
        <v>51</v>
      </c>
      <c r="C460" t="s">
        <v>52</v>
      </c>
      <c r="D460" t="str">
        <f>HYPERLINK("http://service.sap.com/sap/support/notes/1493284","1493284")</f>
        <v>1493284</v>
      </c>
      <c r="E460">
        <v>3</v>
      </c>
      <c r="F460" t="s">
        <v>675</v>
      </c>
    </row>
    <row r="461" spans="1:6" x14ac:dyDescent="0.25">
      <c r="A461" t="s">
        <v>1403</v>
      </c>
      <c r="B461" t="s">
        <v>54</v>
      </c>
      <c r="C461" t="s">
        <v>55</v>
      </c>
      <c r="D461" t="str">
        <f>HYPERLINK("http://service.sap.com/sap/support/notes/1495359","1495359")</f>
        <v>1495359</v>
      </c>
      <c r="E461">
        <v>1</v>
      </c>
      <c r="F461" t="s">
        <v>676</v>
      </c>
    </row>
    <row r="462" spans="1:6" x14ac:dyDescent="0.25">
      <c r="A462" t="s">
        <v>1403</v>
      </c>
      <c r="B462" t="s">
        <v>57</v>
      </c>
      <c r="C462" t="s">
        <v>58</v>
      </c>
      <c r="D462" t="str">
        <f>HYPERLINK("http://service.sap.com/sap/support/notes/700094","700094")</f>
        <v>700094</v>
      </c>
      <c r="E462">
        <v>8</v>
      </c>
      <c r="F462" t="s">
        <v>677</v>
      </c>
    </row>
    <row r="463" spans="1:6" x14ac:dyDescent="0.25">
      <c r="A463" t="s">
        <v>1403</v>
      </c>
      <c r="B463" t="s">
        <v>57</v>
      </c>
      <c r="C463" t="s">
        <v>58</v>
      </c>
      <c r="D463" t="str">
        <f>HYPERLINK("http://service.sap.com/sap/support/notes/1524204","1524204")</f>
        <v>1524204</v>
      </c>
      <c r="E463">
        <v>1</v>
      </c>
      <c r="F463" t="s">
        <v>678</v>
      </c>
    </row>
    <row r="464" spans="1:6" x14ac:dyDescent="0.25">
      <c r="A464" t="s">
        <v>1403</v>
      </c>
      <c r="B464" t="s">
        <v>59</v>
      </c>
      <c r="C464" t="s">
        <v>679</v>
      </c>
      <c r="D464" t="str">
        <f>HYPERLINK("http://service.sap.com/sap/support/notes/1360012","1360012")</f>
        <v>1360012</v>
      </c>
      <c r="E464">
        <v>7</v>
      </c>
      <c r="F464" t="s">
        <v>680</v>
      </c>
    </row>
    <row r="465" spans="1:6" x14ac:dyDescent="0.25">
      <c r="A465" t="s">
        <v>1403</v>
      </c>
      <c r="B465" t="s">
        <v>59</v>
      </c>
      <c r="C465" t="s">
        <v>679</v>
      </c>
      <c r="D465" t="str">
        <f>HYPERLINK("http://service.sap.com/sap/support/notes/1461041","1461041")</f>
        <v>1461041</v>
      </c>
      <c r="E465">
        <v>6</v>
      </c>
      <c r="F465" t="s">
        <v>681</v>
      </c>
    </row>
    <row r="466" spans="1:6" x14ac:dyDescent="0.25">
      <c r="A466" t="s">
        <v>1403</v>
      </c>
      <c r="B466" t="s">
        <v>59</v>
      </c>
      <c r="C466" t="s">
        <v>679</v>
      </c>
      <c r="D466" t="str">
        <f>HYPERLINK("http://service.sap.com/sap/support/notes/1504084","1504084")</f>
        <v>1504084</v>
      </c>
      <c r="E466">
        <v>6</v>
      </c>
      <c r="F466" t="s">
        <v>682</v>
      </c>
    </row>
    <row r="467" spans="1:6" x14ac:dyDescent="0.25">
      <c r="A467" t="s">
        <v>1403</v>
      </c>
      <c r="B467" t="s">
        <v>59</v>
      </c>
      <c r="C467" t="s">
        <v>679</v>
      </c>
      <c r="D467" t="str">
        <f>HYPERLINK("http://service.sap.com/sap/support/notes/1520487","1520487")</f>
        <v>1520487</v>
      </c>
      <c r="E467">
        <v>1</v>
      </c>
      <c r="F467" t="s">
        <v>683</v>
      </c>
    </row>
    <row r="468" spans="1:6" x14ac:dyDescent="0.25">
      <c r="A468" t="s">
        <v>1403</v>
      </c>
      <c r="B468" t="s">
        <v>59</v>
      </c>
      <c r="C468" t="s">
        <v>679</v>
      </c>
      <c r="D468" t="str">
        <f>HYPERLINK("http://service.sap.com/sap/support/notes/1521840","1521840")</f>
        <v>1521840</v>
      </c>
      <c r="E468">
        <v>1</v>
      </c>
      <c r="F468" t="s">
        <v>684</v>
      </c>
    </row>
    <row r="469" spans="1:6" x14ac:dyDescent="0.25">
      <c r="A469" t="s">
        <v>1403</v>
      </c>
      <c r="B469" t="s">
        <v>59</v>
      </c>
      <c r="C469" t="s">
        <v>679</v>
      </c>
      <c r="D469" t="str">
        <f>HYPERLINK("http://service.sap.com/sap/support/notes/1522486","1522486")</f>
        <v>1522486</v>
      </c>
      <c r="E469">
        <v>1</v>
      </c>
      <c r="F469" t="s">
        <v>685</v>
      </c>
    </row>
    <row r="470" spans="1:6" x14ac:dyDescent="0.25">
      <c r="A470" t="s">
        <v>1403</v>
      </c>
      <c r="B470" t="s">
        <v>59</v>
      </c>
      <c r="C470" t="s">
        <v>679</v>
      </c>
      <c r="D470" t="str">
        <f>HYPERLINK("http://service.sap.com/sap/support/notes/1523726","1523726")</f>
        <v>1523726</v>
      </c>
      <c r="E470">
        <v>1</v>
      </c>
      <c r="F470" t="s">
        <v>686</v>
      </c>
    </row>
    <row r="471" spans="1:6" x14ac:dyDescent="0.25">
      <c r="A471" t="s">
        <v>1403</v>
      </c>
      <c r="B471" t="s">
        <v>59</v>
      </c>
      <c r="C471" t="s">
        <v>679</v>
      </c>
      <c r="D471" t="str">
        <f>HYPERLINK("http://service.sap.com/sap/support/notes/1524188","1524188")</f>
        <v>1524188</v>
      </c>
      <c r="E471">
        <v>2</v>
      </c>
      <c r="F471" t="s">
        <v>687</v>
      </c>
    </row>
    <row r="472" spans="1:6" x14ac:dyDescent="0.25">
      <c r="A472" t="s">
        <v>1403</v>
      </c>
      <c r="B472" t="s">
        <v>59</v>
      </c>
      <c r="C472" t="s">
        <v>679</v>
      </c>
      <c r="D472" t="str">
        <f>HYPERLINK("http://service.sap.com/sap/support/notes/1525474","1525474")</f>
        <v>1525474</v>
      </c>
      <c r="E472">
        <v>1</v>
      </c>
      <c r="F472" t="s">
        <v>688</v>
      </c>
    </row>
    <row r="473" spans="1:6" x14ac:dyDescent="0.25">
      <c r="A473" t="s">
        <v>1403</v>
      </c>
      <c r="B473" t="s">
        <v>59</v>
      </c>
      <c r="C473" t="s">
        <v>679</v>
      </c>
      <c r="D473" t="str">
        <f>HYPERLINK("http://service.sap.com/sap/support/notes/1526605","1526605")</f>
        <v>1526605</v>
      </c>
      <c r="E473">
        <v>1</v>
      </c>
      <c r="F473" t="s">
        <v>689</v>
      </c>
    </row>
    <row r="474" spans="1:6" x14ac:dyDescent="0.25">
      <c r="A474" t="s">
        <v>1403</v>
      </c>
      <c r="B474" t="s">
        <v>59</v>
      </c>
      <c r="C474" t="s">
        <v>679</v>
      </c>
      <c r="D474" t="str">
        <f>HYPERLINK("http://service.sap.com/sap/support/notes/1526889","1526889")</f>
        <v>1526889</v>
      </c>
      <c r="E474">
        <v>1</v>
      </c>
      <c r="F474" t="s">
        <v>690</v>
      </c>
    </row>
    <row r="475" spans="1:6" x14ac:dyDescent="0.25">
      <c r="A475" t="s">
        <v>1403</v>
      </c>
      <c r="B475" t="s">
        <v>59</v>
      </c>
      <c r="C475" t="s">
        <v>679</v>
      </c>
      <c r="D475" t="str">
        <f>HYPERLINK("http://service.sap.com/sap/support/notes/1529076","1529076")</f>
        <v>1529076</v>
      </c>
      <c r="E475">
        <v>2</v>
      </c>
      <c r="F475" t="s">
        <v>691</v>
      </c>
    </row>
    <row r="476" spans="1:6" x14ac:dyDescent="0.25">
      <c r="A476" t="s">
        <v>1403</v>
      </c>
      <c r="B476" t="s">
        <v>59</v>
      </c>
      <c r="C476" t="s">
        <v>679</v>
      </c>
      <c r="D476" t="str">
        <f>HYPERLINK("http://service.sap.com/sap/support/notes/1529441","1529441")</f>
        <v>1529441</v>
      </c>
      <c r="E476">
        <v>1</v>
      </c>
      <c r="F476" t="s">
        <v>692</v>
      </c>
    </row>
    <row r="477" spans="1:6" x14ac:dyDescent="0.25">
      <c r="A477" t="s">
        <v>1403</v>
      </c>
      <c r="B477" t="s">
        <v>59</v>
      </c>
      <c r="C477" t="s">
        <v>679</v>
      </c>
      <c r="D477" t="str">
        <f>HYPERLINK("http://service.sap.com/sap/support/notes/1530401","1530401")</f>
        <v>1530401</v>
      </c>
      <c r="E477">
        <v>1</v>
      </c>
      <c r="F477" t="s">
        <v>693</v>
      </c>
    </row>
    <row r="478" spans="1:6" x14ac:dyDescent="0.25">
      <c r="A478" t="s">
        <v>1403</v>
      </c>
      <c r="B478" t="s">
        <v>694</v>
      </c>
      <c r="C478" t="s">
        <v>695</v>
      </c>
      <c r="D478" t="str">
        <f>HYPERLINK("http://service.sap.com/sap/support/notes/1497643","1497643")</f>
        <v>1497643</v>
      </c>
      <c r="E478">
        <v>1</v>
      </c>
      <c r="F478" t="s">
        <v>696</v>
      </c>
    </row>
    <row r="479" spans="1:6" x14ac:dyDescent="0.25">
      <c r="A479" t="s">
        <v>1403</v>
      </c>
      <c r="B479" t="s">
        <v>73</v>
      </c>
      <c r="C479" t="s">
        <v>74</v>
      </c>
      <c r="D479" t="str">
        <f>HYPERLINK("http://service.sap.com/sap/support/notes/1246386","1246386")</f>
        <v>1246386</v>
      </c>
      <c r="E479">
        <v>1</v>
      </c>
      <c r="F479" t="s">
        <v>697</v>
      </c>
    </row>
    <row r="480" spans="1:6" x14ac:dyDescent="0.25">
      <c r="A480" t="s">
        <v>1403</v>
      </c>
      <c r="B480" t="s">
        <v>73</v>
      </c>
      <c r="C480" t="s">
        <v>74</v>
      </c>
      <c r="D480" t="str">
        <f>HYPERLINK("http://service.sap.com/sap/support/notes/1487866","1487866")</f>
        <v>1487866</v>
      </c>
      <c r="E480">
        <v>1</v>
      </c>
      <c r="F480" t="s">
        <v>698</v>
      </c>
    </row>
    <row r="481" spans="1:6" x14ac:dyDescent="0.25">
      <c r="A481" t="s">
        <v>1403</v>
      </c>
      <c r="B481" t="s">
        <v>73</v>
      </c>
      <c r="C481" t="s">
        <v>74</v>
      </c>
      <c r="D481" t="str">
        <f>HYPERLINK("http://service.sap.com/sap/support/notes/1502234","1502234")</f>
        <v>1502234</v>
      </c>
      <c r="E481">
        <v>1</v>
      </c>
      <c r="F481" t="s">
        <v>75</v>
      </c>
    </row>
    <row r="482" spans="1:6" x14ac:dyDescent="0.25">
      <c r="A482" t="s">
        <v>1403</v>
      </c>
      <c r="B482" t="s">
        <v>76</v>
      </c>
      <c r="C482" t="s">
        <v>77</v>
      </c>
      <c r="D482" t="str">
        <f>HYPERLINK("http://service.sap.com/sap/support/notes/448307","448307")</f>
        <v>448307</v>
      </c>
      <c r="E482">
        <v>1</v>
      </c>
      <c r="F482" t="s">
        <v>78</v>
      </c>
    </row>
    <row r="483" spans="1:6" x14ac:dyDescent="0.25">
      <c r="A483" t="s">
        <v>1403</v>
      </c>
      <c r="B483" t="s">
        <v>79</v>
      </c>
      <c r="C483" t="s">
        <v>80</v>
      </c>
      <c r="D483" t="str">
        <f>HYPERLINK("http://service.sap.com/sap/support/notes/1498925","1498925")</f>
        <v>1498925</v>
      </c>
      <c r="E483">
        <v>1</v>
      </c>
      <c r="F483" t="s">
        <v>82</v>
      </c>
    </row>
    <row r="484" spans="1:6" x14ac:dyDescent="0.25">
      <c r="A484" t="s">
        <v>1403</v>
      </c>
      <c r="B484" t="s">
        <v>79</v>
      </c>
      <c r="C484" t="s">
        <v>80</v>
      </c>
      <c r="D484" t="str">
        <f>HYPERLINK("http://service.sap.com/sap/support/notes/1508781","1508781")</f>
        <v>1508781</v>
      </c>
      <c r="E484">
        <v>2</v>
      </c>
      <c r="F484" t="s">
        <v>699</v>
      </c>
    </row>
    <row r="485" spans="1:6" x14ac:dyDescent="0.25">
      <c r="A485" t="s">
        <v>1403</v>
      </c>
      <c r="B485" t="s">
        <v>79</v>
      </c>
      <c r="C485" t="s">
        <v>80</v>
      </c>
      <c r="D485" t="str">
        <f>HYPERLINK("http://service.sap.com/sap/support/notes/1527684","1527684")</f>
        <v>1527684</v>
      </c>
      <c r="E485">
        <v>1</v>
      </c>
      <c r="F485" t="s">
        <v>700</v>
      </c>
    </row>
    <row r="486" spans="1:6" x14ac:dyDescent="0.25">
      <c r="A486" t="s">
        <v>1403</v>
      </c>
      <c r="B486" t="s">
        <v>79</v>
      </c>
      <c r="C486" t="s">
        <v>80</v>
      </c>
      <c r="D486" t="str">
        <f>HYPERLINK("http://service.sap.com/sap/support/notes/1529627","1529627")</f>
        <v>1529627</v>
      </c>
      <c r="E486">
        <v>1</v>
      </c>
      <c r="F486" t="s">
        <v>701</v>
      </c>
    </row>
    <row r="487" spans="1:6" x14ac:dyDescent="0.25">
      <c r="A487" t="s">
        <v>1403</v>
      </c>
      <c r="B487" t="s">
        <v>86</v>
      </c>
      <c r="C487" t="s">
        <v>87</v>
      </c>
      <c r="D487" t="str">
        <f>HYPERLINK("http://service.sap.com/sap/support/notes/1522638","1522638")</f>
        <v>1522638</v>
      </c>
      <c r="E487">
        <v>2</v>
      </c>
      <c r="F487" t="s">
        <v>702</v>
      </c>
    </row>
    <row r="488" spans="1:6" x14ac:dyDescent="0.25">
      <c r="A488" t="s">
        <v>1403</v>
      </c>
      <c r="B488" t="s">
        <v>86</v>
      </c>
      <c r="C488" t="s">
        <v>87</v>
      </c>
      <c r="D488" t="str">
        <f>HYPERLINK("http://service.sap.com/sap/support/notes/1525499","1525499")</f>
        <v>1525499</v>
      </c>
      <c r="E488">
        <v>4</v>
      </c>
      <c r="F488" t="s">
        <v>703</v>
      </c>
    </row>
    <row r="489" spans="1:6" x14ac:dyDescent="0.25">
      <c r="A489" t="s">
        <v>1403</v>
      </c>
      <c r="B489" t="s">
        <v>704</v>
      </c>
      <c r="C489" t="s">
        <v>412</v>
      </c>
      <c r="D489" t="str">
        <f>HYPERLINK("http://service.sap.com/sap/support/notes/1487985","1487985")</f>
        <v>1487985</v>
      </c>
      <c r="E489">
        <v>2</v>
      </c>
      <c r="F489" t="s">
        <v>705</v>
      </c>
    </row>
    <row r="490" spans="1:6" x14ac:dyDescent="0.25">
      <c r="A490" t="s">
        <v>1403</v>
      </c>
      <c r="B490" t="s">
        <v>704</v>
      </c>
      <c r="C490" t="s">
        <v>412</v>
      </c>
      <c r="D490" t="str">
        <f>HYPERLINK("http://service.sap.com/sap/support/notes/1522185","1522185")</f>
        <v>1522185</v>
      </c>
      <c r="E490">
        <v>2</v>
      </c>
      <c r="F490" t="s">
        <v>706</v>
      </c>
    </row>
    <row r="491" spans="1:6" x14ac:dyDescent="0.25">
      <c r="A491" t="s">
        <v>1403</v>
      </c>
      <c r="B491" t="s">
        <v>704</v>
      </c>
      <c r="C491" t="s">
        <v>412</v>
      </c>
      <c r="D491" t="str">
        <f>HYPERLINK("http://service.sap.com/sap/support/notes/1523890","1523890")</f>
        <v>1523890</v>
      </c>
      <c r="E491">
        <v>2</v>
      </c>
      <c r="F491" t="s">
        <v>707</v>
      </c>
    </row>
    <row r="492" spans="1:6" x14ac:dyDescent="0.25">
      <c r="A492" t="s">
        <v>1403</v>
      </c>
      <c r="B492" t="s">
        <v>92</v>
      </c>
      <c r="C492" t="s">
        <v>708</v>
      </c>
      <c r="D492" t="str">
        <f>HYPERLINK("http://service.sap.com/sap/support/notes/1516866","1516866")</f>
        <v>1516866</v>
      </c>
      <c r="E492">
        <v>1</v>
      </c>
      <c r="F492" t="s">
        <v>101</v>
      </c>
    </row>
    <row r="493" spans="1:6" x14ac:dyDescent="0.25">
      <c r="A493" t="s">
        <v>1403</v>
      </c>
      <c r="B493" t="s">
        <v>92</v>
      </c>
      <c r="C493" t="s">
        <v>708</v>
      </c>
      <c r="D493" t="str">
        <f>HYPERLINK("http://service.sap.com/sap/support/notes/1520935","1520935")</f>
        <v>1520935</v>
      </c>
      <c r="E493">
        <v>4</v>
      </c>
      <c r="F493" t="s">
        <v>709</v>
      </c>
    </row>
    <row r="494" spans="1:6" x14ac:dyDescent="0.25">
      <c r="A494" t="s">
        <v>1403</v>
      </c>
      <c r="B494" t="s">
        <v>92</v>
      </c>
      <c r="C494" t="s">
        <v>708</v>
      </c>
      <c r="D494" t="str">
        <f>HYPERLINK("http://service.sap.com/sap/support/notes/1522459","1522459")</f>
        <v>1522459</v>
      </c>
      <c r="E494">
        <v>1</v>
      </c>
      <c r="F494" t="s">
        <v>710</v>
      </c>
    </row>
    <row r="495" spans="1:6" x14ac:dyDescent="0.25">
      <c r="A495" t="s">
        <v>1403</v>
      </c>
      <c r="B495" t="s">
        <v>92</v>
      </c>
      <c r="C495" t="s">
        <v>708</v>
      </c>
      <c r="D495" t="str">
        <f>HYPERLINK("http://service.sap.com/sap/support/notes/1522786","1522786")</f>
        <v>1522786</v>
      </c>
      <c r="E495">
        <v>3</v>
      </c>
      <c r="F495" t="s">
        <v>711</v>
      </c>
    </row>
    <row r="496" spans="1:6" x14ac:dyDescent="0.25">
      <c r="A496" t="s">
        <v>1403</v>
      </c>
      <c r="B496" t="s">
        <v>92</v>
      </c>
      <c r="C496" t="s">
        <v>708</v>
      </c>
      <c r="D496" t="str">
        <f>HYPERLINK("http://service.sap.com/sap/support/notes/1529129","1529129")</f>
        <v>1529129</v>
      </c>
      <c r="E496">
        <v>1</v>
      </c>
      <c r="F496" t="s">
        <v>712</v>
      </c>
    </row>
    <row r="497" spans="1:6" x14ac:dyDescent="0.25">
      <c r="A497" t="s">
        <v>1403</v>
      </c>
      <c r="B497" t="s">
        <v>713</v>
      </c>
      <c r="C497" t="s">
        <v>480</v>
      </c>
      <c r="D497" t="str">
        <f>HYPERLINK("http://service.sap.com/sap/support/notes/1525077","1525077")</f>
        <v>1525077</v>
      </c>
      <c r="E497">
        <v>1</v>
      </c>
      <c r="F497" t="s">
        <v>714</v>
      </c>
    </row>
    <row r="498" spans="1:6" x14ac:dyDescent="0.25">
      <c r="A498" t="s">
        <v>1403</v>
      </c>
      <c r="B498" t="s">
        <v>713</v>
      </c>
      <c r="C498" t="s">
        <v>480</v>
      </c>
      <c r="D498" t="str">
        <f>HYPERLINK("http://service.sap.com/sap/support/notes/1527698","1527698")</f>
        <v>1527698</v>
      </c>
      <c r="E498">
        <v>1</v>
      </c>
      <c r="F498" t="s">
        <v>715</v>
      </c>
    </row>
    <row r="499" spans="1:6" x14ac:dyDescent="0.25">
      <c r="A499" t="s">
        <v>1403</v>
      </c>
      <c r="B499" t="s">
        <v>103</v>
      </c>
      <c r="C499" t="s">
        <v>104</v>
      </c>
      <c r="D499" t="str">
        <f>HYPERLINK("http://service.sap.com/sap/support/notes/1476932","1476932")</f>
        <v>1476932</v>
      </c>
      <c r="E499">
        <v>1</v>
      </c>
      <c r="F499" t="s">
        <v>716</v>
      </c>
    </row>
    <row r="500" spans="1:6" x14ac:dyDescent="0.25">
      <c r="A500" t="s">
        <v>1403</v>
      </c>
      <c r="B500" t="s">
        <v>717</v>
      </c>
      <c r="C500" t="s">
        <v>496</v>
      </c>
      <c r="D500" t="str">
        <f>HYPERLINK("http://service.sap.com/sap/support/notes/1521182","1521182")</f>
        <v>1521182</v>
      </c>
      <c r="E500">
        <v>1</v>
      </c>
      <c r="F500" t="s">
        <v>718</v>
      </c>
    </row>
    <row r="501" spans="1:6" x14ac:dyDescent="0.25">
      <c r="A501" t="s">
        <v>1403</v>
      </c>
      <c r="B501" t="s">
        <v>107</v>
      </c>
    </row>
    <row r="502" spans="1:6" x14ac:dyDescent="0.25">
      <c r="A502" t="s">
        <v>1403</v>
      </c>
      <c r="B502" t="s">
        <v>111</v>
      </c>
      <c r="C502" t="s">
        <v>112</v>
      </c>
      <c r="D502" t="str">
        <f>HYPERLINK("http://service.sap.com/sap/support/notes/1399701","1399701")</f>
        <v>1399701</v>
      </c>
      <c r="E502">
        <v>2</v>
      </c>
      <c r="F502" t="s">
        <v>719</v>
      </c>
    </row>
    <row r="503" spans="1:6" x14ac:dyDescent="0.25">
      <c r="A503" t="s">
        <v>1403</v>
      </c>
      <c r="B503" t="s">
        <v>111</v>
      </c>
      <c r="C503" t="s">
        <v>112</v>
      </c>
      <c r="D503" t="str">
        <f>HYPERLINK("http://service.sap.com/sap/support/notes/1473663","1473663")</f>
        <v>1473663</v>
      </c>
      <c r="E503">
        <v>2</v>
      </c>
      <c r="F503" t="s">
        <v>720</v>
      </c>
    </row>
    <row r="504" spans="1:6" x14ac:dyDescent="0.25">
      <c r="A504" t="s">
        <v>1403</v>
      </c>
      <c r="B504" t="s">
        <v>111</v>
      </c>
      <c r="C504" t="s">
        <v>112</v>
      </c>
      <c r="D504" t="str">
        <f>HYPERLINK("http://service.sap.com/sap/support/notes/1528077","1528077")</f>
        <v>1528077</v>
      </c>
      <c r="E504">
        <v>1</v>
      </c>
      <c r="F504" t="s">
        <v>721</v>
      </c>
    </row>
    <row r="505" spans="1:6" x14ac:dyDescent="0.25">
      <c r="A505" t="s">
        <v>1403</v>
      </c>
      <c r="B505" t="s">
        <v>114</v>
      </c>
      <c r="C505" t="s">
        <v>722</v>
      </c>
      <c r="D505" t="str">
        <f>HYPERLINK("http://service.sap.com/sap/support/notes/1516593","1516593")</f>
        <v>1516593</v>
      </c>
      <c r="E505">
        <v>1</v>
      </c>
      <c r="F505" t="s">
        <v>723</v>
      </c>
    </row>
    <row r="506" spans="1:6" x14ac:dyDescent="0.25">
      <c r="A506" t="s">
        <v>1403</v>
      </c>
      <c r="B506" t="s">
        <v>724</v>
      </c>
      <c r="C506" t="s">
        <v>725</v>
      </c>
      <c r="D506" t="str">
        <f>HYPERLINK("http://service.sap.com/sap/support/notes/804279","804279")</f>
        <v>804279</v>
      </c>
      <c r="E506">
        <v>4</v>
      </c>
      <c r="F506" t="s">
        <v>726</v>
      </c>
    </row>
    <row r="507" spans="1:6" x14ac:dyDescent="0.25">
      <c r="A507" t="s">
        <v>1403</v>
      </c>
      <c r="B507" t="s">
        <v>724</v>
      </c>
      <c r="C507" t="s">
        <v>725</v>
      </c>
      <c r="D507" t="str">
        <f>HYPERLINK("http://service.sap.com/sap/support/notes/1336916","1336916")</f>
        <v>1336916</v>
      </c>
      <c r="E507">
        <v>2</v>
      </c>
      <c r="F507" t="s">
        <v>727</v>
      </c>
    </row>
    <row r="508" spans="1:6" x14ac:dyDescent="0.25">
      <c r="A508" t="s">
        <v>1403</v>
      </c>
      <c r="B508" t="s">
        <v>724</v>
      </c>
      <c r="C508" t="s">
        <v>725</v>
      </c>
      <c r="D508" t="str">
        <f>HYPERLINK("http://service.sap.com/sap/support/notes/1473958","1473958")</f>
        <v>1473958</v>
      </c>
      <c r="E508">
        <v>2</v>
      </c>
      <c r="F508" t="s">
        <v>728</v>
      </c>
    </row>
    <row r="509" spans="1:6" x14ac:dyDescent="0.25">
      <c r="A509" t="s">
        <v>1403</v>
      </c>
      <c r="B509" t="s">
        <v>724</v>
      </c>
      <c r="C509" t="s">
        <v>725</v>
      </c>
      <c r="D509" t="str">
        <f>HYPERLINK("http://service.sap.com/sap/support/notes/1480824","1480824")</f>
        <v>1480824</v>
      </c>
      <c r="E509">
        <v>5</v>
      </c>
      <c r="F509" t="s">
        <v>729</v>
      </c>
    </row>
    <row r="510" spans="1:6" x14ac:dyDescent="0.25">
      <c r="A510" t="s">
        <v>1403</v>
      </c>
      <c r="B510" t="s">
        <v>724</v>
      </c>
      <c r="C510" t="s">
        <v>725</v>
      </c>
      <c r="D510" t="str">
        <f>HYPERLINK("http://service.sap.com/sap/support/notes/1480826","1480826")</f>
        <v>1480826</v>
      </c>
      <c r="E510">
        <v>1</v>
      </c>
      <c r="F510" t="s">
        <v>730</v>
      </c>
    </row>
    <row r="511" spans="1:6" x14ac:dyDescent="0.25">
      <c r="A511" t="s">
        <v>1403</v>
      </c>
      <c r="B511" t="s">
        <v>724</v>
      </c>
      <c r="C511" t="s">
        <v>725</v>
      </c>
      <c r="D511" t="str">
        <f>HYPERLINK("http://service.sap.com/sap/support/notes/1483695","1483695")</f>
        <v>1483695</v>
      </c>
      <c r="E511">
        <v>2</v>
      </c>
      <c r="F511" t="s">
        <v>731</v>
      </c>
    </row>
    <row r="512" spans="1:6" x14ac:dyDescent="0.25">
      <c r="A512" t="s">
        <v>1403</v>
      </c>
      <c r="B512" t="s">
        <v>724</v>
      </c>
      <c r="C512" t="s">
        <v>725</v>
      </c>
      <c r="D512" t="str">
        <f>HYPERLINK("http://service.sap.com/sap/support/notes/1484020","1484020")</f>
        <v>1484020</v>
      </c>
      <c r="E512">
        <v>3</v>
      </c>
      <c r="F512" t="s">
        <v>732</v>
      </c>
    </row>
    <row r="513" spans="1:6" x14ac:dyDescent="0.25">
      <c r="A513" t="s">
        <v>1403</v>
      </c>
      <c r="B513" t="s">
        <v>724</v>
      </c>
      <c r="C513" t="s">
        <v>725</v>
      </c>
      <c r="D513" t="str">
        <f>HYPERLINK("http://service.sap.com/sap/support/notes/1485846","1485846")</f>
        <v>1485846</v>
      </c>
      <c r="E513">
        <v>1</v>
      </c>
      <c r="F513" t="s">
        <v>733</v>
      </c>
    </row>
    <row r="514" spans="1:6" x14ac:dyDescent="0.25">
      <c r="A514" t="s">
        <v>1403</v>
      </c>
      <c r="B514" t="s">
        <v>724</v>
      </c>
      <c r="C514" t="s">
        <v>725</v>
      </c>
      <c r="D514" t="str">
        <f>HYPERLINK("http://service.sap.com/sap/support/notes/1486716","1486716")</f>
        <v>1486716</v>
      </c>
      <c r="E514">
        <v>3</v>
      </c>
      <c r="F514" t="s">
        <v>734</v>
      </c>
    </row>
    <row r="515" spans="1:6" x14ac:dyDescent="0.25">
      <c r="A515" t="s">
        <v>1403</v>
      </c>
      <c r="B515" t="s">
        <v>724</v>
      </c>
      <c r="C515" t="s">
        <v>725</v>
      </c>
      <c r="D515" t="str">
        <f>HYPERLINK("http://service.sap.com/sap/support/notes/1487481","1487481")</f>
        <v>1487481</v>
      </c>
      <c r="E515">
        <v>2</v>
      </c>
      <c r="F515" t="s">
        <v>735</v>
      </c>
    </row>
    <row r="516" spans="1:6" x14ac:dyDescent="0.25">
      <c r="A516" t="s">
        <v>1403</v>
      </c>
      <c r="B516" t="s">
        <v>724</v>
      </c>
      <c r="C516" t="s">
        <v>725</v>
      </c>
      <c r="D516" t="str">
        <f>HYPERLINK("http://service.sap.com/sap/support/notes/1487720","1487720")</f>
        <v>1487720</v>
      </c>
      <c r="E516">
        <v>2</v>
      </c>
      <c r="F516" t="s">
        <v>736</v>
      </c>
    </row>
    <row r="517" spans="1:6" x14ac:dyDescent="0.25">
      <c r="A517" t="s">
        <v>1403</v>
      </c>
      <c r="B517" t="s">
        <v>724</v>
      </c>
      <c r="C517" t="s">
        <v>725</v>
      </c>
      <c r="D517" t="str">
        <f>HYPERLINK("http://service.sap.com/sap/support/notes/1487986","1487986")</f>
        <v>1487986</v>
      </c>
      <c r="E517">
        <v>1</v>
      </c>
      <c r="F517" t="s">
        <v>737</v>
      </c>
    </row>
    <row r="518" spans="1:6" x14ac:dyDescent="0.25">
      <c r="A518" t="s">
        <v>1403</v>
      </c>
      <c r="B518" t="s">
        <v>724</v>
      </c>
      <c r="C518" t="s">
        <v>725</v>
      </c>
      <c r="D518" t="str">
        <f>HYPERLINK("http://service.sap.com/sap/support/notes/1488840","1488840")</f>
        <v>1488840</v>
      </c>
      <c r="E518">
        <v>2</v>
      </c>
      <c r="F518" t="s">
        <v>738</v>
      </c>
    </row>
    <row r="519" spans="1:6" x14ac:dyDescent="0.25">
      <c r="A519" t="s">
        <v>1403</v>
      </c>
      <c r="B519" t="s">
        <v>724</v>
      </c>
      <c r="C519" t="s">
        <v>725</v>
      </c>
      <c r="D519" t="str">
        <f>HYPERLINK("http://service.sap.com/sap/support/notes/1488881","1488881")</f>
        <v>1488881</v>
      </c>
      <c r="E519">
        <v>1</v>
      </c>
      <c r="F519" t="s">
        <v>739</v>
      </c>
    </row>
    <row r="520" spans="1:6" x14ac:dyDescent="0.25">
      <c r="A520" t="s">
        <v>1403</v>
      </c>
      <c r="B520" t="s">
        <v>724</v>
      </c>
      <c r="C520" t="s">
        <v>725</v>
      </c>
      <c r="D520" t="str">
        <f>HYPERLINK("http://service.sap.com/sap/support/notes/1488882","1488882")</f>
        <v>1488882</v>
      </c>
      <c r="E520">
        <v>4</v>
      </c>
      <c r="F520" t="s">
        <v>740</v>
      </c>
    </row>
    <row r="521" spans="1:6" x14ac:dyDescent="0.25">
      <c r="A521" t="s">
        <v>1403</v>
      </c>
      <c r="B521" t="s">
        <v>724</v>
      </c>
      <c r="C521" t="s">
        <v>725</v>
      </c>
      <c r="D521" t="str">
        <f>HYPERLINK("http://service.sap.com/sap/support/notes/1488912","1488912")</f>
        <v>1488912</v>
      </c>
      <c r="E521">
        <v>1</v>
      </c>
      <c r="F521" t="s">
        <v>741</v>
      </c>
    </row>
    <row r="522" spans="1:6" x14ac:dyDescent="0.25">
      <c r="A522" t="s">
        <v>1403</v>
      </c>
      <c r="B522" t="s">
        <v>724</v>
      </c>
      <c r="C522" t="s">
        <v>725</v>
      </c>
      <c r="D522" t="str">
        <f>HYPERLINK("http://service.sap.com/sap/support/notes/1489286","1489286")</f>
        <v>1489286</v>
      </c>
      <c r="E522">
        <v>1</v>
      </c>
      <c r="F522" t="s">
        <v>742</v>
      </c>
    </row>
    <row r="523" spans="1:6" x14ac:dyDescent="0.25">
      <c r="A523" t="s">
        <v>1403</v>
      </c>
      <c r="B523" t="s">
        <v>724</v>
      </c>
      <c r="C523" t="s">
        <v>725</v>
      </c>
      <c r="D523" t="str">
        <f>HYPERLINK("http://service.sap.com/sap/support/notes/1490267","1490267")</f>
        <v>1490267</v>
      </c>
      <c r="E523">
        <v>1</v>
      </c>
      <c r="F523" t="s">
        <v>743</v>
      </c>
    </row>
    <row r="524" spans="1:6" x14ac:dyDescent="0.25">
      <c r="A524" t="s">
        <v>1403</v>
      </c>
      <c r="B524" t="s">
        <v>724</v>
      </c>
      <c r="C524" t="s">
        <v>725</v>
      </c>
      <c r="D524" t="str">
        <f>HYPERLINK("http://service.sap.com/sap/support/notes/1490895","1490895")</f>
        <v>1490895</v>
      </c>
      <c r="E524">
        <v>1</v>
      </c>
      <c r="F524" t="s">
        <v>744</v>
      </c>
    </row>
    <row r="525" spans="1:6" x14ac:dyDescent="0.25">
      <c r="A525" t="s">
        <v>1403</v>
      </c>
      <c r="B525" t="s">
        <v>724</v>
      </c>
      <c r="C525" t="s">
        <v>725</v>
      </c>
      <c r="D525" t="str">
        <f>HYPERLINK("http://service.sap.com/sap/support/notes/1491575","1491575")</f>
        <v>1491575</v>
      </c>
      <c r="E525">
        <v>1</v>
      </c>
      <c r="F525" t="s">
        <v>745</v>
      </c>
    </row>
    <row r="526" spans="1:6" x14ac:dyDescent="0.25">
      <c r="A526" t="s">
        <v>1403</v>
      </c>
      <c r="B526" t="s">
        <v>724</v>
      </c>
      <c r="C526" t="s">
        <v>725</v>
      </c>
      <c r="D526" t="str">
        <f>HYPERLINK("http://service.sap.com/sap/support/notes/1493095","1493095")</f>
        <v>1493095</v>
      </c>
      <c r="E526">
        <v>1</v>
      </c>
      <c r="F526" t="s">
        <v>746</v>
      </c>
    </row>
    <row r="527" spans="1:6" x14ac:dyDescent="0.25">
      <c r="A527" t="s">
        <v>1403</v>
      </c>
      <c r="B527" t="s">
        <v>724</v>
      </c>
      <c r="C527" t="s">
        <v>725</v>
      </c>
      <c r="D527" t="str">
        <f>HYPERLINK("http://service.sap.com/sap/support/notes/1493488","1493488")</f>
        <v>1493488</v>
      </c>
      <c r="E527">
        <v>2</v>
      </c>
      <c r="F527" t="s">
        <v>747</v>
      </c>
    </row>
    <row r="528" spans="1:6" x14ac:dyDescent="0.25">
      <c r="A528" t="s">
        <v>1403</v>
      </c>
      <c r="B528" t="s">
        <v>724</v>
      </c>
      <c r="C528" t="s">
        <v>725</v>
      </c>
      <c r="D528" t="str">
        <f>HYPERLINK("http://service.sap.com/sap/support/notes/1495700","1495700")</f>
        <v>1495700</v>
      </c>
      <c r="E528">
        <v>1</v>
      </c>
      <c r="F528" t="s">
        <v>748</v>
      </c>
    </row>
    <row r="529" spans="1:6" x14ac:dyDescent="0.25">
      <c r="A529" t="s">
        <v>1403</v>
      </c>
      <c r="B529" t="s">
        <v>724</v>
      </c>
      <c r="C529" t="s">
        <v>725</v>
      </c>
      <c r="D529" t="str">
        <f>HYPERLINK("http://service.sap.com/sap/support/notes/1496822","1496822")</f>
        <v>1496822</v>
      </c>
      <c r="E529">
        <v>1</v>
      </c>
      <c r="F529" t="s">
        <v>749</v>
      </c>
    </row>
    <row r="530" spans="1:6" x14ac:dyDescent="0.25">
      <c r="A530" t="s">
        <v>1403</v>
      </c>
      <c r="B530" t="s">
        <v>724</v>
      </c>
      <c r="C530" t="s">
        <v>725</v>
      </c>
      <c r="D530" t="str">
        <f>HYPERLINK("http://service.sap.com/sap/support/notes/1499544","1499544")</f>
        <v>1499544</v>
      </c>
      <c r="E530">
        <v>2</v>
      </c>
      <c r="F530" t="s">
        <v>750</v>
      </c>
    </row>
    <row r="531" spans="1:6" x14ac:dyDescent="0.25">
      <c r="A531" t="s">
        <v>1403</v>
      </c>
      <c r="B531" t="s">
        <v>724</v>
      </c>
      <c r="C531" t="s">
        <v>725</v>
      </c>
      <c r="D531" t="str">
        <f>HYPERLINK("http://service.sap.com/sap/support/notes/1501249","1501249")</f>
        <v>1501249</v>
      </c>
      <c r="E531">
        <v>3</v>
      </c>
      <c r="F531" t="s">
        <v>751</v>
      </c>
    </row>
    <row r="532" spans="1:6" x14ac:dyDescent="0.25">
      <c r="A532" t="s">
        <v>1403</v>
      </c>
      <c r="B532" t="s">
        <v>724</v>
      </c>
      <c r="C532" t="s">
        <v>725</v>
      </c>
      <c r="D532" t="str">
        <f>HYPERLINK("http://service.sap.com/sap/support/notes/1501316","1501316")</f>
        <v>1501316</v>
      </c>
      <c r="E532">
        <v>2</v>
      </c>
      <c r="F532" t="s">
        <v>752</v>
      </c>
    </row>
    <row r="533" spans="1:6" x14ac:dyDescent="0.25">
      <c r="A533" t="s">
        <v>1403</v>
      </c>
      <c r="B533" t="s">
        <v>724</v>
      </c>
      <c r="C533" t="s">
        <v>725</v>
      </c>
      <c r="D533" t="str">
        <f>HYPERLINK("http://service.sap.com/sap/support/notes/1506051","1506051")</f>
        <v>1506051</v>
      </c>
      <c r="E533">
        <v>1</v>
      </c>
      <c r="F533" t="s">
        <v>753</v>
      </c>
    </row>
    <row r="534" spans="1:6" x14ac:dyDescent="0.25">
      <c r="A534" t="s">
        <v>1403</v>
      </c>
      <c r="B534" t="s">
        <v>724</v>
      </c>
      <c r="C534" t="s">
        <v>725</v>
      </c>
      <c r="D534" t="str">
        <f>HYPERLINK("http://service.sap.com/sap/support/notes/1507232","1507232")</f>
        <v>1507232</v>
      </c>
      <c r="E534">
        <v>1</v>
      </c>
      <c r="F534" t="s">
        <v>754</v>
      </c>
    </row>
    <row r="535" spans="1:6" x14ac:dyDescent="0.25">
      <c r="A535" t="s">
        <v>1403</v>
      </c>
      <c r="B535" t="s">
        <v>724</v>
      </c>
      <c r="C535" t="s">
        <v>725</v>
      </c>
      <c r="D535" t="str">
        <f>HYPERLINK("http://service.sap.com/sap/support/notes/1508960","1508960")</f>
        <v>1508960</v>
      </c>
      <c r="E535">
        <v>1</v>
      </c>
      <c r="F535" t="s">
        <v>755</v>
      </c>
    </row>
    <row r="536" spans="1:6" x14ac:dyDescent="0.25">
      <c r="A536" t="s">
        <v>1403</v>
      </c>
      <c r="B536" t="s">
        <v>724</v>
      </c>
      <c r="C536" t="s">
        <v>725</v>
      </c>
      <c r="D536" t="str">
        <f>HYPERLINK("http://service.sap.com/sap/support/notes/1509856","1509856")</f>
        <v>1509856</v>
      </c>
      <c r="E536">
        <v>1</v>
      </c>
      <c r="F536" t="s">
        <v>756</v>
      </c>
    </row>
    <row r="537" spans="1:6" x14ac:dyDescent="0.25">
      <c r="A537" t="s">
        <v>1403</v>
      </c>
      <c r="B537" t="s">
        <v>724</v>
      </c>
      <c r="C537" t="s">
        <v>725</v>
      </c>
      <c r="D537" t="str">
        <f>HYPERLINK("http://service.sap.com/sap/support/notes/1509898","1509898")</f>
        <v>1509898</v>
      </c>
      <c r="E537">
        <v>3</v>
      </c>
      <c r="F537" t="s">
        <v>757</v>
      </c>
    </row>
    <row r="538" spans="1:6" x14ac:dyDescent="0.25">
      <c r="A538" t="s">
        <v>1403</v>
      </c>
      <c r="B538" t="s">
        <v>724</v>
      </c>
      <c r="C538" t="s">
        <v>725</v>
      </c>
      <c r="D538" t="str">
        <f>HYPERLINK("http://service.sap.com/sap/support/notes/1510270","1510270")</f>
        <v>1510270</v>
      </c>
      <c r="E538">
        <v>1</v>
      </c>
      <c r="F538" t="s">
        <v>758</v>
      </c>
    </row>
    <row r="539" spans="1:6" x14ac:dyDescent="0.25">
      <c r="A539" t="s">
        <v>1403</v>
      </c>
      <c r="B539" t="s">
        <v>724</v>
      </c>
      <c r="C539" t="s">
        <v>725</v>
      </c>
      <c r="D539" t="str">
        <f>HYPERLINK("http://service.sap.com/sap/support/notes/1510898","1510898")</f>
        <v>1510898</v>
      </c>
      <c r="E539">
        <v>1</v>
      </c>
      <c r="F539" t="s">
        <v>759</v>
      </c>
    </row>
    <row r="540" spans="1:6" x14ac:dyDescent="0.25">
      <c r="A540" t="s">
        <v>1403</v>
      </c>
      <c r="B540" t="s">
        <v>724</v>
      </c>
      <c r="C540" t="s">
        <v>725</v>
      </c>
      <c r="D540" t="str">
        <f>HYPERLINK("http://service.sap.com/sap/support/notes/1512319","1512319")</f>
        <v>1512319</v>
      </c>
      <c r="E540">
        <v>1</v>
      </c>
      <c r="F540" t="s">
        <v>760</v>
      </c>
    </row>
    <row r="541" spans="1:6" x14ac:dyDescent="0.25">
      <c r="A541" t="s">
        <v>1403</v>
      </c>
      <c r="B541" t="s">
        <v>724</v>
      </c>
      <c r="C541" t="s">
        <v>725</v>
      </c>
      <c r="D541" t="str">
        <f>HYPERLINK("http://service.sap.com/sap/support/notes/1513891","1513891")</f>
        <v>1513891</v>
      </c>
      <c r="E541">
        <v>1</v>
      </c>
      <c r="F541" t="s">
        <v>761</v>
      </c>
    </row>
    <row r="542" spans="1:6" x14ac:dyDescent="0.25">
      <c r="A542" t="s">
        <v>1403</v>
      </c>
      <c r="B542" t="s">
        <v>724</v>
      </c>
      <c r="C542" t="s">
        <v>725</v>
      </c>
      <c r="D542" t="str">
        <f>HYPERLINK("http://service.sap.com/sap/support/notes/1514333","1514333")</f>
        <v>1514333</v>
      </c>
      <c r="E542">
        <v>1</v>
      </c>
      <c r="F542" t="s">
        <v>762</v>
      </c>
    </row>
    <row r="543" spans="1:6" x14ac:dyDescent="0.25">
      <c r="A543" t="s">
        <v>1403</v>
      </c>
      <c r="B543" t="s">
        <v>724</v>
      </c>
      <c r="C543" t="s">
        <v>725</v>
      </c>
      <c r="D543" t="str">
        <f>HYPERLINK("http://service.sap.com/sap/support/notes/1514455","1514455")</f>
        <v>1514455</v>
      </c>
      <c r="E543">
        <v>1</v>
      </c>
      <c r="F543" t="s">
        <v>763</v>
      </c>
    </row>
    <row r="544" spans="1:6" x14ac:dyDescent="0.25">
      <c r="A544" t="s">
        <v>1403</v>
      </c>
      <c r="B544" t="s">
        <v>724</v>
      </c>
      <c r="C544" t="s">
        <v>725</v>
      </c>
      <c r="D544" t="str">
        <f>HYPERLINK("http://service.sap.com/sap/support/notes/1515233","1515233")</f>
        <v>1515233</v>
      </c>
      <c r="E544">
        <v>1</v>
      </c>
      <c r="F544" t="s">
        <v>764</v>
      </c>
    </row>
    <row r="545" spans="1:6" x14ac:dyDescent="0.25">
      <c r="A545" t="s">
        <v>1403</v>
      </c>
      <c r="B545" t="s">
        <v>724</v>
      </c>
      <c r="C545" t="s">
        <v>725</v>
      </c>
      <c r="D545" t="str">
        <f>HYPERLINK("http://service.sap.com/sap/support/notes/1518184","1518184")</f>
        <v>1518184</v>
      </c>
      <c r="E545">
        <v>2</v>
      </c>
      <c r="F545" t="s">
        <v>765</v>
      </c>
    </row>
    <row r="546" spans="1:6" x14ac:dyDescent="0.25">
      <c r="A546" t="s">
        <v>1403</v>
      </c>
      <c r="B546" t="s">
        <v>724</v>
      </c>
      <c r="C546" t="s">
        <v>725</v>
      </c>
      <c r="D546" t="str">
        <f>HYPERLINK("http://service.sap.com/sap/support/notes/1518189","1518189")</f>
        <v>1518189</v>
      </c>
      <c r="E546">
        <v>1</v>
      </c>
      <c r="F546" t="s">
        <v>766</v>
      </c>
    </row>
    <row r="547" spans="1:6" x14ac:dyDescent="0.25">
      <c r="A547" t="s">
        <v>1403</v>
      </c>
      <c r="B547" t="s">
        <v>724</v>
      </c>
      <c r="C547" t="s">
        <v>725</v>
      </c>
      <c r="D547" t="str">
        <f>HYPERLINK("http://service.sap.com/sap/support/notes/1518832","1518832")</f>
        <v>1518832</v>
      </c>
      <c r="E547">
        <v>1</v>
      </c>
      <c r="F547" t="s">
        <v>767</v>
      </c>
    </row>
    <row r="548" spans="1:6" x14ac:dyDescent="0.25">
      <c r="A548" t="s">
        <v>1403</v>
      </c>
      <c r="B548" t="s">
        <v>724</v>
      </c>
      <c r="C548" t="s">
        <v>725</v>
      </c>
      <c r="D548" t="str">
        <f>HYPERLINK("http://service.sap.com/sap/support/notes/1519332","1519332")</f>
        <v>1519332</v>
      </c>
      <c r="E548">
        <v>1</v>
      </c>
      <c r="F548" t="s">
        <v>768</v>
      </c>
    </row>
    <row r="549" spans="1:6" x14ac:dyDescent="0.25">
      <c r="A549" t="s">
        <v>1403</v>
      </c>
      <c r="B549" t="s">
        <v>724</v>
      </c>
      <c r="C549" t="s">
        <v>725</v>
      </c>
      <c r="D549" t="str">
        <f>HYPERLINK("http://service.sap.com/sap/support/notes/1520171","1520171")</f>
        <v>1520171</v>
      </c>
      <c r="E549">
        <v>1</v>
      </c>
      <c r="F549" t="s">
        <v>769</v>
      </c>
    </row>
    <row r="550" spans="1:6" x14ac:dyDescent="0.25">
      <c r="A550" t="s">
        <v>1403</v>
      </c>
      <c r="B550" t="s">
        <v>724</v>
      </c>
      <c r="C550" t="s">
        <v>725</v>
      </c>
      <c r="D550" t="str">
        <f>HYPERLINK("http://service.sap.com/sap/support/notes/1521867","1521867")</f>
        <v>1521867</v>
      </c>
      <c r="E550">
        <v>1</v>
      </c>
      <c r="F550" t="s">
        <v>770</v>
      </c>
    </row>
    <row r="551" spans="1:6" x14ac:dyDescent="0.25">
      <c r="A551" t="s">
        <v>1403</v>
      </c>
      <c r="B551" t="s">
        <v>724</v>
      </c>
      <c r="C551" t="s">
        <v>725</v>
      </c>
      <c r="D551" t="str">
        <f>HYPERLINK("http://service.sap.com/sap/support/notes/1523124","1523124")</f>
        <v>1523124</v>
      </c>
      <c r="E551">
        <v>1</v>
      </c>
      <c r="F551" t="s">
        <v>771</v>
      </c>
    </row>
    <row r="552" spans="1:6" x14ac:dyDescent="0.25">
      <c r="A552" t="s">
        <v>1403</v>
      </c>
      <c r="B552" t="s">
        <v>724</v>
      </c>
      <c r="C552" t="s">
        <v>725</v>
      </c>
      <c r="D552" t="str">
        <f>HYPERLINK("http://service.sap.com/sap/support/notes/1524688","1524688")</f>
        <v>1524688</v>
      </c>
      <c r="E552">
        <v>1</v>
      </c>
      <c r="F552" t="s">
        <v>772</v>
      </c>
    </row>
    <row r="553" spans="1:6" x14ac:dyDescent="0.25">
      <c r="A553" t="s">
        <v>1403</v>
      </c>
      <c r="B553" t="s">
        <v>724</v>
      </c>
      <c r="C553" t="s">
        <v>725</v>
      </c>
      <c r="D553" t="str">
        <f>HYPERLINK("http://service.sap.com/sap/support/notes/1524852","1524852")</f>
        <v>1524852</v>
      </c>
      <c r="E553">
        <v>1</v>
      </c>
      <c r="F553" t="s">
        <v>773</v>
      </c>
    </row>
    <row r="554" spans="1:6" x14ac:dyDescent="0.25">
      <c r="A554" t="s">
        <v>1403</v>
      </c>
      <c r="B554" t="s">
        <v>724</v>
      </c>
      <c r="C554" t="s">
        <v>725</v>
      </c>
      <c r="D554" t="str">
        <f>HYPERLINK("http://service.sap.com/sap/support/notes/1526381","1526381")</f>
        <v>1526381</v>
      </c>
      <c r="E554">
        <v>1</v>
      </c>
      <c r="F554" t="s">
        <v>774</v>
      </c>
    </row>
    <row r="555" spans="1:6" x14ac:dyDescent="0.25">
      <c r="A555" t="s">
        <v>1403</v>
      </c>
      <c r="B555" t="s">
        <v>724</v>
      </c>
      <c r="C555" t="s">
        <v>725</v>
      </c>
      <c r="D555" t="str">
        <f>HYPERLINK("http://service.sap.com/sap/support/notes/1526428","1526428")</f>
        <v>1526428</v>
      </c>
      <c r="E555">
        <v>1</v>
      </c>
      <c r="F555" t="s">
        <v>775</v>
      </c>
    </row>
    <row r="556" spans="1:6" x14ac:dyDescent="0.25">
      <c r="A556" t="s">
        <v>1403</v>
      </c>
      <c r="B556" t="s">
        <v>724</v>
      </c>
      <c r="C556" t="s">
        <v>725</v>
      </c>
      <c r="D556" t="str">
        <f>HYPERLINK("http://service.sap.com/sap/support/notes/1528090","1528090")</f>
        <v>1528090</v>
      </c>
      <c r="E556">
        <v>1</v>
      </c>
      <c r="F556" t="s">
        <v>776</v>
      </c>
    </row>
    <row r="557" spans="1:6" x14ac:dyDescent="0.25">
      <c r="A557" t="s">
        <v>1403</v>
      </c>
      <c r="B557" t="s">
        <v>724</v>
      </c>
      <c r="C557" t="s">
        <v>725</v>
      </c>
      <c r="D557" t="str">
        <f>HYPERLINK("http://service.sap.com/sap/support/notes/1528825","1528825")</f>
        <v>1528825</v>
      </c>
      <c r="E557">
        <v>2</v>
      </c>
      <c r="F557" t="s">
        <v>777</v>
      </c>
    </row>
    <row r="558" spans="1:6" x14ac:dyDescent="0.25">
      <c r="A558" t="s">
        <v>1403</v>
      </c>
      <c r="B558" t="s">
        <v>724</v>
      </c>
      <c r="C558" t="s">
        <v>725</v>
      </c>
      <c r="D558" t="str">
        <f>HYPERLINK("http://service.sap.com/sap/support/notes/1528914","1528914")</f>
        <v>1528914</v>
      </c>
      <c r="E558">
        <v>1</v>
      </c>
      <c r="F558" t="s">
        <v>778</v>
      </c>
    </row>
    <row r="559" spans="1:6" x14ac:dyDescent="0.25">
      <c r="A559" t="s">
        <v>1403</v>
      </c>
      <c r="B559" t="s">
        <v>724</v>
      </c>
      <c r="C559" t="s">
        <v>725</v>
      </c>
      <c r="D559" t="str">
        <f>HYPERLINK("http://service.sap.com/sap/support/notes/1529813","1529813")</f>
        <v>1529813</v>
      </c>
      <c r="E559">
        <v>2</v>
      </c>
      <c r="F559" t="s">
        <v>779</v>
      </c>
    </row>
    <row r="560" spans="1:6" x14ac:dyDescent="0.25">
      <c r="A560" t="s">
        <v>1403</v>
      </c>
      <c r="B560" t="s">
        <v>724</v>
      </c>
      <c r="C560" t="s">
        <v>725</v>
      </c>
      <c r="D560" t="str">
        <f>HYPERLINK("http://service.sap.com/sap/support/notes/1531288","1531288")</f>
        <v>1531288</v>
      </c>
      <c r="E560">
        <v>2</v>
      </c>
      <c r="F560" t="s">
        <v>780</v>
      </c>
    </row>
    <row r="561" spans="1:6" x14ac:dyDescent="0.25">
      <c r="A561" t="s">
        <v>1403</v>
      </c>
      <c r="B561" t="s">
        <v>724</v>
      </c>
      <c r="C561" t="s">
        <v>725</v>
      </c>
      <c r="D561" t="str">
        <f>HYPERLINK("http://service.sap.com/sap/support/notes/1532329","1532329")</f>
        <v>1532329</v>
      </c>
      <c r="E561">
        <v>1</v>
      </c>
      <c r="F561" t="s">
        <v>781</v>
      </c>
    </row>
    <row r="562" spans="1:6" x14ac:dyDescent="0.25">
      <c r="A562" t="s">
        <v>1403</v>
      </c>
      <c r="B562" t="s">
        <v>782</v>
      </c>
      <c r="C562" t="s">
        <v>653</v>
      </c>
      <c r="D562" t="str">
        <f>HYPERLINK("http://service.sap.com/sap/support/notes/1405888","1405888")</f>
        <v>1405888</v>
      </c>
      <c r="E562">
        <v>1</v>
      </c>
      <c r="F562" t="s">
        <v>783</v>
      </c>
    </row>
    <row r="563" spans="1:6" x14ac:dyDescent="0.25">
      <c r="A563" t="s">
        <v>1403</v>
      </c>
      <c r="B563" t="s">
        <v>784</v>
      </c>
      <c r="C563" t="s">
        <v>785</v>
      </c>
      <c r="D563" t="str">
        <f>HYPERLINK("http://service.sap.com/sap/support/notes/1478702","1478702")</f>
        <v>1478702</v>
      </c>
      <c r="E563">
        <v>3</v>
      </c>
      <c r="F563" t="s">
        <v>786</v>
      </c>
    </row>
    <row r="564" spans="1:6" x14ac:dyDescent="0.25">
      <c r="A564" t="s">
        <v>1403</v>
      </c>
      <c r="B564" t="s">
        <v>787</v>
      </c>
      <c r="C564" t="s">
        <v>788</v>
      </c>
      <c r="D564" t="str">
        <f>HYPERLINK("http://service.sap.com/sap/support/notes/1511528","1511528")</f>
        <v>1511528</v>
      </c>
      <c r="E564">
        <v>2</v>
      </c>
      <c r="F564" t="s">
        <v>789</v>
      </c>
    </row>
    <row r="565" spans="1:6" x14ac:dyDescent="0.25">
      <c r="A565" t="s">
        <v>1403</v>
      </c>
      <c r="B565" t="s">
        <v>790</v>
      </c>
    </row>
    <row r="566" spans="1:6" x14ac:dyDescent="0.25">
      <c r="A566" t="s">
        <v>1403</v>
      </c>
      <c r="B566" t="s">
        <v>791</v>
      </c>
      <c r="C566" t="s">
        <v>792</v>
      </c>
      <c r="D566" t="str">
        <f>HYPERLINK("http://service.sap.com/sap/support/notes/1502638","1502638")</f>
        <v>1502638</v>
      </c>
      <c r="E566">
        <v>1</v>
      </c>
      <c r="F566" t="s">
        <v>793</v>
      </c>
    </row>
    <row r="567" spans="1:6" x14ac:dyDescent="0.25">
      <c r="A567" t="s">
        <v>1403</v>
      </c>
      <c r="B567" t="s">
        <v>794</v>
      </c>
      <c r="C567" t="s">
        <v>795</v>
      </c>
      <c r="D567" t="str">
        <f>HYPERLINK("http://service.sap.com/sap/support/notes/1493527","1493527")</f>
        <v>1493527</v>
      </c>
      <c r="E567">
        <v>1</v>
      </c>
      <c r="F567" t="s">
        <v>796</v>
      </c>
    </row>
    <row r="568" spans="1:6" x14ac:dyDescent="0.25">
      <c r="A568" t="s">
        <v>1403</v>
      </c>
      <c r="B568" t="s">
        <v>118</v>
      </c>
    </row>
    <row r="569" spans="1:6" x14ac:dyDescent="0.25">
      <c r="A569" t="s">
        <v>1403</v>
      </c>
      <c r="B569" t="s">
        <v>120</v>
      </c>
      <c r="C569" t="s">
        <v>797</v>
      </c>
      <c r="D569" t="str">
        <f>HYPERLINK("http://service.sap.com/sap/support/notes/1522071","1522071")</f>
        <v>1522071</v>
      </c>
      <c r="E569">
        <v>1</v>
      </c>
      <c r="F569" t="s">
        <v>798</v>
      </c>
    </row>
    <row r="570" spans="1:6" x14ac:dyDescent="0.25">
      <c r="A570" t="s">
        <v>1403</v>
      </c>
      <c r="B570" t="s">
        <v>120</v>
      </c>
      <c r="C570" t="s">
        <v>797</v>
      </c>
      <c r="D570" t="str">
        <f>HYPERLINK("http://service.sap.com/sap/support/notes/1523325","1523325")</f>
        <v>1523325</v>
      </c>
      <c r="E570">
        <v>2</v>
      </c>
      <c r="F570" t="s">
        <v>799</v>
      </c>
    </row>
    <row r="571" spans="1:6" x14ac:dyDescent="0.25">
      <c r="A571" t="s">
        <v>1403</v>
      </c>
      <c r="B571" t="s">
        <v>120</v>
      </c>
      <c r="C571" t="s">
        <v>797</v>
      </c>
      <c r="D571" t="str">
        <f>HYPERLINK("http://service.sap.com/sap/support/notes/1524450","1524450")</f>
        <v>1524450</v>
      </c>
      <c r="E571">
        <v>1</v>
      </c>
      <c r="F571" t="s">
        <v>800</v>
      </c>
    </row>
    <row r="572" spans="1:6" x14ac:dyDescent="0.25">
      <c r="A572" t="s">
        <v>1403</v>
      </c>
      <c r="B572" t="s">
        <v>123</v>
      </c>
      <c r="C572" t="s">
        <v>801</v>
      </c>
      <c r="D572" t="str">
        <f>HYPERLINK("http://service.sap.com/sap/support/notes/1504118","1504118")</f>
        <v>1504118</v>
      </c>
      <c r="E572">
        <v>4</v>
      </c>
      <c r="F572" t="s">
        <v>802</v>
      </c>
    </row>
    <row r="573" spans="1:6" x14ac:dyDescent="0.25">
      <c r="A573" t="s">
        <v>1403</v>
      </c>
      <c r="B573" t="s">
        <v>123</v>
      </c>
      <c r="C573" t="s">
        <v>801</v>
      </c>
      <c r="D573" t="str">
        <f>HYPERLINK("http://service.sap.com/sap/support/notes/1507504","1507504")</f>
        <v>1507504</v>
      </c>
      <c r="E573">
        <v>1</v>
      </c>
      <c r="F573" t="s">
        <v>803</v>
      </c>
    </row>
    <row r="574" spans="1:6" x14ac:dyDescent="0.25">
      <c r="A574" t="s">
        <v>1403</v>
      </c>
      <c r="B574" t="s">
        <v>123</v>
      </c>
      <c r="C574" t="s">
        <v>801</v>
      </c>
      <c r="D574" t="str">
        <f>HYPERLINK("http://service.sap.com/sap/support/notes/1514957","1514957")</f>
        <v>1514957</v>
      </c>
      <c r="E574">
        <v>1</v>
      </c>
      <c r="F574" t="s">
        <v>804</v>
      </c>
    </row>
    <row r="575" spans="1:6" x14ac:dyDescent="0.25">
      <c r="A575" t="s">
        <v>1403</v>
      </c>
      <c r="B575" t="s">
        <v>123</v>
      </c>
      <c r="C575" t="s">
        <v>801</v>
      </c>
      <c r="D575" t="str">
        <f>HYPERLINK("http://service.sap.com/sap/support/notes/1518501","1518501")</f>
        <v>1518501</v>
      </c>
      <c r="E575">
        <v>2</v>
      </c>
      <c r="F575" t="s">
        <v>805</v>
      </c>
    </row>
    <row r="576" spans="1:6" x14ac:dyDescent="0.25">
      <c r="A576" t="s">
        <v>1403</v>
      </c>
      <c r="B576" t="s">
        <v>123</v>
      </c>
      <c r="C576" t="s">
        <v>801</v>
      </c>
      <c r="D576" t="str">
        <f>HYPERLINK("http://service.sap.com/sap/support/notes/1520350","1520350")</f>
        <v>1520350</v>
      </c>
      <c r="E576">
        <v>3</v>
      </c>
      <c r="F576" t="s">
        <v>806</v>
      </c>
    </row>
    <row r="577" spans="1:6" x14ac:dyDescent="0.25">
      <c r="A577" t="s">
        <v>1403</v>
      </c>
      <c r="B577" t="s">
        <v>807</v>
      </c>
      <c r="C577" t="s">
        <v>808</v>
      </c>
      <c r="D577" t="str">
        <f>HYPERLINK("http://service.sap.com/sap/support/notes/1503005","1503005")</f>
        <v>1503005</v>
      </c>
      <c r="E577">
        <v>1</v>
      </c>
      <c r="F577" t="s">
        <v>809</v>
      </c>
    </row>
    <row r="578" spans="1:6" x14ac:dyDescent="0.25">
      <c r="A578" t="s">
        <v>1403</v>
      </c>
      <c r="B578" t="s">
        <v>810</v>
      </c>
    </row>
    <row r="579" spans="1:6" x14ac:dyDescent="0.25">
      <c r="A579" t="s">
        <v>1403</v>
      </c>
      <c r="B579" t="s">
        <v>811</v>
      </c>
      <c r="C579" t="s">
        <v>812</v>
      </c>
      <c r="D579" t="str">
        <f>HYPERLINK("http://service.sap.com/sap/support/notes/1491195","1491195")</f>
        <v>1491195</v>
      </c>
      <c r="E579">
        <v>1</v>
      </c>
      <c r="F579" t="s">
        <v>813</v>
      </c>
    </row>
    <row r="580" spans="1:6" x14ac:dyDescent="0.25">
      <c r="A580" t="s">
        <v>1403</v>
      </c>
      <c r="B580" t="s">
        <v>814</v>
      </c>
      <c r="C580" t="s">
        <v>815</v>
      </c>
      <c r="D580" t="str">
        <f>HYPERLINK("http://service.sap.com/sap/support/notes/1504499","1504499")</f>
        <v>1504499</v>
      </c>
      <c r="E580">
        <v>3</v>
      </c>
      <c r="F580" t="s">
        <v>816</v>
      </c>
    </row>
    <row r="581" spans="1:6" x14ac:dyDescent="0.25">
      <c r="A581" t="s">
        <v>1403</v>
      </c>
      <c r="B581" t="s">
        <v>814</v>
      </c>
      <c r="C581" t="s">
        <v>815</v>
      </c>
      <c r="D581" t="str">
        <f>HYPERLINK("http://service.sap.com/sap/support/notes/1506399","1506399")</f>
        <v>1506399</v>
      </c>
      <c r="E581">
        <v>2</v>
      </c>
      <c r="F581" t="s">
        <v>817</v>
      </c>
    </row>
    <row r="582" spans="1:6" x14ac:dyDescent="0.25">
      <c r="A582" t="s">
        <v>1403</v>
      </c>
      <c r="B582" t="s">
        <v>814</v>
      </c>
      <c r="C582" t="s">
        <v>815</v>
      </c>
      <c r="D582" t="str">
        <f>HYPERLINK("http://service.sap.com/sap/support/notes/1519739","1519739")</f>
        <v>1519739</v>
      </c>
      <c r="E582">
        <v>3</v>
      </c>
      <c r="F582" t="s">
        <v>818</v>
      </c>
    </row>
    <row r="583" spans="1:6" x14ac:dyDescent="0.25">
      <c r="A583" t="s">
        <v>1403</v>
      </c>
      <c r="B583" t="s">
        <v>819</v>
      </c>
      <c r="C583" t="s">
        <v>820</v>
      </c>
      <c r="D583" t="str">
        <f>HYPERLINK("http://service.sap.com/sap/support/notes/1474106","1474106")</f>
        <v>1474106</v>
      </c>
      <c r="E583">
        <v>3</v>
      </c>
      <c r="F583" t="s">
        <v>821</v>
      </c>
    </row>
    <row r="584" spans="1:6" x14ac:dyDescent="0.25">
      <c r="A584" t="s">
        <v>1403</v>
      </c>
      <c r="B584" t="s">
        <v>819</v>
      </c>
      <c r="C584" t="s">
        <v>820</v>
      </c>
      <c r="D584" t="str">
        <f>HYPERLINK("http://service.sap.com/sap/support/notes/1506742","1506742")</f>
        <v>1506742</v>
      </c>
      <c r="E584">
        <v>3</v>
      </c>
      <c r="F584" t="s">
        <v>822</v>
      </c>
    </row>
    <row r="585" spans="1:6" x14ac:dyDescent="0.25">
      <c r="A585" t="s">
        <v>1403</v>
      </c>
      <c r="B585" t="s">
        <v>819</v>
      </c>
      <c r="C585" t="s">
        <v>820</v>
      </c>
      <c r="D585" t="str">
        <f>HYPERLINK("http://service.sap.com/sap/support/notes/1513382","1513382")</f>
        <v>1513382</v>
      </c>
      <c r="E585">
        <v>2</v>
      </c>
      <c r="F585" t="s">
        <v>823</v>
      </c>
    </row>
    <row r="586" spans="1:6" x14ac:dyDescent="0.25">
      <c r="A586" t="s">
        <v>1403</v>
      </c>
      <c r="B586" t="s">
        <v>126</v>
      </c>
    </row>
    <row r="587" spans="1:6" x14ac:dyDescent="0.25">
      <c r="A587" t="s">
        <v>1403</v>
      </c>
      <c r="B587" t="s">
        <v>824</v>
      </c>
    </row>
    <row r="588" spans="1:6" x14ac:dyDescent="0.25">
      <c r="A588" t="s">
        <v>1403</v>
      </c>
      <c r="B588" t="s">
        <v>825</v>
      </c>
    </row>
    <row r="589" spans="1:6" x14ac:dyDescent="0.25">
      <c r="A589" t="s">
        <v>1403</v>
      </c>
      <c r="B589" t="s">
        <v>826</v>
      </c>
      <c r="C589" t="s">
        <v>827</v>
      </c>
      <c r="D589" t="str">
        <f>HYPERLINK("http://service.sap.com/sap/support/notes/1510118","1510118")</f>
        <v>1510118</v>
      </c>
      <c r="E589">
        <v>3</v>
      </c>
      <c r="F589" t="s">
        <v>828</v>
      </c>
    </row>
    <row r="590" spans="1:6" x14ac:dyDescent="0.25">
      <c r="A590" t="s">
        <v>1403</v>
      </c>
      <c r="B590" t="s">
        <v>128</v>
      </c>
      <c r="C590" t="s">
        <v>829</v>
      </c>
      <c r="D590" t="str">
        <f>HYPERLINK("http://service.sap.com/sap/support/notes/1505825","1505825")</f>
        <v>1505825</v>
      </c>
      <c r="E590">
        <v>1</v>
      </c>
      <c r="F590" t="s">
        <v>830</v>
      </c>
    </row>
    <row r="591" spans="1:6" x14ac:dyDescent="0.25">
      <c r="A591" t="s">
        <v>1403</v>
      </c>
      <c r="B591" t="s">
        <v>831</v>
      </c>
    </row>
    <row r="592" spans="1:6" x14ac:dyDescent="0.25">
      <c r="A592" t="s">
        <v>1403</v>
      </c>
      <c r="B592" t="s">
        <v>832</v>
      </c>
      <c r="C592" t="s">
        <v>833</v>
      </c>
      <c r="D592" t="str">
        <f>HYPERLINK("http://service.sap.com/sap/support/notes/1487946","1487946")</f>
        <v>1487946</v>
      </c>
      <c r="E592">
        <v>2</v>
      </c>
      <c r="F592" t="s">
        <v>834</v>
      </c>
    </row>
    <row r="593" spans="1:6" x14ac:dyDescent="0.25">
      <c r="A593" t="s">
        <v>1403</v>
      </c>
      <c r="B593" t="s">
        <v>835</v>
      </c>
      <c r="C593" t="s">
        <v>836</v>
      </c>
      <c r="D593" t="str">
        <f>HYPERLINK("http://service.sap.com/sap/support/notes/1483998","1483998")</f>
        <v>1483998</v>
      </c>
      <c r="E593">
        <v>2</v>
      </c>
      <c r="F593" t="s">
        <v>837</v>
      </c>
    </row>
    <row r="594" spans="1:6" x14ac:dyDescent="0.25">
      <c r="A594" t="s">
        <v>1403</v>
      </c>
      <c r="B594" t="s">
        <v>835</v>
      </c>
      <c r="C594" t="s">
        <v>836</v>
      </c>
      <c r="D594" t="str">
        <f>HYPERLINK("http://service.sap.com/sap/support/notes/1503044","1503044")</f>
        <v>1503044</v>
      </c>
      <c r="E594">
        <v>1</v>
      </c>
      <c r="F594" t="s">
        <v>838</v>
      </c>
    </row>
    <row r="595" spans="1:6" x14ac:dyDescent="0.25">
      <c r="A595" t="s">
        <v>1403</v>
      </c>
      <c r="B595" t="s">
        <v>835</v>
      </c>
      <c r="C595" t="s">
        <v>836</v>
      </c>
      <c r="D595" t="str">
        <f>HYPERLINK("http://service.sap.com/sap/support/notes/1517170","1517170")</f>
        <v>1517170</v>
      </c>
      <c r="E595">
        <v>2</v>
      </c>
      <c r="F595" t="s">
        <v>839</v>
      </c>
    </row>
    <row r="596" spans="1:6" x14ac:dyDescent="0.25">
      <c r="A596" t="s">
        <v>1403</v>
      </c>
      <c r="B596" t="s">
        <v>840</v>
      </c>
      <c r="C596" t="s">
        <v>841</v>
      </c>
      <c r="D596" t="str">
        <f>HYPERLINK("http://service.sap.com/sap/support/notes/1488155","1488155")</f>
        <v>1488155</v>
      </c>
      <c r="E596">
        <v>2</v>
      </c>
      <c r="F596" t="s">
        <v>842</v>
      </c>
    </row>
    <row r="597" spans="1:6" x14ac:dyDescent="0.25">
      <c r="A597" t="s">
        <v>1403</v>
      </c>
      <c r="B597" t="s">
        <v>843</v>
      </c>
      <c r="C597" t="s">
        <v>844</v>
      </c>
      <c r="D597" t="str">
        <f>HYPERLINK("http://service.sap.com/sap/support/notes/1519667","1519667")</f>
        <v>1519667</v>
      </c>
      <c r="E597">
        <v>1</v>
      </c>
      <c r="F597" t="s">
        <v>845</v>
      </c>
    </row>
    <row r="598" spans="1:6" x14ac:dyDescent="0.25">
      <c r="A598" t="s">
        <v>1403</v>
      </c>
      <c r="B598" t="s">
        <v>846</v>
      </c>
      <c r="C598" t="s">
        <v>847</v>
      </c>
      <c r="D598" t="str">
        <f>HYPERLINK("http://service.sap.com/sap/support/notes/1471643","1471643")</f>
        <v>1471643</v>
      </c>
      <c r="E598">
        <v>1</v>
      </c>
      <c r="F598" t="s">
        <v>848</v>
      </c>
    </row>
    <row r="599" spans="1:6" x14ac:dyDescent="0.25">
      <c r="A599" t="s">
        <v>1403</v>
      </c>
      <c r="B599" t="s">
        <v>849</v>
      </c>
      <c r="C599" t="s">
        <v>850</v>
      </c>
      <c r="D599" t="str">
        <f>HYPERLINK("http://service.sap.com/sap/support/notes/1454910","1454910")</f>
        <v>1454910</v>
      </c>
      <c r="E599">
        <v>5</v>
      </c>
      <c r="F599" t="s">
        <v>851</v>
      </c>
    </row>
    <row r="600" spans="1:6" x14ac:dyDescent="0.25">
      <c r="A600" t="s">
        <v>1403</v>
      </c>
      <c r="B600" t="s">
        <v>849</v>
      </c>
      <c r="C600" t="s">
        <v>850</v>
      </c>
      <c r="D600" t="str">
        <f>HYPERLINK("http://service.sap.com/sap/support/notes/1466884","1466884")</f>
        <v>1466884</v>
      </c>
      <c r="E600">
        <v>1</v>
      </c>
      <c r="F600" t="s">
        <v>852</v>
      </c>
    </row>
    <row r="601" spans="1:6" x14ac:dyDescent="0.25">
      <c r="A601" t="s">
        <v>1403</v>
      </c>
      <c r="B601" t="s">
        <v>849</v>
      </c>
      <c r="C601" t="s">
        <v>850</v>
      </c>
      <c r="D601" t="str">
        <f>HYPERLINK("http://service.sap.com/sap/support/notes/1473010","1473010")</f>
        <v>1473010</v>
      </c>
      <c r="E601">
        <v>3</v>
      </c>
      <c r="F601" t="s">
        <v>853</v>
      </c>
    </row>
    <row r="602" spans="1:6" x14ac:dyDescent="0.25">
      <c r="A602" t="s">
        <v>1403</v>
      </c>
      <c r="B602" t="s">
        <v>849</v>
      </c>
      <c r="C602" t="s">
        <v>850</v>
      </c>
      <c r="D602" t="str">
        <f>HYPERLINK("http://service.sap.com/sap/support/notes/1485531","1485531")</f>
        <v>1485531</v>
      </c>
      <c r="E602">
        <v>1</v>
      </c>
      <c r="F602" t="s">
        <v>854</v>
      </c>
    </row>
    <row r="603" spans="1:6" x14ac:dyDescent="0.25">
      <c r="A603" t="s">
        <v>1403</v>
      </c>
      <c r="B603" t="s">
        <v>849</v>
      </c>
      <c r="C603" t="s">
        <v>850</v>
      </c>
      <c r="D603" t="str">
        <f>HYPERLINK("http://service.sap.com/sap/support/notes/1504703","1504703")</f>
        <v>1504703</v>
      </c>
      <c r="E603">
        <v>1</v>
      </c>
      <c r="F603" t="s">
        <v>855</v>
      </c>
    </row>
    <row r="604" spans="1:6" x14ac:dyDescent="0.25">
      <c r="A604" t="s">
        <v>1403</v>
      </c>
      <c r="B604" t="s">
        <v>849</v>
      </c>
      <c r="C604" t="s">
        <v>850</v>
      </c>
      <c r="D604" t="str">
        <f>HYPERLINK("http://service.sap.com/sap/support/notes/1521301","1521301")</f>
        <v>1521301</v>
      </c>
      <c r="E604">
        <v>1</v>
      </c>
      <c r="F604" t="s">
        <v>856</v>
      </c>
    </row>
    <row r="605" spans="1:6" x14ac:dyDescent="0.25">
      <c r="A605" t="s">
        <v>1403</v>
      </c>
      <c r="B605" t="s">
        <v>849</v>
      </c>
      <c r="C605" t="s">
        <v>850</v>
      </c>
      <c r="D605" t="str">
        <f>HYPERLINK("http://service.sap.com/sap/support/notes/1528865","1528865")</f>
        <v>1528865</v>
      </c>
      <c r="E605">
        <v>1</v>
      </c>
      <c r="F605" t="s">
        <v>857</v>
      </c>
    </row>
    <row r="606" spans="1:6" x14ac:dyDescent="0.25">
      <c r="A606" t="s">
        <v>1403</v>
      </c>
      <c r="B606" t="s">
        <v>849</v>
      </c>
      <c r="C606" t="s">
        <v>850</v>
      </c>
      <c r="D606" t="str">
        <f>HYPERLINK("http://service.sap.com/sap/support/notes/1530173","1530173")</f>
        <v>1530173</v>
      </c>
      <c r="E606">
        <v>1</v>
      </c>
      <c r="F606" t="s">
        <v>858</v>
      </c>
    </row>
    <row r="607" spans="1:6" x14ac:dyDescent="0.25">
      <c r="A607" t="s">
        <v>1403</v>
      </c>
      <c r="B607" t="s">
        <v>859</v>
      </c>
      <c r="C607" t="s">
        <v>860</v>
      </c>
      <c r="D607" t="str">
        <f>HYPERLINK("http://service.sap.com/sap/support/notes/1320688","1320688")</f>
        <v>1320688</v>
      </c>
      <c r="E607">
        <v>1</v>
      </c>
      <c r="F607" t="s">
        <v>861</v>
      </c>
    </row>
    <row r="608" spans="1:6" x14ac:dyDescent="0.25">
      <c r="A608" t="s">
        <v>1403</v>
      </c>
      <c r="B608" t="s">
        <v>862</v>
      </c>
      <c r="C608" t="s">
        <v>863</v>
      </c>
      <c r="D608" t="str">
        <f>HYPERLINK("http://service.sap.com/sap/support/notes/990960","990960")</f>
        <v>990960</v>
      </c>
      <c r="E608">
        <v>6</v>
      </c>
      <c r="F608" t="s">
        <v>864</v>
      </c>
    </row>
    <row r="609" spans="1:6" x14ac:dyDescent="0.25">
      <c r="A609" t="s">
        <v>1403</v>
      </c>
      <c r="B609" t="s">
        <v>862</v>
      </c>
      <c r="C609" t="s">
        <v>863</v>
      </c>
      <c r="D609" t="str">
        <f>HYPERLINK("http://service.sap.com/sap/support/notes/1469863","1469863")</f>
        <v>1469863</v>
      </c>
      <c r="E609">
        <v>3</v>
      </c>
      <c r="F609" t="s">
        <v>865</v>
      </c>
    </row>
    <row r="610" spans="1:6" x14ac:dyDescent="0.25">
      <c r="A610" t="s">
        <v>1403</v>
      </c>
      <c r="B610" t="s">
        <v>862</v>
      </c>
      <c r="C610" t="s">
        <v>863</v>
      </c>
      <c r="D610" t="str">
        <f>HYPERLINK("http://service.sap.com/sap/support/notes/1477800","1477800")</f>
        <v>1477800</v>
      </c>
      <c r="E610">
        <v>1</v>
      </c>
      <c r="F610" t="s">
        <v>866</v>
      </c>
    </row>
    <row r="611" spans="1:6" x14ac:dyDescent="0.25">
      <c r="A611" t="s">
        <v>1403</v>
      </c>
      <c r="B611" t="s">
        <v>867</v>
      </c>
    </row>
    <row r="612" spans="1:6" x14ac:dyDescent="0.25">
      <c r="A612" t="s">
        <v>1403</v>
      </c>
      <c r="B612" t="s">
        <v>868</v>
      </c>
      <c r="C612" t="s">
        <v>869</v>
      </c>
      <c r="D612" t="str">
        <f>HYPERLINK("http://service.sap.com/sap/support/notes/1498703","1498703")</f>
        <v>1498703</v>
      </c>
      <c r="E612">
        <v>2</v>
      </c>
      <c r="F612" t="s">
        <v>870</v>
      </c>
    </row>
    <row r="613" spans="1:6" x14ac:dyDescent="0.25">
      <c r="A613" t="s">
        <v>1403</v>
      </c>
      <c r="B613" t="s">
        <v>871</v>
      </c>
      <c r="C613" t="s">
        <v>872</v>
      </c>
      <c r="D613" t="str">
        <f>HYPERLINK("http://service.sap.com/sap/support/notes/1527126","1527126")</f>
        <v>1527126</v>
      </c>
      <c r="E613">
        <v>1</v>
      </c>
      <c r="F613" t="s">
        <v>873</v>
      </c>
    </row>
    <row r="614" spans="1:6" x14ac:dyDescent="0.25">
      <c r="A614" t="s">
        <v>1403</v>
      </c>
      <c r="B614" t="s">
        <v>874</v>
      </c>
      <c r="C614" t="s">
        <v>875</v>
      </c>
      <c r="D614" t="str">
        <f>HYPERLINK("http://service.sap.com/sap/support/notes/1514430","1514430")</f>
        <v>1514430</v>
      </c>
      <c r="E614">
        <v>1</v>
      </c>
      <c r="F614" t="s">
        <v>876</v>
      </c>
    </row>
    <row r="615" spans="1:6" x14ac:dyDescent="0.25">
      <c r="A615" t="s">
        <v>1403</v>
      </c>
      <c r="B615" t="s">
        <v>874</v>
      </c>
      <c r="C615" t="s">
        <v>875</v>
      </c>
      <c r="D615" t="str">
        <f>HYPERLINK("http://service.sap.com/sap/support/notes/1516476","1516476")</f>
        <v>1516476</v>
      </c>
      <c r="E615">
        <v>1</v>
      </c>
      <c r="F615" t="s">
        <v>877</v>
      </c>
    </row>
    <row r="616" spans="1:6" x14ac:dyDescent="0.25">
      <c r="A616" t="s">
        <v>1403</v>
      </c>
      <c r="B616" t="s">
        <v>874</v>
      </c>
      <c r="C616" t="s">
        <v>875</v>
      </c>
      <c r="D616" t="str">
        <f>HYPERLINK("http://service.sap.com/sap/support/notes/1527575","1527575")</f>
        <v>1527575</v>
      </c>
      <c r="E616">
        <v>1</v>
      </c>
      <c r="F616" t="s">
        <v>878</v>
      </c>
    </row>
    <row r="617" spans="1:6" x14ac:dyDescent="0.25">
      <c r="A617" t="s">
        <v>1403</v>
      </c>
      <c r="B617" t="s">
        <v>131</v>
      </c>
    </row>
    <row r="618" spans="1:6" x14ac:dyDescent="0.25">
      <c r="A618" t="s">
        <v>1403</v>
      </c>
      <c r="B618" t="s">
        <v>133</v>
      </c>
      <c r="C618" t="s">
        <v>134</v>
      </c>
      <c r="D618" t="str">
        <f>HYPERLINK("http://service.sap.com/sap/support/notes/1471900","1471900")</f>
        <v>1471900</v>
      </c>
      <c r="E618">
        <v>2</v>
      </c>
      <c r="F618" t="s">
        <v>879</v>
      </c>
    </row>
    <row r="619" spans="1:6" x14ac:dyDescent="0.25">
      <c r="A619" t="s">
        <v>1403</v>
      </c>
      <c r="B619" t="s">
        <v>133</v>
      </c>
      <c r="C619" t="s">
        <v>134</v>
      </c>
      <c r="D619" t="str">
        <f>HYPERLINK("http://service.sap.com/sap/support/notes/1489648","1489648")</f>
        <v>1489648</v>
      </c>
      <c r="E619">
        <v>3</v>
      </c>
      <c r="F619" t="s">
        <v>880</v>
      </c>
    </row>
    <row r="620" spans="1:6" x14ac:dyDescent="0.25">
      <c r="A620" t="s">
        <v>1403</v>
      </c>
      <c r="B620" t="s">
        <v>133</v>
      </c>
      <c r="C620" t="s">
        <v>134</v>
      </c>
      <c r="D620" t="str">
        <f>HYPERLINK("http://service.sap.com/sap/support/notes/1510048","1510048")</f>
        <v>1510048</v>
      </c>
      <c r="E620">
        <v>2</v>
      </c>
      <c r="F620" t="s">
        <v>881</v>
      </c>
    </row>
    <row r="621" spans="1:6" x14ac:dyDescent="0.25">
      <c r="A621" t="s">
        <v>1403</v>
      </c>
      <c r="B621" t="s">
        <v>133</v>
      </c>
      <c r="C621" t="s">
        <v>134</v>
      </c>
      <c r="D621" t="str">
        <f>HYPERLINK("http://service.sap.com/sap/support/notes/1516585","1516585")</f>
        <v>1516585</v>
      </c>
      <c r="E621">
        <v>3</v>
      </c>
      <c r="F621" t="s">
        <v>882</v>
      </c>
    </row>
    <row r="622" spans="1:6" x14ac:dyDescent="0.25">
      <c r="A622" t="s">
        <v>1403</v>
      </c>
      <c r="B622" t="s">
        <v>133</v>
      </c>
      <c r="C622" t="s">
        <v>134</v>
      </c>
      <c r="D622" t="str">
        <f>HYPERLINK("http://service.sap.com/sap/support/notes/1518575","1518575")</f>
        <v>1518575</v>
      </c>
      <c r="E622">
        <v>3</v>
      </c>
      <c r="F622" t="s">
        <v>883</v>
      </c>
    </row>
    <row r="623" spans="1:6" x14ac:dyDescent="0.25">
      <c r="A623" t="s">
        <v>1403</v>
      </c>
      <c r="B623" t="s">
        <v>133</v>
      </c>
      <c r="C623" t="s">
        <v>134</v>
      </c>
      <c r="D623" t="str">
        <f>HYPERLINK("http://service.sap.com/sap/support/notes/1520037","1520037")</f>
        <v>1520037</v>
      </c>
      <c r="E623">
        <v>1</v>
      </c>
      <c r="F623" t="s">
        <v>884</v>
      </c>
    </row>
    <row r="624" spans="1:6" x14ac:dyDescent="0.25">
      <c r="A624" t="s">
        <v>1403</v>
      </c>
      <c r="B624" t="s">
        <v>133</v>
      </c>
      <c r="C624" t="s">
        <v>134</v>
      </c>
      <c r="D624" t="str">
        <f>HYPERLINK("http://service.sap.com/sap/support/notes/1522379","1522379")</f>
        <v>1522379</v>
      </c>
      <c r="E624">
        <v>1</v>
      </c>
      <c r="F624" t="s">
        <v>885</v>
      </c>
    </row>
    <row r="625" spans="1:6" x14ac:dyDescent="0.25">
      <c r="A625" t="s">
        <v>1403</v>
      </c>
      <c r="B625" t="s">
        <v>133</v>
      </c>
      <c r="C625" t="s">
        <v>134</v>
      </c>
      <c r="D625" t="str">
        <f>HYPERLINK("http://service.sap.com/sap/support/notes/1525648","1525648")</f>
        <v>1525648</v>
      </c>
      <c r="E625">
        <v>3</v>
      </c>
      <c r="F625" t="s">
        <v>886</v>
      </c>
    </row>
    <row r="626" spans="1:6" x14ac:dyDescent="0.25">
      <c r="A626" t="s">
        <v>1403</v>
      </c>
      <c r="B626" t="s">
        <v>133</v>
      </c>
      <c r="C626" t="s">
        <v>134</v>
      </c>
      <c r="D626" t="str">
        <f>HYPERLINK("http://service.sap.com/sap/support/notes/1526179","1526179")</f>
        <v>1526179</v>
      </c>
      <c r="E626">
        <v>2</v>
      </c>
      <c r="F626" t="s">
        <v>887</v>
      </c>
    </row>
    <row r="627" spans="1:6" x14ac:dyDescent="0.25">
      <c r="A627" t="s">
        <v>1403</v>
      </c>
      <c r="B627" t="s">
        <v>133</v>
      </c>
      <c r="C627" t="s">
        <v>134</v>
      </c>
      <c r="D627" t="str">
        <f>HYPERLINK("http://service.sap.com/sap/support/notes/1527405","1527405")</f>
        <v>1527405</v>
      </c>
      <c r="E627">
        <v>1</v>
      </c>
      <c r="F627" t="s">
        <v>888</v>
      </c>
    </row>
    <row r="628" spans="1:6" x14ac:dyDescent="0.25">
      <c r="A628" t="s">
        <v>1403</v>
      </c>
      <c r="B628" t="s">
        <v>133</v>
      </c>
      <c r="C628" t="s">
        <v>134</v>
      </c>
      <c r="D628" t="str">
        <f>HYPERLINK("http://service.sap.com/sap/support/notes/1529605","1529605")</f>
        <v>1529605</v>
      </c>
      <c r="E628">
        <v>2</v>
      </c>
      <c r="F628" t="s">
        <v>889</v>
      </c>
    </row>
    <row r="629" spans="1:6" x14ac:dyDescent="0.25">
      <c r="A629" t="s">
        <v>1403</v>
      </c>
      <c r="B629" t="s">
        <v>141</v>
      </c>
      <c r="C629" t="s">
        <v>41</v>
      </c>
      <c r="D629" t="str">
        <f>HYPERLINK("http://service.sap.com/sap/support/notes/1492602","1492602")</f>
        <v>1492602</v>
      </c>
      <c r="E629">
        <v>3</v>
      </c>
      <c r="F629" t="s">
        <v>890</v>
      </c>
    </row>
    <row r="630" spans="1:6" x14ac:dyDescent="0.25">
      <c r="A630" t="s">
        <v>1403</v>
      </c>
      <c r="B630" t="s">
        <v>141</v>
      </c>
      <c r="C630" t="s">
        <v>41</v>
      </c>
      <c r="D630" t="str">
        <f>HYPERLINK("http://service.sap.com/sap/support/notes/1514672","1514672")</f>
        <v>1514672</v>
      </c>
      <c r="E630">
        <v>3</v>
      </c>
      <c r="F630" t="s">
        <v>891</v>
      </c>
    </row>
    <row r="631" spans="1:6" x14ac:dyDescent="0.25">
      <c r="A631" t="s">
        <v>1403</v>
      </c>
      <c r="B631" t="s">
        <v>141</v>
      </c>
      <c r="C631" t="s">
        <v>41</v>
      </c>
      <c r="D631" t="str">
        <f>HYPERLINK("http://service.sap.com/sap/support/notes/1515520","1515520")</f>
        <v>1515520</v>
      </c>
      <c r="E631">
        <v>2</v>
      </c>
      <c r="F631" t="s">
        <v>892</v>
      </c>
    </row>
    <row r="632" spans="1:6" x14ac:dyDescent="0.25">
      <c r="A632" t="s">
        <v>1403</v>
      </c>
      <c r="B632" t="s">
        <v>141</v>
      </c>
      <c r="C632" t="s">
        <v>41</v>
      </c>
      <c r="D632" t="str">
        <f>HYPERLINK("http://service.sap.com/sap/support/notes/1519972","1519972")</f>
        <v>1519972</v>
      </c>
      <c r="E632">
        <v>3</v>
      </c>
      <c r="F632" t="s">
        <v>893</v>
      </c>
    </row>
    <row r="633" spans="1:6" x14ac:dyDescent="0.25">
      <c r="A633" t="s">
        <v>1403</v>
      </c>
      <c r="B633" t="s">
        <v>141</v>
      </c>
      <c r="C633" t="s">
        <v>41</v>
      </c>
      <c r="D633" t="str">
        <f>HYPERLINK("http://service.sap.com/sap/support/notes/1521378","1521378")</f>
        <v>1521378</v>
      </c>
      <c r="E633">
        <v>1</v>
      </c>
      <c r="F633" t="s">
        <v>894</v>
      </c>
    </row>
    <row r="634" spans="1:6" x14ac:dyDescent="0.25">
      <c r="A634" t="s">
        <v>1403</v>
      </c>
      <c r="B634" t="s">
        <v>141</v>
      </c>
      <c r="C634" t="s">
        <v>41</v>
      </c>
      <c r="D634" t="str">
        <f>HYPERLINK("http://service.sap.com/sap/support/notes/1522450","1522450")</f>
        <v>1522450</v>
      </c>
      <c r="E634">
        <v>1</v>
      </c>
      <c r="F634" t="s">
        <v>895</v>
      </c>
    </row>
    <row r="635" spans="1:6" x14ac:dyDescent="0.25">
      <c r="A635" t="s">
        <v>1403</v>
      </c>
      <c r="B635" t="s">
        <v>141</v>
      </c>
      <c r="C635" t="s">
        <v>41</v>
      </c>
      <c r="D635" t="str">
        <f>HYPERLINK("http://service.sap.com/sap/support/notes/1522855","1522855")</f>
        <v>1522855</v>
      </c>
      <c r="E635">
        <v>1</v>
      </c>
      <c r="F635" t="s">
        <v>896</v>
      </c>
    </row>
    <row r="636" spans="1:6" x14ac:dyDescent="0.25">
      <c r="A636" t="s">
        <v>1403</v>
      </c>
      <c r="B636" t="s">
        <v>141</v>
      </c>
      <c r="C636" t="s">
        <v>41</v>
      </c>
      <c r="D636" t="str">
        <f>HYPERLINK("http://service.sap.com/sap/support/notes/1527573","1527573")</f>
        <v>1527573</v>
      </c>
      <c r="E636">
        <v>3</v>
      </c>
      <c r="F636" t="s">
        <v>897</v>
      </c>
    </row>
    <row r="637" spans="1:6" x14ac:dyDescent="0.25">
      <c r="A637" t="s">
        <v>1403</v>
      </c>
      <c r="B637" t="s">
        <v>141</v>
      </c>
      <c r="C637" t="s">
        <v>41</v>
      </c>
      <c r="D637" t="str">
        <f>HYPERLINK("http://service.sap.com/sap/support/notes/1528340","1528340")</f>
        <v>1528340</v>
      </c>
      <c r="E637">
        <v>2</v>
      </c>
      <c r="F637" t="s">
        <v>898</v>
      </c>
    </row>
    <row r="638" spans="1:6" x14ac:dyDescent="0.25">
      <c r="A638" t="s">
        <v>1403</v>
      </c>
      <c r="B638" t="s">
        <v>141</v>
      </c>
      <c r="C638" t="s">
        <v>41</v>
      </c>
      <c r="D638" t="str">
        <f>HYPERLINK("http://service.sap.com/sap/support/notes/1528424","1528424")</f>
        <v>1528424</v>
      </c>
      <c r="E638">
        <v>1</v>
      </c>
      <c r="F638" t="s">
        <v>899</v>
      </c>
    </row>
    <row r="639" spans="1:6" x14ac:dyDescent="0.25">
      <c r="A639" t="s">
        <v>1403</v>
      </c>
      <c r="B639" t="s">
        <v>141</v>
      </c>
      <c r="C639" t="s">
        <v>41</v>
      </c>
      <c r="D639" t="str">
        <f>HYPERLINK("http://service.sap.com/sap/support/notes/1528879","1528879")</f>
        <v>1528879</v>
      </c>
      <c r="E639">
        <v>1</v>
      </c>
      <c r="F639" t="s">
        <v>900</v>
      </c>
    </row>
    <row r="640" spans="1:6" x14ac:dyDescent="0.25">
      <c r="A640" t="s">
        <v>1403</v>
      </c>
      <c r="B640" t="s">
        <v>141</v>
      </c>
      <c r="C640" t="s">
        <v>41</v>
      </c>
      <c r="D640" t="str">
        <f>HYPERLINK("http://service.sap.com/sap/support/notes/1529023","1529023")</f>
        <v>1529023</v>
      </c>
      <c r="E640">
        <v>1</v>
      </c>
      <c r="F640" t="s">
        <v>901</v>
      </c>
    </row>
    <row r="641" spans="1:6" x14ac:dyDescent="0.25">
      <c r="A641" t="s">
        <v>1403</v>
      </c>
      <c r="B641" t="s">
        <v>141</v>
      </c>
      <c r="C641" t="s">
        <v>41</v>
      </c>
      <c r="D641" t="str">
        <f>HYPERLINK("http://service.sap.com/sap/support/notes/1529548","1529548")</f>
        <v>1529548</v>
      </c>
      <c r="E641">
        <v>3</v>
      </c>
      <c r="F641" t="s">
        <v>902</v>
      </c>
    </row>
    <row r="642" spans="1:6" x14ac:dyDescent="0.25">
      <c r="A642" t="s">
        <v>1403</v>
      </c>
      <c r="B642" t="s">
        <v>141</v>
      </c>
      <c r="C642" t="s">
        <v>41</v>
      </c>
      <c r="D642" t="str">
        <f>HYPERLINK("http://service.sap.com/sap/support/notes/1530206","1530206")</f>
        <v>1530206</v>
      </c>
      <c r="E642">
        <v>1</v>
      </c>
      <c r="F642" t="s">
        <v>903</v>
      </c>
    </row>
    <row r="643" spans="1:6" x14ac:dyDescent="0.25">
      <c r="A643" t="s">
        <v>1403</v>
      </c>
      <c r="B643" t="s">
        <v>141</v>
      </c>
      <c r="C643" t="s">
        <v>41</v>
      </c>
      <c r="D643" t="str">
        <f>HYPERLINK("http://service.sap.com/sap/support/notes/1531271","1531271")</f>
        <v>1531271</v>
      </c>
      <c r="E643">
        <v>1</v>
      </c>
      <c r="F643" t="s">
        <v>904</v>
      </c>
    </row>
    <row r="644" spans="1:6" x14ac:dyDescent="0.25">
      <c r="A644" t="s">
        <v>1403</v>
      </c>
      <c r="B644" t="s">
        <v>152</v>
      </c>
      <c r="C644" t="s">
        <v>153</v>
      </c>
      <c r="D644" t="str">
        <f>HYPERLINK("http://service.sap.com/sap/support/notes/1508518","1508518")</f>
        <v>1508518</v>
      </c>
      <c r="E644">
        <v>5</v>
      </c>
      <c r="F644" t="s">
        <v>905</v>
      </c>
    </row>
    <row r="645" spans="1:6" x14ac:dyDescent="0.25">
      <c r="A645" t="s">
        <v>1403</v>
      </c>
      <c r="B645" t="s">
        <v>152</v>
      </c>
      <c r="C645" t="s">
        <v>153</v>
      </c>
      <c r="D645" t="str">
        <f>HYPERLINK("http://service.sap.com/sap/support/notes/1519703","1519703")</f>
        <v>1519703</v>
      </c>
      <c r="E645">
        <v>1</v>
      </c>
      <c r="F645" t="s">
        <v>906</v>
      </c>
    </row>
    <row r="646" spans="1:6" x14ac:dyDescent="0.25">
      <c r="A646" t="s">
        <v>1403</v>
      </c>
      <c r="B646" t="s">
        <v>152</v>
      </c>
      <c r="C646" t="s">
        <v>153</v>
      </c>
      <c r="D646" t="str">
        <f>HYPERLINK("http://service.sap.com/sap/support/notes/1528957","1528957")</f>
        <v>1528957</v>
      </c>
      <c r="E646">
        <v>2</v>
      </c>
      <c r="F646" t="s">
        <v>907</v>
      </c>
    </row>
    <row r="647" spans="1:6" x14ac:dyDescent="0.25">
      <c r="A647" t="s">
        <v>1403</v>
      </c>
      <c r="B647" t="s">
        <v>152</v>
      </c>
      <c r="C647" t="s">
        <v>153</v>
      </c>
      <c r="D647" t="str">
        <f>HYPERLINK("http://service.sap.com/sap/support/notes/1529024","1529024")</f>
        <v>1529024</v>
      </c>
      <c r="E647">
        <v>1</v>
      </c>
      <c r="F647" t="s">
        <v>908</v>
      </c>
    </row>
    <row r="648" spans="1:6" x14ac:dyDescent="0.25">
      <c r="A648" t="s">
        <v>1403</v>
      </c>
      <c r="B648" t="s">
        <v>155</v>
      </c>
      <c r="C648" t="s">
        <v>156</v>
      </c>
      <c r="D648" t="str">
        <f>HYPERLINK("http://service.sap.com/sap/support/notes/815445","815445")</f>
        <v>815445</v>
      </c>
      <c r="E648">
        <v>1</v>
      </c>
      <c r="F648" t="s">
        <v>157</v>
      </c>
    </row>
    <row r="649" spans="1:6" x14ac:dyDescent="0.25">
      <c r="A649" t="s">
        <v>1403</v>
      </c>
      <c r="B649" t="s">
        <v>155</v>
      </c>
      <c r="C649" t="s">
        <v>156</v>
      </c>
      <c r="D649" t="str">
        <f>HYPERLINK("http://service.sap.com/sap/support/notes/1446859","1446859")</f>
        <v>1446859</v>
      </c>
      <c r="E649">
        <v>1</v>
      </c>
      <c r="F649" t="s">
        <v>909</v>
      </c>
    </row>
    <row r="650" spans="1:6" x14ac:dyDescent="0.25">
      <c r="A650" t="s">
        <v>1403</v>
      </c>
      <c r="B650" t="s">
        <v>155</v>
      </c>
      <c r="C650" t="s">
        <v>156</v>
      </c>
      <c r="D650" t="str">
        <f>HYPERLINK("http://service.sap.com/sap/support/notes/1451622","1451622")</f>
        <v>1451622</v>
      </c>
      <c r="E650">
        <v>1</v>
      </c>
      <c r="F650" t="s">
        <v>910</v>
      </c>
    </row>
    <row r="651" spans="1:6" x14ac:dyDescent="0.25">
      <c r="A651" t="s">
        <v>1403</v>
      </c>
      <c r="B651" t="s">
        <v>155</v>
      </c>
      <c r="C651" t="s">
        <v>156</v>
      </c>
      <c r="D651" t="str">
        <f>HYPERLINK("http://service.sap.com/sap/support/notes/1484418","1484418")</f>
        <v>1484418</v>
      </c>
      <c r="E651">
        <v>2</v>
      </c>
      <c r="F651" t="s">
        <v>911</v>
      </c>
    </row>
    <row r="652" spans="1:6" x14ac:dyDescent="0.25">
      <c r="A652" t="s">
        <v>1403</v>
      </c>
      <c r="B652" t="s">
        <v>155</v>
      </c>
      <c r="C652" t="s">
        <v>156</v>
      </c>
      <c r="D652" t="str">
        <f>HYPERLINK("http://service.sap.com/sap/support/notes/1486869","1486869")</f>
        <v>1486869</v>
      </c>
      <c r="E652">
        <v>1</v>
      </c>
      <c r="F652" t="s">
        <v>912</v>
      </c>
    </row>
    <row r="653" spans="1:6" x14ac:dyDescent="0.25">
      <c r="A653" t="s">
        <v>1403</v>
      </c>
      <c r="B653" t="s">
        <v>155</v>
      </c>
      <c r="C653" t="s">
        <v>156</v>
      </c>
      <c r="D653" t="str">
        <f>HYPERLINK("http://service.sap.com/sap/support/notes/1490266","1490266")</f>
        <v>1490266</v>
      </c>
      <c r="E653">
        <v>1</v>
      </c>
      <c r="F653" t="s">
        <v>913</v>
      </c>
    </row>
    <row r="654" spans="1:6" x14ac:dyDescent="0.25">
      <c r="A654" t="s">
        <v>1403</v>
      </c>
      <c r="B654" t="s">
        <v>155</v>
      </c>
      <c r="C654" t="s">
        <v>156</v>
      </c>
      <c r="D654" t="str">
        <f>HYPERLINK("http://service.sap.com/sap/support/notes/1493515","1493515")</f>
        <v>1493515</v>
      </c>
      <c r="E654">
        <v>1</v>
      </c>
      <c r="F654" t="s">
        <v>914</v>
      </c>
    </row>
    <row r="655" spans="1:6" x14ac:dyDescent="0.25">
      <c r="A655" t="s">
        <v>1403</v>
      </c>
      <c r="B655" t="s">
        <v>155</v>
      </c>
      <c r="C655" t="s">
        <v>156</v>
      </c>
      <c r="D655" t="str">
        <f>HYPERLINK("http://service.sap.com/sap/support/notes/1500622","1500622")</f>
        <v>1500622</v>
      </c>
      <c r="E655">
        <v>2</v>
      </c>
      <c r="F655" t="s">
        <v>915</v>
      </c>
    </row>
    <row r="656" spans="1:6" x14ac:dyDescent="0.25">
      <c r="A656" t="s">
        <v>1403</v>
      </c>
      <c r="B656" t="s">
        <v>155</v>
      </c>
      <c r="C656" t="s">
        <v>156</v>
      </c>
      <c r="D656" t="str">
        <f>HYPERLINK("http://service.sap.com/sap/support/notes/1503043","1503043")</f>
        <v>1503043</v>
      </c>
      <c r="E656">
        <v>2</v>
      </c>
      <c r="F656" t="s">
        <v>916</v>
      </c>
    </row>
    <row r="657" spans="1:6" x14ac:dyDescent="0.25">
      <c r="A657" t="s">
        <v>1403</v>
      </c>
      <c r="B657" t="s">
        <v>155</v>
      </c>
      <c r="C657" t="s">
        <v>156</v>
      </c>
      <c r="D657" t="str">
        <f>HYPERLINK("http://service.sap.com/sap/support/notes/1503799","1503799")</f>
        <v>1503799</v>
      </c>
      <c r="E657">
        <v>2</v>
      </c>
      <c r="F657" t="s">
        <v>917</v>
      </c>
    </row>
    <row r="658" spans="1:6" x14ac:dyDescent="0.25">
      <c r="A658" t="s">
        <v>1403</v>
      </c>
      <c r="B658" t="s">
        <v>155</v>
      </c>
      <c r="C658" t="s">
        <v>156</v>
      </c>
      <c r="D658" t="str">
        <f>HYPERLINK("http://service.sap.com/sap/support/notes/1512240","1512240")</f>
        <v>1512240</v>
      </c>
      <c r="E658">
        <v>1</v>
      </c>
      <c r="F658" t="s">
        <v>918</v>
      </c>
    </row>
    <row r="659" spans="1:6" x14ac:dyDescent="0.25">
      <c r="A659" t="s">
        <v>1403</v>
      </c>
      <c r="B659" t="s">
        <v>155</v>
      </c>
      <c r="C659" t="s">
        <v>156</v>
      </c>
      <c r="D659" t="str">
        <f>HYPERLINK("http://service.sap.com/sap/support/notes/1512391","1512391")</f>
        <v>1512391</v>
      </c>
      <c r="E659">
        <v>1</v>
      </c>
      <c r="F659" t="s">
        <v>919</v>
      </c>
    </row>
    <row r="660" spans="1:6" x14ac:dyDescent="0.25">
      <c r="A660" t="s">
        <v>1403</v>
      </c>
      <c r="B660" t="s">
        <v>155</v>
      </c>
      <c r="C660" t="s">
        <v>156</v>
      </c>
      <c r="D660" t="str">
        <f>HYPERLINK("http://service.sap.com/sap/support/notes/1512588","1512588")</f>
        <v>1512588</v>
      </c>
      <c r="E660">
        <v>1</v>
      </c>
      <c r="F660" t="s">
        <v>920</v>
      </c>
    </row>
    <row r="661" spans="1:6" x14ac:dyDescent="0.25">
      <c r="A661" t="s">
        <v>1403</v>
      </c>
      <c r="B661" t="s">
        <v>155</v>
      </c>
      <c r="C661" t="s">
        <v>156</v>
      </c>
      <c r="D661" t="str">
        <f>HYPERLINK("http://service.sap.com/sap/support/notes/1512722","1512722")</f>
        <v>1512722</v>
      </c>
      <c r="E661">
        <v>1</v>
      </c>
      <c r="F661" t="s">
        <v>921</v>
      </c>
    </row>
    <row r="662" spans="1:6" x14ac:dyDescent="0.25">
      <c r="A662" t="s">
        <v>1403</v>
      </c>
      <c r="B662" t="s">
        <v>155</v>
      </c>
      <c r="C662" t="s">
        <v>156</v>
      </c>
      <c r="D662" t="str">
        <f>HYPERLINK("http://service.sap.com/sap/support/notes/1515297","1515297")</f>
        <v>1515297</v>
      </c>
      <c r="E662">
        <v>2</v>
      </c>
      <c r="F662" t="s">
        <v>922</v>
      </c>
    </row>
    <row r="663" spans="1:6" x14ac:dyDescent="0.25">
      <c r="A663" t="s">
        <v>1403</v>
      </c>
      <c r="B663" t="s">
        <v>155</v>
      </c>
      <c r="C663" t="s">
        <v>156</v>
      </c>
      <c r="D663" t="str">
        <f>HYPERLINK("http://service.sap.com/sap/support/notes/1516153","1516153")</f>
        <v>1516153</v>
      </c>
      <c r="E663">
        <v>1</v>
      </c>
      <c r="F663" t="s">
        <v>923</v>
      </c>
    </row>
    <row r="664" spans="1:6" x14ac:dyDescent="0.25">
      <c r="A664" t="s">
        <v>1403</v>
      </c>
      <c r="B664" t="s">
        <v>155</v>
      </c>
      <c r="C664" t="s">
        <v>156</v>
      </c>
      <c r="D664" t="str">
        <f>HYPERLINK("http://service.sap.com/sap/support/notes/1522119","1522119")</f>
        <v>1522119</v>
      </c>
      <c r="E664">
        <v>1</v>
      </c>
      <c r="F664" t="s">
        <v>924</v>
      </c>
    </row>
    <row r="665" spans="1:6" x14ac:dyDescent="0.25">
      <c r="A665" t="s">
        <v>1403</v>
      </c>
      <c r="B665" t="s">
        <v>155</v>
      </c>
      <c r="C665" t="s">
        <v>156</v>
      </c>
      <c r="D665" t="str">
        <f>HYPERLINK("http://service.sap.com/sap/support/notes/1527713","1527713")</f>
        <v>1527713</v>
      </c>
      <c r="E665">
        <v>1</v>
      </c>
      <c r="F665" t="s">
        <v>925</v>
      </c>
    </row>
    <row r="666" spans="1:6" x14ac:dyDescent="0.25">
      <c r="A666" t="s">
        <v>1403</v>
      </c>
      <c r="B666" t="s">
        <v>155</v>
      </c>
      <c r="C666" t="s">
        <v>156</v>
      </c>
      <c r="D666" t="str">
        <f>HYPERLINK("http://service.sap.com/sap/support/notes/1529497","1529497")</f>
        <v>1529497</v>
      </c>
      <c r="E666">
        <v>1</v>
      </c>
      <c r="F666" t="s">
        <v>926</v>
      </c>
    </row>
    <row r="667" spans="1:6" x14ac:dyDescent="0.25">
      <c r="A667" t="s">
        <v>1403</v>
      </c>
      <c r="B667" t="s">
        <v>155</v>
      </c>
      <c r="C667" t="s">
        <v>156</v>
      </c>
      <c r="D667" t="str">
        <f>HYPERLINK("http://service.sap.com/sap/support/notes/1530992","1530992")</f>
        <v>1530992</v>
      </c>
      <c r="E667">
        <v>1</v>
      </c>
      <c r="F667" t="s">
        <v>927</v>
      </c>
    </row>
    <row r="668" spans="1:6" x14ac:dyDescent="0.25">
      <c r="A668" t="s">
        <v>1403</v>
      </c>
      <c r="B668" t="s">
        <v>155</v>
      </c>
      <c r="C668" t="s">
        <v>156</v>
      </c>
      <c r="D668" t="str">
        <f>HYPERLINK("http://service.sap.com/sap/support/notes/1531558","1531558")</f>
        <v>1531558</v>
      </c>
      <c r="E668">
        <v>1</v>
      </c>
      <c r="F668" t="s">
        <v>928</v>
      </c>
    </row>
    <row r="669" spans="1:6" x14ac:dyDescent="0.25">
      <c r="A669" t="s">
        <v>1403</v>
      </c>
      <c r="B669" t="s">
        <v>155</v>
      </c>
      <c r="C669" t="s">
        <v>156</v>
      </c>
      <c r="D669" t="str">
        <f>HYPERLINK("http://service.sap.com/sap/support/notes/1531982","1531982")</f>
        <v>1531982</v>
      </c>
      <c r="E669">
        <v>1</v>
      </c>
      <c r="F669" t="s">
        <v>929</v>
      </c>
    </row>
    <row r="670" spans="1:6" x14ac:dyDescent="0.25">
      <c r="A670" t="s">
        <v>1403</v>
      </c>
      <c r="B670" t="s">
        <v>155</v>
      </c>
      <c r="C670" t="s">
        <v>156</v>
      </c>
      <c r="D670" t="str">
        <f>HYPERLINK("http://service.sap.com/sap/support/notes/1532010","1532010")</f>
        <v>1532010</v>
      </c>
      <c r="E670">
        <v>1</v>
      </c>
      <c r="F670" t="s">
        <v>930</v>
      </c>
    </row>
    <row r="671" spans="1:6" x14ac:dyDescent="0.25">
      <c r="A671" t="s">
        <v>1403</v>
      </c>
      <c r="B671" t="s">
        <v>168</v>
      </c>
      <c r="C671" t="s">
        <v>931</v>
      </c>
      <c r="D671" t="str">
        <f>HYPERLINK("http://service.sap.com/sap/support/notes/1525084","1525084")</f>
        <v>1525084</v>
      </c>
      <c r="E671">
        <v>1</v>
      </c>
      <c r="F671" t="s">
        <v>932</v>
      </c>
    </row>
    <row r="672" spans="1:6" x14ac:dyDescent="0.25">
      <c r="A672" t="s">
        <v>1403</v>
      </c>
      <c r="B672" t="s">
        <v>171</v>
      </c>
      <c r="C672" t="s">
        <v>153</v>
      </c>
      <c r="D672" t="str">
        <f>HYPERLINK("http://service.sap.com/sap/support/notes/1493423","1493423")</f>
        <v>1493423</v>
      </c>
      <c r="E672">
        <v>7</v>
      </c>
      <c r="F672" t="s">
        <v>933</v>
      </c>
    </row>
    <row r="673" spans="1:6" x14ac:dyDescent="0.25">
      <c r="A673" t="s">
        <v>1403</v>
      </c>
      <c r="B673" t="s">
        <v>171</v>
      </c>
      <c r="C673" t="s">
        <v>153</v>
      </c>
      <c r="D673" t="str">
        <f>HYPERLINK("http://service.sap.com/sap/support/notes/1512343","1512343")</f>
        <v>1512343</v>
      </c>
      <c r="E673">
        <v>1</v>
      </c>
      <c r="F673" t="s">
        <v>934</v>
      </c>
    </row>
    <row r="674" spans="1:6" x14ac:dyDescent="0.25">
      <c r="A674" t="s">
        <v>1403</v>
      </c>
      <c r="B674" t="s">
        <v>171</v>
      </c>
      <c r="C674" t="s">
        <v>153</v>
      </c>
      <c r="D674" t="str">
        <f>HYPERLINK("http://service.sap.com/sap/support/notes/1524119","1524119")</f>
        <v>1524119</v>
      </c>
      <c r="E674">
        <v>1</v>
      </c>
      <c r="F674" t="s">
        <v>935</v>
      </c>
    </row>
    <row r="675" spans="1:6" x14ac:dyDescent="0.25">
      <c r="A675" t="s">
        <v>1403</v>
      </c>
      <c r="B675" t="s">
        <v>173</v>
      </c>
      <c r="C675" t="s">
        <v>45</v>
      </c>
      <c r="D675" t="str">
        <f>HYPERLINK("http://service.sap.com/sap/support/notes/1515348","1515348")</f>
        <v>1515348</v>
      </c>
      <c r="E675">
        <v>1</v>
      </c>
      <c r="F675" t="s">
        <v>936</v>
      </c>
    </row>
    <row r="676" spans="1:6" x14ac:dyDescent="0.25">
      <c r="A676" t="s">
        <v>1403</v>
      </c>
      <c r="B676" t="s">
        <v>173</v>
      </c>
      <c r="C676" t="s">
        <v>45</v>
      </c>
      <c r="D676" t="str">
        <f>HYPERLINK("http://service.sap.com/sap/support/notes/1518161","1518161")</f>
        <v>1518161</v>
      </c>
      <c r="E676">
        <v>2</v>
      </c>
      <c r="F676" t="s">
        <v>937</v>
      </c>
    </row>
    <row r="677" spans="1:6" x14ac:dyDescent="0.25">
      <c r="A677" t="s">
        <v>1403</v>
      </c>
      <c r="B677" t="s">
        <v>173</v>
      </c>
      <c r="C677" t="s">
        <v>45</v>
      </c>
      <c r="D677" t="str">
        <f>HYPERLINK("http://service.sap.com/sap/support/notes/1519233","1519233")</f>
        <v>1519233</v>
      </c>
      <c r="E677">
        <v>2</v>
      </c>
      <c r="F677" t="s">
        <v>938</v>
      </c>
    </row>
    <row r="678" spans="1:6" x14ac:dyDescent="0.25">
      <c r="A678" t="s">
        <v>1403</v>
      </c>
      <c r="B678" t="s">
        <v>173</v>
      </c>
      <c r="C678" t="s">
        <v>45</v>
      </c>
      <c r="D678" t="str">
        <f>HYPERLINK("http://service.sap.com/sap/support/notes/1520482","1520482")</f>
        <v>1520482</v>
      </c>
      <c r="E678">
        <v>9</v>
      </c>
      <c r="F678" t="s">
        <v>939</v>
      </c>
    </row>
    <row r="679" spans="1:6" x14ac:dyDescent="0.25">
      <c r="A679" t="s">
        <v>1403</v>
      </c>
      <c r="B679" t="s">
        <v>173</v>
      </c>
      <c r="C679" t="s">
        <v>45</v>
      </c>
      <c r="D679" t="str">
        <f>HYPERLINK("http://service.sap.com/sap/support/notes/1521966","1521966")</f>
        <v>1521966</v>
      </c>
      <c r="E679">
        <v>2</v>
      </c>
      <c r="F679" t="s">
        <v>940</v>
      </c>
    </row>
    <row r="680" spans="1:6" x14ac:dyDescent="0.25">
      <c r="A680" t="s">
        <v>1403</v>
      </c>
      <c r="B680" t="s">
        <v>173</v>
      </c>
      <c r="C680" t="s">
        <v>45</v>
      </c>
      <c r="D680" t="str">
        <f>HYPERLINK("http://service.sap.com/sap/support/notes/1523917","1523917")</f>
        <v>1523917</v>
      </c>
      <c r="E680">
        <v>3</v>
      </c>
      <c r="F680" t="s">
        <v>941</v>
      </c>
    </row>
    <row r="681" spans="1:6" x14ac:dyDescent="0.25">
      <c r="A681" t="s">
        <v>1403</v>
      </c>
      <c r="B681" t="s">
        <v>173</v>
      </c>
      <c r="C681" t="s">
        <v>45</v>
      </c>
      <c r="D681" t="str">
        <f>HYPERLINK("http://service.sap.com/sap/support/notes/1524479","1524479")</f>
        <v>1524479</v>
      </c>
      <c r="E681">
        <v>1</v>
      </c>
      <c r="F681" t="s">
        <v>942</v>
      </c>
    </row>
    <row r="682" spans="1:6" x14ac:dyDescent="0.25">
      <c r="A682" t="s">
        <v>1403</v>
      </c>
      <c r="B682" t="s">
        <v>173</v>
      </c>
      <c r="C682" t="s">
        <v>45</v>
      </c>
      <c r="D682" t="str">
        <f>HYPERLINK("http://service.sap.com/sap/support/notes/1524798","1524798")</f>
        <v>1524798</v>
      </c>
      <c r="E682">
        <v>1</v>
      </c>
      <c r="F682" t="s">
        <v>943</v>
      </c>
    </row>
    <row r="683" spans="1:6" x14ac:dyDescent="0.25">
      <c r="A683" t="s">
        <v>1403</v>
      </c>
      <c r="B683" t="s">
        <v>173</v>
      </c>
      <c r="C683" t="s">
        <v>45</v>
      </c>
      <c r="D683" t="str">
        <f>HYPERLINK("http://service.sap.com/sap/support/notes/1525564","1525564")</f>
        <v>1525564</v>
      </c>
      <c r="E683">
        <v>2</v>
      </c>
      <c r="F683" t="s">
        <v>944</v>
      </c>
    </row>
    <row r="684" spans="1:6" x14ac:dyDescent="0.25">
      <c r="A684" t="s">
        <v>1403</v>
      </c>
      <c r="B684" t="s">
        <v>173</v>
      </c>
      <c r="C684" t="s">
        <v>45</v>
      </c>
      <c r="D684" t="str">
        <f>HYPERLINK("http://service.sap.com/sap/support/notes/1525680","1525680")</f>
        <v>1525680</v>
      </c>
      <c r="E684">
        <v>1</v>
      </c>
      <c r="F684" t="s">
        <v>945</v>
      </c>
    </row>
    <row r="685" spans="1:6" x14ac:dyDescent="0.25">
      <c r="A685" t="s">
        <v>1403</v>
      </c>
      <c r="B685" t="s">
        <v>173</v>
      </c>
      <c r="C685" t="s">
        <v>45</v>
      </c>
      <c r="D685" t="str">
        <f>HYPERLINK("http://service.sap.com/sap/support/notes/1526373","1526373")</f>
        <v>1526373</v>
      </c>
      <c r="E685">
        <v>3</v>
      </c>
      <c r="F685" t="s">
        <v>946</v>
      </c>
    </row>
    <row r="686" spans="1:6" x14ac:dyDescent="0.25">
      <c r="A686" t="s">
        <v>1403</v>
      </c>
      <c r="B686" t="s">
        <v>173</v>
      </c>
      <c r="C686" t="s">
        <v>45</v>
      </c>
      <c r="D686" t="str">
        <f>HYPERLINK("http://service.sap.com/sap/support/notes/1526423","1526423")</f>
        <v>1526423</v>
      </c>
      <c r="E686">
        <v>1</v>
      </c>
      <c r="F686" t="s">
        <v>947</v>
      </c>
    </row>
    <row r="687" spans="1:6" x14ac:dyDescent="0.25">
      <c r="A687" t="s">
        <v>1403</v>
      </c>
      <c r="B687" t="s">
        <v>173</v>
      </c>
      <c r="C687" t="s">
        <v>45</v>
      </c>
      <c r="D687" t="str">
        <f>HYPERLINK("http://service.sap.com/sap/support/notes/1526954","1526954")</f>
        <v>1526954</v>
      </c>
      <c r="E687">
        <v>3</v>
      </c>
      <c r="F687" t="s">
        <v>948</v>
      </c>
    </row>
    <row r="688" spans="1:6" x14ac:dyDescent="0.25">
      <c r="A688" t="s">
        <v>1403</v>
      </c>
      <c r="B688" t="s">
        <v>173</v>
      </c>
      <c r="C688" t="s">
        <v>45</v>
      </c>
      <c r="D688" t="str">
        <f>HYPERLINK("http://service.sap.com/sap/support/notes/1528623","1528623")</f>
        <v>1528623</v>
      </c>
      <c r="E688">
        <v>1</v>
      </c>
      <c r="F688" t="s">
        <v>949</v>
      </c>
    </row>
    <row r="689" spans="1:6" x14ac:dyDescent="0.25">
      <c r="A689" t="s">
        <v>1403</v>
      </c>
      <c r="B689" t="s">
        <v>173</v>
      </c>
      <c r="C689" t="s">
        <v>45</v>
      </c>
      <c r="D689" t="str">
        <f>HYPERLINK("http://service.sap.com/sap/support/notes/1529543","1529543")</f>
        <v>1529543</v>
      </c>
      <c r="E689">
        <v>3</v>
      </c>
      <c r="F689" t="s">
        <v>950</v>
      </c>
    </row>
    <row r="690" spans="1:6" x14ac:dyDescent="0.25">
      <c r="A690" t="s">
        <v>1403</v>
      </c>
      <c r="B690" t="s">
        <v>173</v>
      </c>
      <c r="C690" t="s">
        <v>45</v>
      </c>
      <c r="D690" t="str">
        <f>HYPERLINK("http://service.sap.com/sap/support/notes/1529745","1529745")</f>
        <v>1529745</v>
      </c>
      <c r="E690">
        <v>1</v>
      </c>
      <c r="F690" t="s">
        <v>951</v>
      </c>
    </row>
    <row r="691" spans="1:6" x14ac:dyDescent="0.25">
      <c r="A691" t="s">
        <v>1403</v>
      </c>
      <c r="B691" t="s">
        <v>173</v>
      </c>
      <c r="C691" t="s">
        <v>45</v>
      </c>
      <c r="D691" t="str">
        <f>HYPERLINK("http://service.sap.com/sap/support/notes/1530930","1530930")</f>
        <v>1530930</v>
      </c>
      <c r="E691">
        <v>1</v>
      </c>
      <c r="F691" t="s">
        <v>952</v>
      </c>
    </row>
    <row r="692" spans="1:6" x14ac:dyDescent="0.25">
      <c r="A692" t="s">
        <v>1403</v>
      </c>
      <c r="B692" t="s">
        <v>191</v>
      </c>
      <c r="C692" t="s">
        <v>192</v>
      </c>
      <c r="D692" t="str">
        <f>HYPERLINK("http://service.sap.com/sap/support/notes/1060819","1060819")</f>
        <v>1060819</v>
      </c>
      <c r="E692">
        <v>1</v>
      </c>
      <c r="F692" t="s">
        <v>193</v>
      </c>
    </row>
    <row r="693" spans="1:6" x14ac:dyDescent="0.25">
      <c r="A693" t="s">
        <v>1403</v>
      </c>
      <c r="B693" t="s">
        <v>191</v>
      </c>
      <c r="C693" t="s">
        <v>192</v>
      </c>
      <c r="D693" t="str">
        <f>HYPERLINK("http://service.sap.com/sap/support/notes/1256775","1256775")</f>
        <v>1256775</v>
      </c>
      <c r="E693">
        <v>6</v>
      </c>
      <c r="F693" t="s">
        <v>953</v>
      </c>
    </row>
    <row r="694" spans="1:6" x14ac:dyDescent="0.25">
      <c r="A694" t="s">
        <v>1403</v>
      </c>
      <c r="B694" t="s">
        <v>191</v>
      </c>
      <c r="C694" t="s">
        <v>192</v>
      </c>
      <c r="D694" t="str">
        <f>HYPERLINK("http://service.sap.com/sap/support/notes/1504094","1504094")</f>
        <v>1504094</v>
      </c>
      <c r="E694">
        <v>6</v>
      </c>
      <c r="F694" t="s">
        <v>954</v>
      </c>
    </row>
    <row r="695" spans="1:6" x14ac:dyDescent="0.25">
      <c r="A695" t="s">
        <v>1403</v>
      </c>
      <c r="B695" t="s">
        <v>191</v>
      </c>
      <c r="C695" t="s">
        <v>192</v>
      </c>
      <c r="D695" t="str">
        <f>HYPERLINK("http://service.sap.com/sap/support/notes/1507015","1507015")</f>
        <v>1507015</v>
      </c>
      <c r="E695">
        <v>2</v>
      </c>
      <c r="F695" t="s">
        <v>955</v>
      </c>
    </row>
    <row r="696" spans="1:6" x14ac:dyDescent="0.25">
      <c r="A696" t="s">
        <v>1403</v>
      </c>
      <c r="B696" t="s">
        <v>191</v>
      </c>
      <c r="C696" t="s">
        <v>192</v>
      </c>
      <c r="D696" t="str">
        <f>HYPERLINK("http://service.sap.com/sap/support/notes/1518608","1518608")</f>
        <v>1518608</v>
      </c>
      <c r="E696">
        <v>2</v>
      </c>
      <c r="F696" t="s">
        <v>956</v>
      </c>
    </row>
    <row r="697" spans="1:6" x14ac:dyDescent="0.25">
      <c r="A697" t="s">
        <v>1403</v>
      </c>
      <c r="B697" t="s">
        <v>191</v>
      </c>
      <c r="C697" t="s">
        <v>192</v>
      </c>
      <c r="D697" t="str">
        <f>HYPERLINK("http://service.sap.com/sap/support/notes/1522010","1522010")</f>
        <v>1522010</v>
      </c>
      <c r="E697">
        <v>2</v>
      </c>
      <c r="F697" t="s">
        <v>957</v>
      </c>
    </row>
    <row r="698" spans="1:6" x14ac:dyDescent="0.25">
      <c r="A698" t="s">
        <v>1403</v>
      </c>
      <c r="B698" t="s">
        <v>191</v>
      </c>
      <c r="C698" t="s">
        <v>192</v>
      </c>
      <c r="D698" t="str">
        <f>HYPERLINK("http://service.sap.com/sap/support/notes/1523513","1523513")</f>
        <v>1523513</v>
      </c>
      <c r="E698">
        <v>2</v>
      </c>
      <c r="F698" t="s">
        <v>958</v>
      </c>
    </row>
    <row r="699" spans="1:6" x14ac:dyDescent="0.25">
      <c r="A699" t="s">
        <v>1403</v>
      </c>
      <c r="B699" t="s">
        <v>191</v>
      </c>
      <c r="C699" t="s">
        <v>192</v>
      </c>
      <c r="D699" t="str">
        <f>HYPERLINK("http://service.sap.com/sap/support/notes/1528076","1528076")</f>
        <v>1528076</v>
      </c>
      <c r="E699">
        <v>1</v>
      </c>
      <c r="F699" t="s">
        <v>959</v>
      </c>
    </row>
    <row r="700" spans="1:6" x14ac:dyDescent="0.25">
      <c r="A700" t="s">
        <v>1403</v>
      </c>
      <c r="B700" t="s">
        <v>191</v>
      </c>
      <c r="C700" t="s">
        <v>192</v>
      </c>
      <c r="D700" t="str">
        <f>HYPERLINK("http://service.sap.com/sap/support/notes/1546300","1546300")</f>
        <v>1546300</v>
      </c>
      <c r="F700" t="s">
        <v>960</v>
      </c>
    </row>
    <row r="701" spans="1:6" x14ac:dyDescent="0.25">
      <c r="A701" t="s">
        <v>1403</v>
      </c>
      <c r="B701" t="s">
        <v>201</v>
      </c>
      <c r="C701" t="s">
        <v>202</v>
      </c>
      <c r="D701" t="str">
        <f>HYPERLINK("http://service.sap.com/sap/support/notes/1524166","1524166")</f>
        <v>1524166</v>
      </c>
      <c r="E701">
        <v>1</v>
      </c>
      <c r="F701" t="s">
        <v>961</v>
      </c>
    </row>
    <row r="702" spans="1:6" x14ac:dyDescent="0.25">
      <c r="A702" t="s">
        <v>1403</v>
      </c>
      <c r="B702" t="s">
        <v>201</v>
      </c>
      <c r="C702" t="s">
        <v>202</v>
      </c>
      <c r="D702" t="str">
        <f>HYPERLINK("http://service.sap.com/sap/support/notes/1526284","1526284")</f>
        <v>1526284</v>
      </c>
      <c r="E702">
        <v>2</v>
      </c>
      <c r="F702" t="s">
        <v>962</v>
      </c>
    </row>
    <row r="703" spans="1:6" x14ac:dyDescent="0.25">
      <c r="A703" t="s">
        <v>1403</v>
      </c>
      <c r="B703" t="s">
        <v>201</v>
      </c>
      <c r="C703" t="s">
        <v>202</v>
      </c>
      <c r="D703" t="str">
        <f>HYPERLINK("http://service.sap.com/sap/support/notes/1526731","1526731")</f>
        <v>1526731</v>
      </c>
      <c r="E703">
        <v>1</v>
      </c>
      <c r="F703" t="s">
        <v>963</v>
      </c>
    </row>
    <row r="704" spans="1:6" x14ac:dyDescent="0.25">
      <c r="A704" t="s">
        <v>1403</v>
      </c>
      <c r="B704" t="s">
        <v>964</v>
      </c>
      <c r="C704" t="s">
        <v>299</v>
      </c>
      <c r="D704" t="str">
        <f>HYPERLINK("http://service.sap.com/sap/support/notes/1526727","1526727")</f>
        <v>1526727</v>
      </c>
      <c r="E704">
        <v>1</v>
      </c>
      <c r="F704" t="s">
        <v>965</v>
      </c>
    </row>
    <row r="705" spans="1:6" x14ac:dyDescent="0.25">
      <c r="A705" t="s">
        <v>1403</v>
      </c>
      <c r="B705" t="s">
        <v>966</v>
      </c>
      <c r="C705" t="s">
        <v>967</v>
      </c>
      <c r="D705" t="str">
        <f>HYPERLINK("http://service.sap.com/sap/support/notes/1514625","1514625")</f>
        <v>1514625</v>
      </c>
      <c r="E705">
        <v>2</v>
      </c>
      <c r="F705" t="s">
        <v>968</v>
      </c>
    </row>
    <row r="706" spans="1:6" x14ac:dyDescent="0.25">
      <c r="A706" t="s">
        <v>1403</v>
      </c>
      <c r="B706" t="s">
        <v>966</v>
      </c>
      <c r="C706" t="s">
        <v>967</v>
      </c>
      <c r="D706" t="str">
        <f>HYPERLINK("http://service.sap.com/sap/support/notes/1522285","1522285")</f>
        <v>1522285</v>
      </c>
      <c r="E706">
        <v>2</v>
      </c>
      <c r="F706" t="s">
        <v>969</v>
      </c>
    </row>
    <row r="707" spans="1:6" x14ac:dyDescent="0.25">
      <c r="A707" t="s">
        <v>1403</v>
      </c>
      <c r="B707" t="s">
        <v>207</v>
      </c>
      <c r="C707" t="s">
        <v>208</v>
      </c>
      <c r="D707" t="str">
        <f>HYPERLINK("http://service.sap.com/sap/support/notes/1476830","1476830")</f>
        <v>1476830</v>
      </c>
      <c r="E707">
        <v>3</v>
      </c>
      <c r="F707" t="s">
        <v>970</v>
      </c>
    </row>
    <row r="708" spans="1:6" x14ac:dyDescent="0.25">
      <c r="A708" t="s">
        <v>1403</v>
      </c>
      <c r="B708" t="s">
        <v>207</v>
      </c>
      <c r="C708" t="s">
        <v>208</v>
      </c>
      <c r="D708" t="str">
        <f>HYPERLINK("http://service.sap.com/sap/support/notes/1513965","1513965")</f>
        <v>1513965</v>
      </c>
      <c r="E708">
        <v>3</v>
      </c>
      <c r="F708" t="s">
        <v>971</v>
      </c>
    </row>
    <row r="709" spans="1:6" x14ac:dyDescent="0.25">
      <c r="A709" t="s">
        <v>1403</v>
      </c>
      <c r="B709" t="s">
        <v>207</v>
      </c>
      <c r="C709" t="s">
        <v>208</v>
      </c>
      <c r="D709" t="str">
        <f>HYPERLINK("http://service.sap.com/sap/support/notes/1521042","1521042")</f>
        <v>1521042</v>
      </c>
      <c r="E709">
        <v>2</v>
      </c>
      <c r="F709" t="s">
        <v>972</v>
      </c>
    </row>
    <row r="710" spans="1:6" x14ac:dyDescent="0.25">
      <c r="A710" t="s">
        <v>1403</v>
      </c>
      <c r="B710" t="s">
        <v>207</v>
      </c>
      <c r="C710" t="s">
        <v>208</v>
      </c>
      <c r="D710" t="str">
        <f>HYPERLINK("http://service.sap.com/sap/support/notes/1521290","1521290")</f>
        <v>1521290</v>
      </c>
      <c r="E710">
        <v>1</v>
      </c>
      <c r="F710" t="s">
        <v>973</v>
      </c>
    </row>
    <row r="711" spans="1:6" x14ac:dyDescent="0.25">
      <c r="A711" t="s">
        <v>1403</v>
      </c>
      <c r="B711" t="s">
        <v>207</v>
      </c>
      <c r="C711" t="s">
        <v>208</v>
      </c>
      <c r="D711" t="str">
        <f>HYPERLINK("http://service.sap.com/sap/support/notes/1525110","1525110")</f>
        <v>1525110</v>
      </c>
      <c r="E711">
        <v>1</v>
      </c>
      <c r="F711" t="s">
        <v>212</v>
      </c>
    </row>
    <row r="712" spans="1:6" x14ac:dyDescent="0.25">
      <c r="A712" t="s">
        <v>1403</v>
      </c>
      <c r="B712" t="s">
        <v>207</v>
      </c>
      <c r="C712" t="s">
        <v>208</v>
      </c>
      <c r="D712" t="str">
        <f>HYPERLINK("http://service.sap.com/sap/support/notes/1525831","1525831")</f>
        <v>1525831</v>
      </c>
      <c r="E712">
        <v>3</v>
      </c>
      <c r="F712" t="s">
        <v>974</v>
      </c>
    </row>
    <row r="713" spans="1:6" x14ac:dyDescent="0.25">
      <c r="A713" t="s">
        <v>1403</v>
      </c>
      <c r="B713" t="s">
        <v>207</v>
      </c>
      <c r="C713" t="s">
        <v>208</v>
      </c>
      <c r="D713" t="str">
        <f>HYPERLINK("http://service.sap.com/sap/support/notes/1526075","1526075")</f>
        <v>1526075</v>
      </c>
      <c r="E713">
        <v>1</v>
      </c>
      <c r="F713" t="s">
        <v>975</v>
      </c>
    </row>
    <row r="714" spans="1:6" x14ac:dyDescent="0.25">
      <c r="A714" t="s">
        <v>1403</v>
      </c>
      <c r="B714" t="s">
        <v>207</v>
      </c>
      <c r="C714" t="s">
        <v>208</v>
      </c>
      <c r="D714" t="str">
        <f>HYPERLINK("http://service.sap.com/sap/support/notes/1529356","1529356")</f>
        <v>1529356</v>
      </c>
      <c r="E714">
        <v>1</v>
      </c>
      <c r="F714" t="s">
        <v>976</v>
      </c>
    </row>
    <row r="715" spans="1:6" x14ac:dyDescent="0.25">
      <c r="A715" t="s">
        <v>1403</v>
      </c>
      <c r="B715" t="s">
        <v>207</v>
      </c>
      <c r="C715" t="s">
        <v>208</v>
      </c>
      <c r="D715" t="str">
        <f>HYPERLINK("http://service.sap.com/sap/support/notes/1530627","1530627")</f>
        <v>1530627</v>
      </c>
      <c r="E715">
        <v>1</v>
      </c>
      <c r="F715" t="s">
        <v>977</v>
      </c>
    </row>
    <row r="716" spans="1:6" x14ac:dyDescent="0.25">
      <c r="A716" t="s">
        <v>1403</v>
      </c>
      <c r="B716" t="s">
        <v>213</v>
      </c>
      <c r="C716" t="s">
        <v>214</v>
      </c>
      <c r="D716" t="str">
        <f>HYPERLINK("http://service.sap.com/sap/support/notes/1434814","1434814")</f>
        <v>1434814</v>
      </c>
      <c r="E716">
        <v>2</v>
      </c>
      <c r="F716" t="s">
        <v>978</v>
      </c>
    </row>
    <row r="717" spans="1:6" x14ac:dyDescent="0.25">
      <c r="A717" t="s">
        <v>1403</v>
      </c>
      <c r="B717" t="s">
        <v>213</v>
      </c>
      <c r="C717" t="s">
        <v>214</v>
      </c>
      <c r="D717" t="str">
        <f>HYPERLINK("http://service.sap.com/sap/support/notes/1485608","1485608")</f>
        <v>1485608</v>
      </c>
      <c r="E717">
        <v>1</v>
      </c>
      <c r="F717" t="s">
        <v>979</v>
      </c>
    </row>
    <row r="718" spans="1:6" x14ac:dyDescent="0.25">
      <c r="A718" t="s">
        <v>1403</v>
      </c>
      <c r="B718" t="s">
        <v>213</v>
      </c>
      <c r="C718" t="s">
        <v>214</v>
      </c>
      <c r="D718" t="str">
        <f>HYPERLINK("http://service.sap.com/sap/support/notes/1511548","1511548")</f>
        <v>1511548</v>
      </c>
      <c r="E718">
        <v>2</v>
      </c>
      <c r="F718" t="s">
        <v>980</v>
      </c>
    </row>
    <row r="719" spans="1:6" x14ac:dyDescent="0.25">
      <c r="A719" t="s">
        <v>1403</v>
      </c>
      <c r="B719" t="s">
        <v>213</v>
      </c>
      <c r="C719" t="s">
        <v>214</v>
      </c>
      <c r="D719" t="str">
        <f>HYPERLINK("http://service.sap.com/sap/support/notes/1512548","1512548")</f>
        <v>1512548</v>
      </c>
      <c r="E719">
        <v>1</v>
      </c>
      <c r="F719" t="s">
        <v>981</v>
      </c>
    </row>
    <row r="720" spans="1:6" x14ac:dyDescent="0.25">
      <c r="A720" t="s">
        <v>1403</v>
      </c>
      <c r="B720" t="s">
        <v>213</v>
      </c>
      <c r="C720" t="s">
        <v>214</v>
      </c>
      <c r="D720" t="str">
        <f>HYPERLINK("http://service.sap.com/sap/support/notes/1515573","1515573")</f>
        <v>1515573</v>
      </c>
      <c r="E720">
        <v>3</v>
      </c>
      <c r="F720" t="s">
        <v>982</v>
      </c>
    </row>
    <row r="721" spans="1:6" x14ac:dyDescent="0.25">
      <c r="A721" t="s">
        <v>1403</v>
      </c>
      <c r="B721" t="s">
        <v>213</v>
      </c>
      <c r="C721" t="s">
        <v>214</v>
      </c>
      <c r="D721" t="str">
        <f>HYPERLINK("http://service.sap.com/sap/support/notes/1515685","1515685")</f>
        <v>1515685</v>
      </c>
      <c r="E721">
        <v>2</v>
      </c>
      <c r="F721" t="s">
        <v>983</v>
      </c>
    </row>
    <row r="722" spans="1:6" x14ac:dyDescent="0.25">
      <c r="A722" t="s">
        <v>1403</v>
      </c>
      <c r="B722" t="s">
        <v>213</v>
      </c>
      <c r="C722" t="s">
        <v>214</v>
      </c>
      <c r="D722" t="str">
        <f>HYPERLINK("http://service.sap.com/sap/support/notes/1523486","1523486")</f>
        <v>1523486</v>
      </c>
      <c r="E722">
        <v>2</v>
      </c>
      <c r="F722" t="s">
        <v>984</v>
      </c>
    </row>
    <row r="723" spans="1:6" x14ac:dyDescent="0.25">
      <c r="A723" t="s">
        <v>1403</v>
      </c>
      <c r="B723" t="s">
        <v>223</v>
      </c>
      <c r="C723" t="s">
        <v>49</v>
      </c>
      <c r="D723" t="str">
        <f>HYPERLINK("http://service.sap.com/sap/support/notes/1521764","1521764")</f>
        <v>1521764</v>
      </c>
      <c r="E723">
        <v>1</v>
      </c>
      <c r="F723" t="s">
        <v>985</v>
      </c>
    </row>
    <row r="724" spans="1:6" x14ac:dyDescent="0.25">
      <c r="A724" t="s">
        <v>1403</v>
      </c>
      <c r="B724" t="s">
        <v>223</v>
      </c>
      <c r="C724" t="s">
        <v>49</v>
      </c>
      <c r="D724" t="str">
        <f>HYPERLINK("http://service.sap.com/sap/support/notes/1522180","1522180")</f>
        <v>1522180</v>
      </c>
      <c r="E724">
        <v>1</v>
      </c>
      <c r="F724" t="s">
        <v>986</v>
      </c>
    </row>
    <row r="725" spans="1:6" x14ac:dyDescent="0.25">
      <c r="A725" t="s">
        <v>1403</v>
      </c>
      <c r="B725" t="s">
        <v>223</v>
      </c>
      <c r="C725" t="s">
        <v>49</v>
      </c>
      <c r="D725" t="str">
        <f>HYPERLINK("http://service.sap.com/sap/support/notes/1531077","1531077")</f>
        <v>1531077</v>
      </c>
      <c r="E725">
        <v>1</v>
      </c>
      <c r="F725" t="s">
        <v>987</v>
      </c>
    </row>
    <row r="726" spans="1:6" x14ac:dyDescent="0.25">
      <c r="A726" t="s">
        <v>1403</v>
      </c>
      <c r="B726" t="s">
        <v>226</v>
      </c>
      <c r="C726" t="s">
        <v>52</v>
      </c>
      <c r="D726" t="str">
        <f>HYPERLINK("http://service.sap.com/sap/support/notes/1514925","1514925")</f>
        <v>1514925</v>
      </c>
      <c r="E726">
        <v>2</v>
      </c>
      <c r="F726" t="s">
        <v>988</v>
      </c>
    </row>
    <row r="727" spans="1:6" x14ac:dyDescent="0.25">
      <c r="A727" t="s">
        <v>1403</v>
      </c>
      <c r="B727" t="s">
        <v>226</v>
      </c>
      <c r="C727" t="s">
        <v>52</v>
      </c>
      <c r="D727" t="str">
        <f>HYPERLINK("http://service.sap.com/sap/support/notes/1530254","1530254")</f>
        <v>1530254</v>
      </c>
      <c r="E727">
        <v>2</v>
      </c>
      <c r="F727" t="s">
        <v>989</v>
      </c>
    </row>
    <row r="728" spans="1:6" x14ac:dyDescent="0.25">
      <c r="A728" t="s">
        <v>1403</v>
      </c>
      <c r="B728" t="s">
        <v>227</v>
      </c>
      <c r="C728" t="s">
        <v>990</v>
      </c>
      <c r="D728" t="str">
        <f>HYPERLINK("http://service.sap.com/sap/support/notes/1505058","1505058")</f>
        <v>1505058</v>
      </c>
      <c r="E728">
        <v>1</v>
      </c>
      <c r="F728" t="s">
        <v>991</v>
      </c>
    </row>
    <row r="729" spans="1:6" x14ac:dyDescent="0.25">
      <c r="A729" t="s">
        <v>1403</v>
      </c>
      <c r="B729" t="s">
        <v>227</v>
      </c>
      <c r="C729" t="s">
        <v>990</v>
      </c>
      <c r="D729" t="str">
        <f>HYPERLINK("http://service.sap.com/sap/support/notes/1521334","1521334")</f>
        <v>1521334</v>
      </c>
      <c r="E729">
        <v>1</v>
      </c>
      <c r="F729" t="s">
        <v>992</v>
      </c>
    </row>
    <row r="730" spans="1:6" x14ac:dyDescent="0.25">
      <c r="A730" t="s">
        <v>1403</v>
      </c>
      <c r="B730" t="s">
        <v>227</v>
      </c>
      <c r="C730" t="s">
        <v>990</v>
      </c>
      <c r="D730" t="str">
        <f>HYPERLINK("http://service.sap.com/sap/support/notes/1522895","1522895")</f>
        <v>1522895</v>
      </c>
      <c r="E730">
        <v>1</v>
      </c>
      <c r="F730" t="s">
        <v>993</v>
      </c>
    </row>
    <row r="731" spans="1:6" x14ac:dyDescent="0.25">
      <c r="A731" t="s">
        <v>1403</v>
      </c>
      <c r="B731" t="s">
        <v>227</v>
      </c>
      <c r="C731" t="s">
        <v>990</v>
      </c>
      <c r="D731" t="str">
        <f>HYPERLINK("http://service.sap.com/sap/support/notes/1523185","1523185")</f>
        <v>1523185</v>
      </c>
      <c r="E731">
        <v>5</v>
      </c>
      <c r="F731" t="s">
        <v>994</v>
      </c>
    </row>
    <row r="732" spans="1:6" x14ac:dyDescent="0.25">
      <c r="A732" t="s">
        <v>1403</v>
      </c>
      <c r="B732" t="s">
        <v>227</v>
      </c>
      <c r="C732" t="s">
        <v>990</v>
      </c>
      <c r="D732" t="str">
        <f>HYPERLINK("http://service.sap.com/sap/support/notes/1524177","1524177")</f>
        <v>1524177</v>
      </c>
      <c r="E732">
        <v>2</v>
      </c>
      <c r="F732" t="s">
        <v>995</v>
      </c>
    </row>
    <row r="733" spans="1:6" x14ac:dyDescent="0.25">
      <c r="A733" t="s">
        <v>1403</v>
      </c>
      <c r="B733" t="s">
        <v>227</v>
      </c>
      <c r="C733" t="s">
        <v>990</v>
      </c>
      <c r="D733" t="str">
        <f>HYPERLINK("http://service.sap.com/sap/support/notes/1525406","1525406")</f>
        <v>1525406</v>
      </c>
      <c r="E733">
        <v>1</v>
      </c>
      <c r="F733" t="s">
        <v>996</v>
      </c>
    </row>
    <row r="734" spans="1:6" x14ac:dyDescent="0.25">
      <c r="A734" t="s">
        <v>1403</v>
      </c>
      <c r="B734" t="s">
        <v>227</v>
      </c>
      <c r="C734" t="s">
        <v>990</v>
      </c>
      <c r="D734" t="str">
        <f>HYPERLINK("http://service.sap.com/sap/support/notes/1526720","1526720")</f>
        <v>1526720</v>
      </c>
      <c r="E734">
        <v>1</v>
      </c>
      <c r="F734" t="s">
        <v>997</v>
      </c>
    </row>
    <row r="735" spans="1:6" x14ac:dyDescent="0.25">
      <c r="A735" t="s">
        <v>1403</v>
      </c>
      <c r="B735" t="s">
        <v>227</v>
      </c>
      <c r="C735" t="s">
        <v>990</v>
      </c>
      <c r="D735" t="str">
        <f>HYPERLINK("http://service.sap.com/sap/support/notes/1528558","1528558")</f>
        <v>1528558</v>
      </c>
      <c r="E735">
        <v>1</v>
      </c>
      <c r="F735" t="s">
        <v>998</v>
      </c>
    </row>
    <row r="736" spans="1:6" x14ac:dyDescent="0.25">
      <c r="A736" t="s">
        <v>1403</v>
      </c>
      <c r="B736" t="s">
        <v>227</v>
      </c>
      <c r="C736" t="s">
        <v>990</v>
      </c>
      <c r="D736" t="str">
        <f>HYPERLINK("http://service.sap.com/sap/support/notes/1528670","1528670")</f>
        <v>1528670</v>
      </c>
      <c r="E736">
        <v>2</v>
      </c>
      <c r="F736" t="s">
        <v>999</v>
      </c>
    </row>
    <row r="737" spans="1:6" x14ac:dyDescent="0.25">
      <c r="A737" t="s">
        <v>1403</v>
      </c>
      <c r="B737" t="s">
        <v>227</v>
      </c>
      <c r="C737" t="s">
        <v>990</v>
      </c>
      <c r="D737" t="str">
        <f>HYPERLINK("http://service.sap.com/sap/support/notes/1529140","1529140")</f>
        <v>1529140</v>
      </c>
      <c r="E737">
        <v>1</v>
      </c>
      <c r="F737" t="s">
        <v>997</v>
      </c>
    </row>
    <row r="738" spans="1:6" x14ac:dyDescent="0.25">
      <c r="A738" t="s">
        <v>1403</v>
      </c>
      <c r="B738" t="s">
        <v>235</v>
      </c>
    </row>
    <row r="739" spans="1:6" x14ac:dyDescent="0.25">
      <c r="A739" t="s">
        <v>1403</v>
      </c>
      <c r="B739" t="s">
        <v>237</v>
      </c>
      <c r="C739" t="s">
        <v>238</v>
      </c>
      <c r="D739" t="str">
        <f>HYPERLINK("http://service.sap.com/sap/support/notes/1511082","1511082")</f>
        <v>1511082</v>
      </c>
      <c r="E739">
        <v>3</v>
      </c>
      <c r="F739" t="s">
        <v>1000</v>
      </c>
    </row>
    <row r="740" spans="1:6" x14ac:dyDescent="0.25">
      <c r="A740" t="s">
        <v>1403</v>
      </c>
      <c r="B740" t="s">
        <v>237</v>
      </c>
      <c r="C740" t="s">
        <v>238</v>
      </c>
      <c r="D740" t="str">
        <f>HYPERLINK("http://service.sap.com/sap/support/notes/1517041","1517041")</f>
        <v>1517041</v>
      </c>
      <c r="E740">
        <v>2</v>
      </c>
      <c r="F740" t="s">
        <v>1001</v>
      </c>
    </row>
    <row r="741" spans="1:6" x14ac:dyDescent="0.25">
      <c r="A741" t="s">
        <v>1403</v>
      </c>
      <c r="B741" t="s">
        <v>237</v>
      </c>
      <c r="C741" t="s">
        <v>238</v>
      </c>
      <c r="D741" t="str">
        <f>HYPERLINK("http://service.sap.com/sap/support/notes/1523975","1523975")</f>
        <v>1523975</v>
      </c>
      <c r="E741">
        <v>1</v>
      </c>
      <c r="F741" t="s">
        <v>1002</v>
      </c>
    </row>
    <row r="742" spans="1:6" x14ac:dyDescent="0.25">
      <c r="A742" t="s">
        <v>1403</v>
      </c>
      <c r="B742" t="s">
        <v>237</v>
      </c>
      <c r="C742" t="s">
        <v>238</v>
      </c>
      <c r="D742" t="str">
        <f>HYPERLINK("http://service.sap.com/sap/support/notes/1527087","1527087")</f>
        <v>1527087</v>
      </c>
      <c r="E742">
        <v>1</v>
      </c>
      <c r="F742" t="s">
        <v>1003</v>
      </c>
    </row>
    <row r="743" spans="1:6" x14ac:dyDescent="0.25">
      <c r="A743" t="s">
        <v>1403</v>
      </c>
      <c r="B743" t="s">
        <v>242</v>
      </c>
      <c r="C743" t="s">
        <v>243</v>
      </c>
      <c r="D743" t="str">
        <f>HYPERLINK("http://service.sap.com/sap/support/notes/1504533","1504533")</f>
        <v>1504533</v>
      </c>
      <c r="E743">
        <v>2</v>
      </c>
      <c r="F743" t="s">
        <v>1004</v>
      </c>
    </row>
    <row r="744" spans="1:6" x14ac:dyDescent="0.25">
      <c r="A744" t="s">
        <v>1403</v>
      </c>
      <c r="B744" t="s">
        <v>242</v>
      </c>
      <c r="C744" t="s">
        <v>243</v>
      </c>
      <c r="D744" t="str">
        <f>HYPERLINK("http://service.sap.com/sap/support/notes/1512436","1512436")</f>
        <v>1512436</v>
      </c>
      <c r="E744">
        <v>2</v>
      </c>
      <c r="F744" t="s">
        <v>1005</v>
      </c>
    </row>
    <row r="745" spans="1:6" x14ac:dyDescent="0.25">
      <c r="A745" t="s">
        <v>1403</v>
      </c>
      <c r="B745" t="s">
        <v>246</v>
      </c>
      <c r="C745" t="s">
        <v>1006</v>
      </c>
      <c r="D745" t="str">
        <f>HYPERLINK("http://service.sap.com/sap/support/notes/1527444","1527444")</f>
        <v>1527444</v>
      </c>
      <c r="E745">
        <v>4</v>
      </c>
      <c r="F745" t="s">
        <v>1007</v>
      </c>
    </row>
    <row r="746" spans="1:6" x14ac:dyDescent="0.25">
      <c r="A746" t="s">
        <v>1403</v>
      </c>
      <c r="B746" t="s">
        <v>246</v>
      </c>
      <c r="C746" t="s">
        <v>1006</v>
      </c>
      <c r="D746" t="str">
        <f>HYPERLINK("http://service.sap.com/sap/support/notes/1531190","1531190")</f>
        <v>1531190</v>
      </c>
      <c r="E746">
        <v>4</v>
      </c>
      <c r="F746" t="s">
        <v>1008</v>
      </c>
    </row>
    <row r="747" spans="1:6" x14ac:dyDescent="0.25">
      <c r="A747" t="s">
        <v>1403</v>
      </c>
      <c r="B747" t="s">
        <v>1009</v>
      </c>
      <c r="C747" t="s">
        <v>1010</v>
      </c>
      <c r="D747" t="str">
        <f>HYPERLINK("http://service.sap.com/sap/support/notes/1531091","1531091")</f>
        <v>1531091</v>
      </c>
      <c r="E747">
        <v>1</v>
      </c>
      <c r="F747" t="s">
        <v>1011</v>
      </c>
    </row>
    <row r="748" spans="1:6" x14ac:dyDescent="0.25">
      <c r="A748" t="s">
        <v>1403</v>
      </c>
      <c r="B748" t="s">
        <v>250</v>
      </c>
    </row>
    <row r="749" spans="1:6" x14ac:dyDescent="0.25">
      <c r="A749" t="s">
        <v>1403</v>
      </c>
      <c r="B749" t="s">
        <v>252</v>
      </c>
      <c r="C749" t="s">
        <v>253</v>
      </c>
      <c r="D749" t="str">
        <f>HYPERLINK("http://service.sap.com/sap/support/notes/1471379","1471379")</f>
        <v>1471379</v>
      </c>
      <c r="E749">
        <v>2</v>
      </c>
      <c r="F749" t="s">
        <v>1012</v>
      </c>
    </row>
    <row r="750" spans="1:6" x14ac:dyDescent="0.25">
      <c r="A750" t="s">
        <v>1403</v>
      </c>
      <c r="B750" t="s">
        <v>252</v>
      </c>
      <c r="C750" t="s">
        <v>253</v>
      </c>
      <c r="D750" t="str">
        <f>HYPERLINK("http://service.sap.com/sap/support/notes/1525501","1525501")</f>
        <v>1525501</v>
      </c>
      <c r="E750">
        <v>1</v>
      </c>
      <c r="F750" t="s">
        <v>1013</v>
      </c>
    </row>
    <row r="751" spans="1:6" x14ac:dyDescent="0.25">
      <c r="A751" t="s">
        <v>1403</v>
      </c>
      <c r="B751" t="s">
        <v>252</v>
      </c>
      <c r="C751" t="s">
        <v>253</v>
      </c>
      <c r="D751" t="str">
        <f>HYPERLINK("http://service.sap.com/sap/support/notes/1531641","1531641")</f>
        <v>1531641</v>
      </c>
      <c r="E751">
        <v>1</v>
      </c>
      <c r="F751" t="s">
        <v>1014</v>
      </c>
    </row>
    <row r="752" spans="1:6" x14ac:dyDescent="0.25">
      <c r="A752" t="s">
        <v>1403</v>
      </c>
      <c r="B752" t="s">
        <v>255</v>
      </c>
      <c r="C752" t="s">
        <v>256</v>
      </c>
      <c r="D752" t="str">
        <f>HYPERLINK("http://service.sap.com/sap/support/notes/1432077","1432077")</f>
        <v>1432077</v>
      </c>
      <c r="E752">
        <v>3</v>
      </c>
      <c r="F752" t="s">
        <v>1015</v>
      </c>
    </row>
    <row r="753" spans="1:6" x14ac:dyDescent="0.25">
      <c r="A753" t="s">
        <v>1403</v>
      </c>
      <c r="B753" t="s">
        <v>255</v>
      </c>
      <c r="C753" t="s">
        <v>256</v>
      </c>
      <c r="D753" t="str">
        <f>HYPERLINK("http://service.sap.com/sap/support/notes/1499041","1499041")</f>
        <v>1499041</v>
      </c>
      <c r="E753">
        <v>2</v>
      </c>
      <c r="F753" t="s">
        <v>1016</v>
      </c>
    </row>
    <row r="754" spans="1:6" x14ac:dyDescent="0.25">
      <c r="A754" t="s">
        <v>1403</v>
      </c>
      <c r="B754" t="s">
        <v>255</v>
      </c>
      <c r="C754" t="s">
        <v>256</v>
      </c>
      <c r="D754" t="str">
        <f>HYPERLINK("http://service.sap.com/sap/support/notes/1521465","1521465")</f>
        <v>1521465</v>
      </c>
      <c r="E754">
        <v>2</v>
      </c>
      <c r="F754" t="s">
        <v>1017</v>
      </c>
    </row>
    <row r="755" spans="1:6" x14ac:dyDescent="0.25">
      <c r="A755" t="s">
        <v>1403</v>
      </c>
      <c r="B755" t="s">
        <v>255</v>
      </c>
      <c r="C755" t="s">
        <v>256</v>
      </c>
      <c r="D755" t="str">
        <f>HYPERLINK("http://service.sap.com/sap/support/notes/1525139","1525139")</f>
        <v>1525139</v>
      </c>
      <c r="E755">
        <v>1</v>
      </c>
      <c r="F755" t="s">
        <v>1018</v>
      </c>
    </row>
    <row r="756" spans="1:6" x14ac:dyDescent="0.25">
      <c r="A756" t="s">
        <v>1403</v>
      </c>
      <c r="B756" t="s">
        <v>255</v>
      </c>
      <c r="C756" t="s">
        <v>256</v>
      </c>
      <c r="D756" t="str">
        <f>HYPERLINK("http://service.sap.com/sap/support/notes/1528221","1528221")</f>
        <v>1528221</v>
      </c>
      <c r="E756">
        <v>1</v>
      </c>
      <c r="F756" t="s">
        <v>1019</v>
      </c>
    </row>
    <row r="757" spans="1:6" x14ac:dyDescent="0.25">
      <c r="A757" t="s">
        <v>1403</v>
      </c>
      <c r="B757" t="s">
        <v>258</v>
      </c>
      <c r="C757" t="s">
        <v>259</v>
      </c>
      <c r="D757" t="str">
        <f>HYPERLINK("http://service.sap.com/sap/support/notes/1367191","1367191")</f>
        <v>1367191</v>
      </c>
      <c r="E757">
        <v>1</v>
      </c>
      <c r="F757" t="s">
        <v>1020</v>
      </c>
    </row>
    <row r="758" spans="1:6" x14ac:dyDescent="0.25">
      <c r="A758" t="s">
        <v>1403</v>
      </c>
      <c r="B758" t="s">
        <v>258</v>
      </c>
      <c r="C758" t="s">
        <v>259</v>
      </c>
      <c r="D758" t="str">
        <f>HYPERLINK("http://service.sap.com/sap/support/notes/1524666","1524666")</f>
        <v>1524666</v>
      </c>
      <c r="E758">
        <v>1</v>
      </c>
      <c r="F758" t="s">
        <v>1021</v>
      </c>
    </row>
    <row r="759" spans="1:6" x14ac:dyDescent="0.25">
      <c r="A759" t="s">
        <v>1403</v>
      </c>
      <c r="B759" t="s">
        <v>258</v>
      </c>
      <c r="C759" t="s">
        <v>259</v>
      </c>
      <c r="D759" t="str">
        <f>HYPERLINK("http://service.sap.com/sap/support/notes/1530435","1530435")</f>
        <v>1530435</v>
      </c>
      <c r="E759">
        <v>1</v>
      </c>
      <c r="F759" t="s">
        <v>1022</v>
      </c>
    </row>
    <row r="760" spans="1:6" x14ac:dyDescent="0.25">
      <c r="A760" t="s">
        <v>1403</v>
      </c>
      <c r="B760" t="s">
        <v>1023</v>
      </c>
      <c r="C760" t="s">
        <v>1024</v>
      </c>
      <c r="D760" t="str">
        <f>HYPERLINK("http://service.sap.com/sap/support/notes/1418780","1418780")</f>
        <v>1418780</v>
      </c>
      <c r="E760">
        <v>2</v>
      </c>
      <c r="F760" t="s">
        <v>1025</v>
      </c>
    </row>
    <row r="761" spans="1:6" x14ac:dyDescent="0.25">
      <c r="A761" t="s">
        <v>1403</v>
      </c>
      <c r="B761" t="s">
        <v>1023</v>
      </c>
      <c r="C761" t="s">
        <v>1024</v>
      </c>
      <c r="D761" t="str">
        <f>HYPERLINK("http://service.sap.com/sap/support/notes/1529435","1529435")</f>
        <v>1529435</v>
      </c>
      <c r="E761">
        <v>2</v>
      </c>
      <c r="F761" t="s">
        <v>1026</v>
      </c>
    </row>
    <row r="762" spans="1:6" x14ac:dyDescent="0.25">
      <c r="A762" t="s">
        <v>1403</v>
      </c>
      <c r="B762" t="s">
        <v>1027</v>
      </c>
      <c r="C762" t="s">
        <v>1028</v>
      </c>
      <c r="D762" t="str">
        <f>HYPERLINK("http://service.sap.com/sap/support/notes/1496590","1496590")</f>
        <v>1496590</v>
      </c>
      <c r="E762">
        <v>2</v>
      </c>
      <c r="F762" t="s">
        <v>1029</v>
      </c>
    </row>
    <row r="763" spans="1:6" x14ac:dyDescent="0.25">
      <c r="A763" t="s">
        <v>1403</v>
      </c>
      <c r="B763" t="s">
        <v>1027</v>
      </c>
      <c r="C763" t="s">
        <v>1028</v>
      </c>
      <c r="D763" t="str">
        <f>HYPERLINK("http://service.sap.com/sap/support/notes/1525561","1525561")</f>
        <v>1525561</v>
      </c>
      <c r="E763">
        <v>1</v>
      </c>
      <c r="F763" t="s">
        <v>1030</v>
      </c>
    </row>
    <row r="764" spans="1:6" x14ac:dyDescent="0.25">
      <c r="A764" t="s">
        <v>1403</v>
      </c>
      <c r="B764" t="s">
        <v>264</v>
      </c>
      <c r="C764" t="s">
        <v>265</v>
      </c>
      <c r="D764" t="str">
        <f>HYPERLINK("http://service.sap.com/sap/support/notes/1506478","1506478")</f>
        <v>1506478</v>
      </c>
      <c r="E764">
        <v>1</v>
      </c>
      <c r="F764" t="s">
        <v>1031</v>
      </c>
    </row>
    <row r="765" spans="1:6" x14ac:dyDescent="0.25">
      <c r="A765" t="s">
        <v>1403</v>
      </c>
      <c r="B765" t="s">
        <v>264</v>
      </c>
      <c r="C765" t="s">
        <v>265</v>
      </c>
      <c r="D765" t="str">
        <f>HYPERLINK("http://service.sap.com/sap/support/notes/1531146","1531146")</f>
        <v>1531146</v>
      </c>
      <c r="E765">
        <v>1</v>
      </c>
      <c r="F765" t="s">
        <v>1032</v>
      </c>
    </row>
    <row r="766" spans="1:6" x14ac:dyDescent="0.25">
      <c r="A766" t="s">
        <v>1403</v>
      </c>
      <c r="B766" t="s">
        <v>264</v>
      </c>
      <c r="C766" t="s">
        <v>265</v>
      </c>
      <c r="D766" t="str">
        <f>HYPERLINK("http://service.sap.com/sap/support/notes/1531315","1531315")</f>
        <v>1531315</v>
      </c>
      <c r="E766">
        <v>1</v>
      </c>
      <c r="F766" t="s">
        <v>1033</v>
      </c>
    </row>
    <row r="767" spans="1:6" x14ac:dyDescent="0.25">
      <c r="A767" t="s">
        <v>1403</v>
      </c>
      <c r="B767" t="s">
        <v>273</v>
      </c>
      <c r="C767" t="s">
        <v>153</v>
      </c>
      <c r="D767" t="str">
        <f>HYPERLINK("http://service.sap.com/sap/support/notes/1129948","1129948")</f>
        <v>1129948</v>
      </c>
      <c r="E767">
        <v>3</v>
      </c>
      <c r="F767" t="s">
        <v>1034</v>
      </c>
    </row>
    <row r="768" spans="1:6" x14ac:dyDescent="0.25">
      <c r="A768" t="s">
        <v>1403</v>
      </c>
      <c r="B768" t="s">
        <v>273</v>
      </c>
      <c r="C768" t="s">
        <v>153</v>
      </c>
      <c r="D768" t="str">
        <f>HYPERLINK("http://service.sap.com/sap/support/notes/1365125","1365125")</f>
        <v>1365125</v>
      </c>
      <c r="E768">
        <v>1</v>
      </c>
      <c r="F768" t="s">
        <v>1035</v>
      </c>
    </row>
    <row r="769" spans="1:6" x14ac:dyDescent="0.25">
      <c r="A769" t="s">
        <v>1403</v>
      </c>
      <c r="B769" t="s">
        <v>273</v>
      </c>
      <c r="C769" t="s">
        <v>153</v>
      </c>
      <c r="D769" t="str">
        <f>HYPERLINK("http://service.sap.com/sap/support/notes/1442085","1442085")</f>
        <v>1442085</v>
      </c>
      <c r="E769">
        <v>3</v>
      </c>
      <c r="F769" t="s">
        <v>1036</v>
      </c>
    </row>
    <row r="770" spans="1:6" x14ac:dyDescent="0.25">
      <c r="A770" t="s">
        <v>1403</v>
      </c>
      <c r="B770" t="s">
        <v>273</v>
      </c>
      <c r="C770" t="s">
        <v>153</v>
      </c>
      <c r="D770" t="str">
        <f>HYPERLINK("http://service.sap.com/sap/support/notes/1483614","1483614")</f>
        <v>1483614</v>
      </c>
      <c r="E770">
        <v>2</v>
      </c>
      <c r="F770" t="s">
        <v>1037</v>
      </c>
    </row>
    <row r="771" spans="1:6" x14ac:dyDescent="0.25">
      <c r="A771" t="s">
        <v>1403</v>
      </c>
      <c r="B771" t="s">
        <v>273</v>
      </c>
      <c r="C771" t="s">
        <v>153</v>
      </c>
      <c r="D771" t="str">
        <f>HYPERLINK("http://service.sap.com/sap/support/notes/1506405","1506405")</f>
        <v>1506405</v>
      </c>
      <c r="E771">
        <v>2</v>
      </c>
      <c r="F771" t="s">
        <v>276</v>
      </c>
    </row>
    <row r="772" spans="1:6" x14ac:dyDescent="0.25">
      <c r="A772" t="s">
        <v>1403</v>
      </c>
      <c r="B772" t="s">
        <v>273</v>
      </c>
      <c r="C772" t="s">
        <v>153</v>
      </c>
      <c r="D772" t="str">
        <f>HYPERLINK("http://service.sap.com/sap/support/notes/1517726","1517726")</f>
        <v>1517726</v>
      </c>
      <c r="E772">
        <v>2</v>
      </c>
      <c r="F772" t="s">
        <v>1038</v>
      </c>
    </row>
    <row r="773" spans="1:6" x14ac:dyDescent="0.25">
      <c r="A773" t="s">
        <v>1403</v>
      </c>
      <c r="B773" t="s">
        <v>273</v>
      </c>
      <c r="C773" t="s">
        <v>153</v>
      </c>
      <c r="D773" t="str">
        <f>HYPERLINK("http://service.sap.com/sap/support/notes/1518728","1518728")</f>
        <v>1518728</v>
      </c>
      <c r="E773">
        <v>1</v>
      </c>
      <c r="F773" t="s">
        <v>1039</v>
      </c>
    </row>
    <row r="774" spans="1:6" x14ac:dyDescent="0.25">
      <c r="A774" t="s">
        <v>1403</v>
      </c>
      <c r="B774" t="s">
        <v>273</v>
      </c>
      <c r="C774" t="s">
        <v>153</v>
      </c>
      <c r="D774" t="str">
        <f>HYPERLINK("http://service.sap.com/sap/support/notes/1523163","1523163")</f>
        <v>1523163</v>
      </c>
      <c r="E774">
        <v>1</v>
      </c>
      <c r="F774" t="s">
        <v>1040</v>
      </c>
    </row>
    <row r="775" spans="1:6" x14ac:dyDescent="0.25">
      <c r="A775" t="s">
        <v>1403</v>
      </c>
      <c r="B775" t="s">
        <v>273</v>
      </c>
      <c r="C775" t="s">
        <v>153</v>
      </c>
      <c r="D775" t="str">
        <f>HYPERLINK("http://service.sap.com/sap/support/notes/1523922","1523922")</f>
        <v>1523922</v>
      </c>
      <c r="E775">
        <v>1</v>
      </c>
      <c r="F775" t="s">
        <v>1041</v>
      </c>
    </row>
    <row r="776" spans="1:6" x14ac:dyDescent="0.25">
      <c r="A776" t="s">
        <v>1403</v>
      </c>
      <c r="B776" t="s">
        <v>273</v>
      </c>
      <c r="C776" t="s">
        <v>153</v>
      </c>
      <c r="D776" t="str">
        <f>HYPERLINK("http://service.sap.com/sap/support/notes/1526578","1526578")</f>
        <v>1526578</v>
      </c>
      <c r="E776">
        <v>1</v>
      </c>
      <c r="F776" t="s">
        <v>1042</v>
      </c>
    </row>
    <row r="777" spans="1:6" x14ac:dyDescent="0.25">
      <c r="A777" t="s">
        <v>1403</v>
      </c>
      <c r="B777" t="s">
        <v>273</v>
      </c>
      <c r="C777" t="s">
        <v>153</v>
      </c>
      <c r="D777" t="str">
        <f>HYPERLINK("http://service.sap.com/sap/support/notes/1530004","1530004")</f>
        <v>1530004</v>
      </c>
      <c r="E777">
        <v>1</v>
      </c>
      <c r="F777" t="s">
        <v>1043</v>
      </c>
    </row>
    <row r="778" spans="1:6" x14ac:dyDescent="0.25">
      <c r="A778" t="s">
        <v>1403</v>
      </c>
      <c r="B778" t="s">
        <v>284</v>
      </c>
      <c r="C778" t="s">
        <v>1044</v>
      </c>
      <c r="D778" t="str">
        <f>HYPERLINK("http://service.sap.com/sap/support/notes/1480342","1480342")</f>
        <v>1480342</v>
      </c>
      <c r="E778">
        <v>1</v>
      </c>
      <c r="F778" t="s">
        <v>1045</v>
      </c>
    </row>
    <row r="779" spans="1:6" x14ac:dyDescent="0.25">
      <c r="A779" t="s">
        <v>1403</v>
      </c>
      <c r="B779" t="s">
        <v>284</v>
      </c>
      <c r="C779" t="s">
        <v>1044</v>
      </c>
      <c r="D779" t="str">
        <f>HYPERLINK("http://service.sap.com/sap/support/notes/1492318","1492318")</f>
        <v>1492318</v>
      </c>
      <c r="E779">
        <v>1</v>
      </c>
      <c r="F779" t="s">
        <v>1046</v>
      </c>
    </row>
    <row r="780" spans="1:6" x14ac:dyDescent="0.25">
      <c r="A780" t="s">
        <v>1403</v>
      </c>
      <c r="B780" t="s">
        <v>284</v>
      </c>
      <c r="C780" t="s">
        <v>1044</v>
      </c>
      <c r="D780" t="str">
        <f>HYPERLINK("http://service.sap.com/sap/support/notes/1503432","1503432")</f>
        <v>1503432</v>
      </c>
      <c r="E780">
        <v>1</v>
      </c>
      <c r="F780" t="s">
        <v>1047</v>
      </c>
    </row>
    <row r="781" spans="1:6" x14ac:dyDescent="0.25">
      <c r="A781" t="s">
        <v>1403</v>
      </c>
      <c r="B781" t="s">
        <v>284</v>
      </c>
      <c r="C781" t="s">
        <v>1044</v>
      </c>
      <c r="D781" t="str">
        <f>HYPERLINK("http://service.sap.com/sap/support/notes/1514696","1514696")</f>
        <v>1514696</v>
      </c>
      <c r="E781">
        <v>2</v>
      </c>
      <c r="F781" t="s">
        <v>1048</v>
      </c>
    </row>
    <row r="782" spans="1:6" x14ac:dyDescent="0.25">
      <c r="A782" t="s">
        <v>1403</v>
      </c>
      <c r="B782" t="s">
        <v>284</v>
      </c>
      <c r="C782" t="s">
        <v>1044</v>
      </c>
      <c r="D782" t="str">
        <f>HYPERLINK("http://service.sap.com/sap/support/notes/1522339","1522339")</f>
        <v>1522339</v>
      </c>
      <c r="E782">
        <v>1</v>
      </c>
      <c r="F782" t="s">
        <v>1049</v>
      </c>
    </row>
    <row r="783" spans="1:6" x14ac:dyDescent="0.25">
      <c r="A783" t="s">
        <v>1403</v>
      </c>
      <c r="B783" t="s">
        <v>284</v>
      </c>
      <c r="C783" t="s">
        <v>1044</v>
      </c>
      <c r="D783" t="str">
        <f>HYPERLINK("http://service.sap.com/sap/support/notes/1522381","1522381")</f>
        <v>1522381</v>
      </c>
      <c r="E783">
        <v>1</v>
      </c>
      <c r="F783" t="s">
        <v>1050</v>
      </c>
    </row>
    <row r="784" spans="1:6" x14ac:dyDescent="0.25">
      <c r="A784" t="s">
        <v>1403</v>
      </c>
      <c r="B784" t="s">
        <v>284</v>
      </c>
      <c r="C784" t="s">
        <v>1044</v>
      </c>
      <c r="D784" t="str">
        <f>HYPERLINK("http://service.sap.com/sap/support/notes/1523973","1523973")</f>
        <v>1523973</v>
      </c>
      <c r="E784">
        <v>2</v>
      </c>
      <c r="F784" t="s">
        <v>1051</v>
      </c>
    </row>
    <row r="785" spans="1:6" x14ac:dyDescent="0.25">
      <c r="A785" t="s">
        <v>1403</v>
      </c>
      <c r="B785" t="s">
        <v>284</v>
      </c>
      <c r="C785" t="s">
        <v>1044</v>
      </c>
      <c r="D785" t="str">
        <f>HYPERLINK("http://service.sap.com/sap/support/notes/1524640","1524640")</f>
        <v>1524640</v>
      </c>
      <c r="E785">
        <v>1</v>
      </c>
      <c r="F785" t="s">
        <v>1052</v>
      </c>
    </row>
    <row r="786" spans="1:6" x14ac:dyDescent="0.25">
      <c r="A786" t="s">
        <v>1403</v>
      </c>
      <c r="B786" t="s">
        <v>284</v>
      </c>
      <c r="C786" t="s">
        <v>1044</v>
      </c>
      <c r="D786" t="str">
        <f>HYPERLINK("http://service.sap.com/sap/support/notes/1524863","1524863")</f>
        <v>1524863</v>
      </c>
      <c r="E786">
        <v>1</v>
      </c>
      <c r="F786" t="s">
        <v>1053</v>
      </c>
    </row>
    <row r="787" spans="1:6" x14ac:dyDescent="0.25">
      <c r="A787" t="s">
        <v>1403</v>
      </c>
      <c r="B787" t="s">
        <v>284</v>
      </c>
      <c r="C787" t="s">
        <v>1044</v>
      </c>
      <c r="D787" t="str">
        <f>HYPERLINK("http://service.sap.com/sap/support/notes/1527890","1527890")</f>
        <v>1527890</v>
      </c>
      <c r="E787">
        <v>3</v>
      </c>
      <c r="F787" t="s">
        <v>1054</v>
      </c>
    </row>
    <row r="788" spans="1:6" x14ac:dyDescent="0.25">
      <c r="A788" t="s">
        <v>1403</v>
      </c>
      <c r="B788" t="s">
        <v>284</v>
      </c>
      <c r="C788" t="s">
        <v>1044</v>
      </c>
      <c r="D788" t="str">
        <f>HYPERLINK("http://service.sap.com/sap/support/notes/1528252","1528252")</f>
        <v>1528252</v>
      </c>
      <c r="E788">
        <v>4</v>
      </c>
      <c r="F788" t="s">
        <v>1055</v>
      </c>
    </row>
    <row r="789" spans="1:6" x14ac:dyDescent="0.25">
      <c r="A789" t="s">
        <v>1403</v>
      </c>
      <c r="B789" t="s">
        <v>284</v>
      </c>
      <c r="C789" t="s">
        <v>1044</v>
      </c>
      <c r="D789" t="str">
        <f>HYPERLINK("http://service.sap.com/sap/support/notes/1530137","1530137")</f>
        <v>1530137</v>
      </c>
      <c r="E789">
        <v>1</v>
      </c>
      <c r="F789" t="s">
        <v>1056</v>
      </c>
    </row>
    <row r="790" spans="1:6" x14ac:dyDescent="0.25">
      <c r="A790" t="s">
        <v>1403</v>
      </c>
      <c r="B790" t="s">
        <v>284</v>
      </c>
      <c r="C790" t="s">
        <v>1044</v>
      </c>
      <c r="D790" t="str">
        <f>HYPERLINK("http://service.sap.com/sap/support/notes/1530751","1530751")</f>
        <v>1530751</v>
      </c>
      <c r="E790">
        <v>3</v>
      </c>
      <c r="F790" t="s">
        <v>1057</v>
      </c>
    </row>
    <row r="791" spans="1:6" x14ac:dyDescent="0.25">
      <c r="A791" t="s">
        <v>1403</v>
      </c>
      <c r="B791" t="s">
        <v>284</v>
      </c>
      <c r="C791" t="s">
        <v>1044</v>
      </c>
      <c r="D791" t="str">
        <f>HYPERLINK("http://service.sap.com/sap/support/notes/1532321","1532321")</f>
        <v>1532321</v>
      </c>
      <c r="E791">
        <v>1</v>
      </c>
      <c r="F791" t="s">
        <v>1058</v>
      </c>
    </row>
    <row r="792" spans="1:6" x14ac:dyDescent="0.25">
      <c r="A792" t="s">
        <v>1403</v>
      </c>
      <c r="B792" t="s">
        <v>284</v>
      </c>
      <c r="C792" t="s">
        <v>1044</v>
      </c>
      <c r="D792" t="str">
        <f>HYPERLINK("http://service.sap.com/sap/support/notes/1532361","1532361")</f>
        <v>1532361</v>
      </c>
      <c r="E792">
        <v>1</v>
      </c>
      <c r="F792" t="s">
        <v>1059</v>
      </c>
    </row>
    <row r="793" spans="1:6" x14ac:dyDescent="0.25">
      <c r="A793" t="s">
        <v>1403</v>
      </c>
      <c r="B793" t="s">
        <v>293</v>
      </c>
      <c r="C793" t="s">
        <v>294</v>
      </c>
      <c r="D793" t="str">
        <f>HYPERLINK("http://service.sap.com/sap/support/notes/1508769","1508769")</f>
        <v>1508769</v>
      </c>
      <c r="E793">
        <v>2</v>
      </c>
      <c r="F793" t="s">
        <v>1060</v>
      </c>
    </row>
    <row r="794" spans="1:6" x14ac:dyDescent="0.25">
      <c r="A794" t="s">
        <v>1403</v>
      </c>
      <c r="B794" t="s">
        <v>293</v>
      </c>
      <c r="C794" t="s">
        <v>294</v>
      </c>
      <c r="D794" t="str">
        <f>HYPERLINK("http://service.sap.com/sap/support/notes/1509514","1509514")</f>
        <v>1509514</v>
      </c>
      <c r="E794">
        <v>2</v>
      </c>
      <c r="F794" t="s">
        <v>1061</v>
      </c>
    </row>
    <row r="795" spans="1:6" x14ac:dyDescent="0.25">
      <c r="A795" t="s">
        <v>1403</v>
      </c>
      <c r="B795" t="s">
        <v>293</v>
      </c>
      <c r="C795" t="s">
        <v>294</v>
      </c>
      <c r="D795" t="str">
        <f>HYPERLINK("http://service.sap.com/sap/support/notes/1510882","1510882")</f>
        <v>1510882</v>
      </c>
      <c r="E795">
        <v>3</v>
      </c>
      <c r="F795" t="s">
        <v>1062</v>
      </c>
    </row>
    <row r="796" spans="1:6" x14ac:dyDescent="0.25">
      <c r="A796" t="s">
        <v>1403</v>
      </c>
      <c r="B796" t="s">
        <v>298</v>
      </c>
    </row>
    <row r="797" spans="1:6" x14ac:dyDescent="0.25">
      <c r="A797" t="s">
        <v>1403</v>
      </c>
      <c r="B797" t="s">
        <v>1063</v>
      </c>
      <c r="C797" t="s">
        <v>1064</v>
      </c>
      <c r="D797" t="str">
        <f>HYPERLINK("http://service.sap.com/sap/support/notes/1488355","1488355")</f>
        <v>1488355</v>
      </c>
      <c r="E797">
        <v>2</v>
      </c>
      <c r="F797" t="s">
        <v>1065</v>
      </c>
    </row>
    <row r="798" spans="1:6" x14ac:dyDescent="0.25">
      <c r="A798" t="s">
        <v>1403</v>
      </c>
      <c r="B798" t="s">
        <v>1063</v>
      </c>
      <c r="C798" t="s">
        <v>1064</v>
      </c>
      <c r="D798" t="str">
        <f>HYPERLINK("http://service.sap.com/sap/support/notes/1499643","1499643")</f>
        <v>1499643</v>
      </c>
      <c r="E798">
        <v>1</v>
      </c>
      <c r="F798" t="s">
        <v>1066</v>
      </c>
    </row>
    <row r="799" spans="1:6" x14ac:dyDescent="0.25">
      <c r="A799" t="s">
        <v>1403</v>
      </c>
      <c r="B799" t="s">
        <v>1063</v>
      </c>
      <c r="C799" t="s">
        <v>1064</v>
      </c>
      <c r="D799" t="str">
        <f>HYPERLINK("http://service.sap.com/sap/support/notes/1514749","1514749")</f>
        <v>1514749</v>
      </c>
      <c r="E799">
        <v>2</v>
      </c>
      <c r="F799" t="s">
        <v>1067</v>
      </c>
    </row>
    <row r="800" spans="1:6" x14ac:dyDescent="0.25">
      <c r="A800" t="s">
        <v>1403</v>
      </c>
      <c r="B800" t="s">
        <v>300</v>
      </c>
      <c r="C800" t="s">
        <v>301</v>
      </c>
      <c r="D800" t="str">
        <f>HYPERLINK("http://service.sap.com/sap/support/notes/1416498","1416498")</f>
        <v>1416498</v>
      </c>
      <c r="E800">
        <v>3</v>
      </c>
      <c r="F800" t="s">
        <v>1068</v>
      </c>
    </row>
    <row r="801" spans="1:6" x14ac:dyDescent="0.25">
      <c r="A801" t="s">
        <v>1403</v>
      </c>
      <c r="B801" t="s">
        <v>300</v>
      </c>
      <c r="C801" t="s">
        <v>301</v>
      </c>
      <c r="D801" t="str">
        <f>HYPERLINK("http://service.sap.com/sap/support/notes/1481557","1481557")</f>
        <v>1481557</v>
      </c>
      <c r="E801">
        <v>2</v>
      </c>
      <c r="F801" t="s">
        <v>1069</v>
      </c>
    </row>
    <row r="802" spans="1:6" x14ac:dyDescent="0.25">
      <c r="A802" t="s">
        <v>1403</v>
      </c>
      <c r="B802" t="s">
        <v>300</v>
      </c>
      <c r="C802" t="s">
        <v>301</v>
      </c>
      <c r="D802" t="str">
        <f>HYPERLINK("http://service.sap.com/sap/support/notes/1509539","1509539")</f>
        <v>1509539</v>
      </c>
      <c r="E802">
        <v>1</v>
      </c>
      <c r="F802" t="s">
        <v>1070</v>
      </c>
    </row>
    <row r="803" spans="1:6" x14ac:dyDescent="0.25">
      <c r="A803" t="s">
        <v>1403</v>
      </c>
      <c r="B803" t="s">
        <v>300</v>
      </c>
      <c r="C803" t="s">
        <v>301</v>
      </c>
      <c r="D803" t="str">
        <f>HYPERLINK("http://service.sap.com/sap/support/notes/1520790","1520790")</f>
        <v>1520790</v>
      </c>
      <c r="E803">
        <v>2</v>
      </c>
      <c r="F803" t="s">
        <v>1071</v>
      </c>
    </row>
    <row r="804" spans="1:6" x14ac:dyDescent="0.25">
      <c r="A804" t="s">
        <v>1403</v>
      </c>
      <c r="B804" t="s">
        <v>300</v>
      </c>
      <c r="C804" t="s">
        <v>301</v>
      </c>
      <c r="D804" t="str">
        <f>HYPERLINK("http://service.sap.com/sap/support/notes/1524026","1524026")</f>
        <v>1524026</v>
      </c>
      <c r="E804">
        <v>1</v>
      </c>
      <c r="F804" t="s">
        <v>1072</v>
      </c>
    </row>
    <row r="805" spans="1:6" x14ac:dyDescent="0.25">
      <c r="A805" t="s">
        <v>1403</v>
      </c>
      <c r="B805" t="s">
        <v>300</v>
      </c>
      <c r="C805" t="s">
        <v>301</v>
      </c>
      <c r="D805" t="str">
        <f>HYPERLINK("http://service.sap.com/sap/support/notes/1529292","1529292")</f>
        <v>1529292</v>
      </c>
      <c r="E805">
        <v>2</v>
      </c>
      <c r="F805" t="s">
        <v>1073</v>
      </c>
    </row>
    <row r="806" spans="1:6" x14ac:dyDescent="0.25">
      <c r="A806" t="s">
        <v>1403</v>
      </c>
      <c r="B806" t="s">
        <v>304</v>
      </c>
      <c r="C806" t="s">
        <v>305</v>
      </c>
      <c r="D806" t="str">
        <f>HYPERLINK("http://service.sap.com/sap/support/notes/1017716","1017716")</f>
        <v>1017716</v>
      </c>
      <c r="E806">
        <v>1</v>
      </c>
      <c r="F806" t="s">
        <v>1074</v>
      </c>
    </row>
    <row r="807" spans="1:6" x14ac:dyDescent="0.25">
      <c r="A807" t="s">
        <v>1403</v>
      </c>
      <c r="B807" t="s">
        <v>304</v>
      </c>
      <c r="C807" t="s">
        <v>305</v>
      </c>
      <c r="D807" t="str">
        <f>HYPERLINK("http://service.sap.com/sap/support/notes/1480073","1480073")</f>
        <v>1480073</v>
      </c>
      <c r="E807">
        <v>1</v>
      </c>
      <c r="F807" t="s">
        <v>306</v>
      </c>
    </row>
    <row r="808" spans="1:6" x14ac:dyDescent="0.25">
      <c r="A808" t="s">
        <v>1403</v>
      </c>
      <c r="B808" t="s">
        <v>304</v>
      </c>
      <c r="C808" t="s">
        <v>305</v>
      </c>
      <c r="D808" t="str">
        <f>HYPERLINK("http://service.sap.com/sap/support/notes/1483369","1483369")</f>
        <v>1483369</v>
      </c>
      <c r="E808">
        <v>3</v>
      </c>
      <c r="F808" t="s">
        <v>1075</v>
      </c>
    </row>
    <row r="809" spans="1:6" x14ac:dyDescent="0.25">
      <c r="A809" t="s">
        <v>1403</v>
      </c>
      <c r="B809" t="s">
        <v>304</v>
      </c>
      <c r="C809" t="s">
        <v>305</v>
      </c>
      <c r="D809" t="str">
        <f>HYPERLINK("http://service.sap.com/sap/support/notes/1492651","1492651")</f>
        <v>1492651</v>
      </c>
      <c r="E809">
        <v>2</v>
      </c>
      <c r="F809" t="s">
        <v>1076</v>
      </c>
    </row>
    <row r="810" spans="1:6" x14ac:dyDescent="0.25">
      <c r="A810" t="s">
        <v>1403</v>
      </c>
      <c r="B810" t="s">
        <v>304</v>
      </c>
      <c r="C810" t="s">
        <v>305</v>
      </c>
      <c r="D810" t="str">
        <f>HYPERLINK("http://service.sap.com/sap/support/notes/1502812","1502812")</f>
        <v>1502812</v>
      </c>
      <c r="E810">
        <v>3</v>
      </c>
      <c r="F810" t="s">
        <v>1077</v>
      </c>
    </row>
    <row r="811" spans="1:6" x14ac:dyDescent="0.25">
      <c r="A811" t="s">
        <v>1403</v>
      </c>
      <c r="B811" t="s">
        <v>304</v>
      </c>
      <c r="C811" t="s">
        <v>305</v>
      </c>
      <c r="D811" t="str">
        <f>HYPERLINK("http://service.sap.com/sap/support/notes/1502947","1502947")</f>
        <v>1502947</v>
      </c>
      <c r="E811">
        <v>2</v>
      </c>
      <c r="F811" t="s">
        <v>1078</v>
      </c>
    </row>
    <row r="812" spans="1:6" x14ac:dyDescent="0.25">
      <c r="A812" t="s">
        <v>1403</v>
      </c>
      <c r="B812" t="s">
        <v>304</v>
      </c>
      <c r="C812" t="s">
        <v>305</v>
      </c>
      <c r="D812" t="str">
        <f>HYPERLINK("http://service.sap.com/sap/support/notes/1514614","1514614")</f>
        <v>1514614</v>
      </c>
      <c r="E812">
        <v>1</v>
      </c>
      <c r="F812" t="s">
        <v>1079</v>
      </c>
    </row>
    <row r="813" spans="1:6" x14ac:dyDescent="0.25">
      <c r="A813" t="s">
        <v>1403</v>
      </c>
      <c r="B813" t="s">
        <v>304</v>
      </c>
      <c r="C813" t="s">
        <v>305</v>
      </c>
      <c r="D813" t="str">
        <f>HYPERLINK("http://service.sap.com/sap/support/notes/1515123","1515123")</f>
        <v>1515123</v>
      </c>
      <c r="E813">
        <v>2</v>
      </c>
      <c r="F813" t="s">
        <v>1080</v>
      </c>
    </row>
    <row r="814" spans="1:6" x14ac:dyDescent="0.25">
      <c r="A814" t="s">
        <v>1403</v>
      </c>
      <c r="B814" t="s">
        <v>304</v>
      </c>
      <c r="C814" t="s">
        <v>305</v>
      </c>
      <c r="D814" t="str">
        <f>HYPERLINK("http://service.sap.com/sap/support/notes/1515549","1515549")</f>
        <v>1515549</v>
      </c>
      <c r="E814">
        <v>2</v>
      </c>
      <c r="F814" t="s">
        <v>1081</v>
      </c>
    </row>
    <row r="815" spans="1:6" x14ac:dyDescent="0.25">
      <c r="A815" t="s">
        <v>1403</v>
      </c>
      <c r="B815" t="s">
        <v>304</v>
      </c>
      <c r="C815" t="s">
        <v>305</v>
      </c>
      <c r="D815" t="str">
        <f>HYPERLINK("http://service.sap.com/sap/support/notes/1516350","1516350")</f>
        <v>1516350</v>
      </c>
      <c r="E815">
        <v>9</v>
      </c>
      <c r="F815" t="s">
        <v>1082</v>
      </c>
    </row>
    <row r="816" spans="1:6" x14ac:dyDescent="0.25">
      <c r="A816" t="s">
        <v>1403</v>
      </c>
      <c r="B816" t="s">
        <v>304</v>
      </c>
      <c r="C816" t="s">
        <v>305</v>
      </c>
      <c r="D816" t="str">
        <f>HYPERLINK("http://service.sap.com/sap/support/notes/1516532","1516532")</f>
        <v>1516532</v>
      </c>
      <c r="E816">
        <v>2</v>
      </c>
      <c r="F816" t="s">
        <v>1083</v>
      </c>
    </row>
    <row r="817" spans="1:6" x14ac:dyDescent="0.25">
      <c r="A817" t="s">
        <v>1403</v>
      </c>
      <c r="B817" t="s">
        <v>304</v>
      </c>
      <c r="C817" t="s">
        <v>305</v>
      </c>
      <c r="D817" t="str">
        <f>HYPERLINK("http://service.sap.com/sap/support/notes/1517526","1517526")</f>
        <v>1517526</v>
      </c>
      <c r="E817">
        <v>1</v>
      </c>
      <c r="F817" t="s">
        <v>1084</v>
      </c>
    </row>
    <row r="818" spans="1:6" x14ac:dyDescent="0.25">
      <c r="A818" t="s">
        <v>1403</v>
      </c>
      <c r="B818" t="s">
        <v>304</v>
      </c>
      <c r="C818" t="s">
        <v>305</v>
      </c>
      <c r="D818" t="str">
        <f>HYPERLINK("http://service.sap.com/sap/support/notes/1518557","1518557")</f>
        <v>1518557</v>
      </c>
      <c r="E818">
        <v>2</v>
      </c>
      <c r="F818" t="s">
        <v>1085</v>
      </c>
    </row>
    <row r="819" spans="1:6" x14ac:dyDescent="0.25">
      <c r="A819" t="s">
        <v>1403</v>
      </c>
      <c r="B819" t="s">
        <v>304</v>
      </c>
      <c r="C819" t="s">
        <v>305</v>
      </c>
      <c r="D819" t="str">
        <f>HYPERLINK("http://service.sap.com/sap/support/notes/1522384","1522384")</f>
        <v>1522384</v>
      </c>
      <c r="E819">
        <v>3</v>
      </c>
      <c r="F819" t="s">
        <v>1086</v>
      </c>
    </row>
    <row r="820" spans="1:6" x14ac:dyDescent="0.25">
      <c r="A820" t="s">
        <v>1403</v>
      </c>
      <c r="B820" t="s">
        <v>304</v>
      </c>
      <c r="C820" t="s">
        <v>305</v>
      </c>
      <c r="D820" t="str">
        <f>HYPERLINK("http://service.sap.com/sap/support/notes/1522413","1522413")</f>
        <v>1522413</v>
      </c>
      <c r="E820">
        <v>4</v>
      </c>
      <c r="F820" t="s">
        <v>1087</v>
      </c>
    </row>
    <row r="821" spans="1:6" x14ac:dyDescent="0.25">
      <c r="A821" t="s">
        <v>1403</v>
      </c>
      <c r="B821" t="s">
        <v>304</v>
      </c>
      <c r="C821" t="s">
        <v>305</v>
      </c>
      <c r="D821" t="str">
        <f>HYPERLINK("http://service.sap.com/sap/support/notes/1523005","1523005")</f>
        <v>1523005</v>
      </c>
      <c r="E821">
        <v>1</v>
      </c>
      <c r="F821" t="s">
        <v>1088</v>
      </c>
    </row>
    <row r="822" spans="1:6" x14ac:dyDescent="0.25">
      <c r="A822" t="s">
        <v>1403</v>
      </c>
      <c r="B822" t="s">
        <v>304</v>
      </c>
      <c r="C822" t="s">
        <v>305</v>
      </c>
      <c r="D822" t="str">
        <f>HYPERLINK("http://service.sap.com/sap/support/notes/1524506","1524506")</f>
        <v>1524506</v>
      </c>
      <c r="E822">
        <v>3</v>
      </c>
      <c r="F822" t="s">
        <v>1089</v>
      </c>
    </row>
    <row r="823" spans="1:6" x14ac:dyDescent="0.25">
      <c r="A823" t="s">
        <v>1403</v>
      </c>
      <c r="B823" t="s">
        <v>304</v>
      </c>
      <c r="C823" t="s">
        <v>305</v>
      </c>
      <c r="D823" t="str">
        <f>HYPERLINK("http://service.sap.com/sap/support/notes/1525703","1525703")</f>
        <v>1525703</v>
      </c>
      <c r="E823">
        <v>1</v>
      </c>
      <c r="F823" t="s">
        <v>1090</v>
      </c>
    </row>
    <row r="824" spans="1:6" x14ac:dyDescent="0.25">
      <c r="A824" t="s">
        <v>1403</v>
      </c>
      <c r="B824" t="s">
        <v>304</v>
      </c>
      <c r="C824" t="s">
        <v>305</v>
      </c>
      <c r="D824" t="str">
        <f>HYPERLINK("http://service.sap.com/sap/support/notes/1527185","1527185")</f>
        <v>1527185</v>
      </c>
      <c r="E824">
        <v>1</v>
      </c>
      <c r="F824" t="s">
        <v>1091</v>
      </c>
    </row>
    <row r="825" spans="1:6" x14ac:dyDescent="0.25">
      <c r="A825" t="s">
        <v>1403</v>
      </c>
      <c r="B825" t="s">
        <v>304</v>
      </c>
      <c r="C825" t="s">
        <v>305</v>
      </c>
      <c r="D825" t="str">
        <f>HYPERLINK("http://service.sap.com/sap/support/notes/1528113","1528113")</f>
        <v>1528113</v>
      </c>
      <c r="E825">
        <v>2</v>
      </c>
      <c r="F825" t="s">
        <v>1092</v>
      </c>
    </row>
    <row r="826" spans="1:6" x14ac:dyDescent="0.25">
      <c r="A826" t="s">
        <v>1403</v>
      </c>
      <c r="B826" t="s">
        <v>304</v>
      </c>
      <c r="C826" t="s">
        <v>305</v>
      </c>
      <c r="D826" t="str">
        <f>HYPERLINK("http://service.sap.com/sap/support/notes/1528500","1528500")</f>
        <v>1528500</v>
      </c>
      <c r="E826">
        <v>2</v>
      </c>
      <c r="F826" t="s">
        <v>1093</v>
      </c>
    </row>
    <row r="827" spans="1:6" x14ac:dyDescent="0.25">
      <c r="A827" t="s">
        <v>1403</v>
      </c>
      <c r="B827" t="s">
        <v>324</v>
      </c>
      <c r="C827" t="s">
        <v>55</v>
      </c>
      <c r="D827" t="str">
        <f>HYPERLINK("http://service.sap.com/sap/support/notes/1522306","1522306")</f>
        <v>1522306</v>
      </c>
      <c r="E827">
        <v>1</v>
      </c>
      <c r="F827" t="s">
        <v>1094</v>
      </c>
    </row>
    <row r="828" spans="1:6" x14ac:dyDescent="0.25">
      <c r="A828" t="s">
        <v>1403</v>
      </c>
      <c r="B828" t="s">
        <v>324</v>
      </c>
      <c r="C828" t="s">
        <v>55</v>
      </c>
      <c r="D828" t="str">
        <f>HYPERLINK("http://service.sap.com/sap/support/notes/1528629","1528629")</f>
        <v>1528629</v>
      </c>
      <c r="E828">
        <v>1</v>
      </c>
      <c r="F828" t="s">
        <v>1095</v>
      </c>
    </row>
    <row r="829" spans="1:6" x14ac:dyDescent="0.25">
      <c r="A829" t="s">
        <v>1403</v>
      </c>
      <c r="B829" t="s">
        <v>328</v>
      </c>
      <c r="C829" t="s">
        <v>58</v>
      </c>
      <c r="D829" t="str">
        <f>HYPERLINK("http://service.sap.com/sap/support/notes/1495041","1495041")</f>
        <v>1495041</v>
      </c>
      <c r="E829">
        <v>11</v>
      </c>
      <c r="F829" t="s">
        <v>1096</v>
      </c>
    </row>
    <row r="830" spans="1:6" x14ac:dyDescent="0.25">
      <c r="A830" t="s">
        <v>1403</v>
      </c>
      <c r="B830" t="s">
        <v>328</v>
      </c>
      <c r="C830" t="s">
        <v>58</v>
      </c>
      <c r="D830" t="str">
        <f>HYPERLINK("http://service.sap.com/sap/support/notes/1508552","1508552")</f>
        <v>1508552</v>
      </c>
      <c r="E830">
        <v>1</v>
      </c>
      <c r="F830" t="s">
        <v>1097</v>
      </c>
    </row>
    <row r="831" spans="1:6" x14ac:dyDescent="0.25">
      <c r="A831" t="s">
        <v>1403</v>
      </c>
      <c r="B831" t="s">
        <v>328</v>
      </c>
      <c r="C831" t="s">
        <v>58</v>
      </c>
      <c r="D831" t="str">
        <f>HYPERLINK("http://service.sap.com/sap/support/notes/1518282","1518282")</f>
        <v>1518282</v>
      </c>
      <c r="E831">
        <v>4</v>
      </c>
      <c r="F831" t="s">
        <v>1098</v>
      </c>
    </row>
    <row r="832" spans="1:6" x14ac:dyDescent="0.25">
      <c r="A832" t="s">
        <v>1403</v>
      </c>
      <c r="B832" t="s">
        <v>328</v>
      </c>
      <c r="C832" t="s">
        <v>58</v>
      </c>
      <c r="D832" t="str">
        <f>HYPERLINK("http://service.sap.com/sap/support/notes/1519738","1519738")</f>
        <v>1519738</v>
      </c>
      <c r="E832">
        <v>2</v>
      </c>
      <c r="F832" t="s">
        <v>1099</v>
      </c>
    </row>
    <row r="833" spans="1:6" x14ac:dyDescent="0.25">
      <c r="A833" t="s">
        <v>1403</v>
      </c>
      <c r="B833" t="s">
        <v>328</v>
      </c>
      <c r="C833" t="s">
        <v>58</v>
      </c>
      <c r="D833" t="str">
        <f>HYPERLINK("http://service.sap.com/sap/support/notes/1519765","1519765")</f>
        <v>1519765</v>
      </c>
      <c r="E833">
        <v>5</v>
      </c>
      <c r="F833" t="s">
        <v>1100</v>
      </c>
    </row>
    <row r="834" spans="1:6" x14ac:dyDescent="0.25">
      <c r="A834" t="s">
        <v>1403</v>
      </c>
      <c r="B834" t="s">
        <v>328</v>
      </c>
      <c r="C834" t="s">
        <v>58</v>
      </c>
      <c r="D834" t="str">
        <f>HYPERLINK("http://service.sap.com/sap/support/notes/1522736","1522736")</f>
        <v>1522736</v>
      </c>
      <c r="E834">
        <v>2</v>
      </c>
      <c r="F834" t="s">
        <v>1101</v>
      </c>
    </row>
    <row r="835" spans="1:6" x14ac:dyDescent="0.25">
      <c r="A835" t="s">
        <v>1403</v>
      </c>
      <c r="B835" t="s">
        <v>328</v>
      </c>
      <c r="C835" t="s">
        <v>58</v>
      </c>
      <c r="D835" t="str">
        <f>HYPERLINK("http://service.sap.com/sap/support/notes/1522894","1522894")</f>
        <v>1522894</v>
      </c>
      <c r="E835">
        <v>1</v>
      </c>
      <c r="F835" t="s">
        <v>1102</v>
      </c>
    </row>
    <row r="836" spans="1:6" x14ac:dyDescent="0.25">
      <c r="A836" t="s">
        <v>1403</v>
      </c>
      <c r="B836" t="s">
        <v>328</v>
      </c>
      <c r="C836" t="s">
        <v>58</v>
      </c>
      <c r="D836" t="str">
        <f>HYPERLINK("http://service.sap.com/sap/support/notes/1524202","1524202")</f>
        <v>1524202</v>
      </c>
      <c r="E836">
        <v>1</v>
      </c>
      <c r="F836" t="s">
        <v>1103</v>
      </c>
    </row>
    <row r="837" spans="1:6" x14ac:dyDescent="0.25">
      <c r="A837" t="s">
        <v>1403</v>
      </c>
      <c r="B837" t="s">
        <v>328</v>
      </c>
      <c r="C837" t="s">
        <v>58</v>
      </c>
      <c r="D837" t="str">
        <f>HYPERLINK("http://service.sap.com/sap/support/notes/1525187","1525187")</f>
        <v>1525187</v>
      </c>
      <c r="E837">
        <v>3</v>
      </c>
      <c r="F837" t="s">
        <v>1104</v>
      </c>
    </row>
    <row r="838" spans="1:6" x14ac:dyDescent="0.25">
      <c r="A838" t="s">
        <v>1403</v>
      </c>
      <c r="B838" t="s">
        <v>328</v>
      </c>
      <c r="C838" t="s">
        <v>58</v>
      </c>
      <c r="D838" t="str">
        <f>HYPERLINK("http://service.sap.com/sap/support/notes/1525273","1525273")</f>
        <v>1525273</v>
      </c>
      <c r="E838">
        <v>2</v>
      </c>
      <c r="F838" t="s">
        <v>1105</v>
      </c>
    </row>
    <row r="839" spans="1:6" x14ac:dyDescent="0.25">
      <c r="A839" t="s">
        <v>1403</v>
      </c>
      <c r="B839" t="s">
        <v>328</v>
      </c>
      <c r="C839" t="s">
        <v>58</v>
      </c>
      <c r="D839" t="str">
        <f>HYPERLINK("http://service.sap.com/sap/support/notes/1525557","1525557")</f>
        <v>1525557</v>
      </c>
      <c r="E839">
        <v>1</v>
      </c>
      <c r="F839" t="s">
        <v>1106</v>
      </c>
    </row>
    <row r="840" spans="1:6" x14ac:dyDescent="0.25">
      <c r="A840" t="s">
        <v>1403</v>
      </c>
      <c r="B840" t="s">
        <v>328</v>
      </c>
      <c r="C840" t="s">
        <v>58</v>
      </c>
      <c r="D840" t="str">
        <f>HYPERLINK("http://service.sap.com/sap/support/notes/1526950","1526950")</f>
        <v>1526950</v>
      </c>
      <c r="E840">
        <v>1</v>
      </c>
      <c r="F840" t="s">
        <v>1107</v>
      </c>
    </row>
    <row r="841" spans="1:6" x14ac:dyDescent="0.25">
      <c r="A841" t="s">
        <v>1403</v>
      </c>
      <c r="B841" t="s">
        <v>328</v>
      </c>
      <c r="C841" t="s">
        <v>58</v>
      </c>
      <c r="D841" t="str">
        <f>HYPERLINK("http://service.sap.com/sap/support/notes/1528868","1528868")</f>
        <v>1528868</v>
      </c>
      <c r="E841">
        <v>1</v>
      </c>
      <c r="F841" t="s">
        <v>1108</v>
      </c>
    </row>
    <row r="842" spans="1:6" x14ac:dyDescent="0.25">
      <c r="A842" t="s">
        <v>1403</v>
      </c>
      <c r="B842" t="s">
        <v>328</v>
      </c>
      <c r="C842" t="s">
        <v>58</v>
      </c>
      <c r="D842" t="str">
        <f>HYPERLINK("http://service.sap.com/sap/support/notes/1529712","1529712")</f>
        <v>1529712</v>
      </c>
      <c r="E842">
        <v>1</v>
      </c>
      <c r="F842" t="s">
        <v>1109</v>
      </c>
    </row>
    <row r="843" spans="1:6" x14ac:dyDescent="0.25">
      <c r="A843" t="s">
        <v>1403</v>
      </c>
      <c r="B843" t="s">
        <v>328</v>
      </c>
      <c r="C843" t="s">
        <v>58</v>
      </c>
      <c r="D843" t="str">
        <f>HYPERLINK("http://service.sap.com/sap/support/notes/1529987","1529987")</f>
        <v>1529987</v>
      </c>
      <c r="E843">
        <v>2</v>
      </c>
      <c r="F843" t="s">
        <v>1110</v>
      </c>
    </row>
    <row r="844" spans="1:6" x14ac:dyDescent="0.25">
      <c r="A844" t="s">
        <v>1403</v>
      </c>
      <c r="B844" t="s">
        <v>328</v>
      </c>
      <c r="C844" t="s">
        <v>58</v>
      </c>
      <c r="D844" t="str">
        <f>HYPERLINK("http://service.sap.com/sap/support/notes/1531120","1531120")</f>
        <v>1531120</v>
      </c>
      <c r="E844">
        <v>1</v>
      </c>
      <c r="F844" t="s">
        <v>1111</v>
      </c>
    </row>
    <row r="845" spans="1:6" x14ac:dyDescent="0.25">
      <c r="A845" t="s">
        <v>1403</v>
      </c>
      <c r="B845" t="s">
        <v>328</v>
      </c>
      <c r="C845" t="s">
        <v>58</v>
      </c>
      <c r="D845" t="str">
        <f>HYPERLINK("http://service.sap.com/sap/support/notes/1531354","1531354")</f>
        <v>1531354</v>
      </c>
      <c r="E845">
        <v>2</v>
      </c>
      <c r="F845" t="s">
        <v>1112</v>
      </c>
    </row>
    <row r="846" spans="1:6" x14ac:dyDescent="0.25">
      <c r="A846" t="s">
        <v>1403</v>
      </c>
      <c r="B846" t="s">
        <v>328</v>
      </c>
      <c r="C846" t="s">
        <v>58</v>
      </c>
      <c r="D846" t="str">
        <f>HYPERLINK("http://service.sap.com/sap/support/notes/1531443","1531443")</f>
        <v>1531443</v>
      </c>
      <c r="E846">
        <v>1</v>
      </c>
      <c r="F846" t="s">
        <v>1113</v>
      </c>
    </row>
    <row r="847" spans="1:6" x14ac:dyDescent="0.25">
      <c r="A847" t="s">
        <v>1403</v>
      </c>
      <c r="B847" t="s">
        <v>328</v>
      </c>
      <c r="C847" t="s">
        <v>58</v>
      </c>
      <c r="D847" t="str">
        <f>HYPERLINK("http://service.sap.com/sap/support/notes/1531644","1531644")</f>
        <v>1531644</v>
      </c>
      <c r="E847">
        <v>1</v>
      </c>
      <c r="F847" t="s">
        <v>1114</v>
      </c>
    </row>
    <row r="848" spans="1:6" x14ac:dyDescent="0.25">
      <c r="A848" t="s">
        <v>1403</v>
      </c>
      <c r="B848" t="s">
        <v>328</v>
      </c>
      <c r="C848" t="s">
        <v>58</v>
      </c>
      <c r="D848" t="str">
        <f>HYPERLINK("http://service.sap.com/sap/support/notes/1531718","1531718")</f>
        <v>1531718</v>
      </c>
      <c r="E848">
        <v>1</v>
      </c>
      <c r="F848" t="s">
        <v>1115</v>
      </c>
    </row>
    <row r="849" spans="1:6" x14ac:dyDescent="0.25">
      <c r="A849" t="s">
        <v>1403</v>
      </c>
      <c r="B849" t="s">
        <v>328</v>
      </c>
      <c r="C849" t="s">
        <v>58</v>
      </c>
      <c r="D849" t="str">
        <f>HYPERLINK("http://service.sap.com/sap/support/notes/1532183","1532183")</f>
        <v>1532183</v>
      </c>
      <c r="E849">
        <v>2</v>
      </c>
      <c r="F849" t="s">
        <v>1116</v>
      </c>
    </row>
    <row r="850" spans="1:6" x14ac:dyDescent="0.25">
      <c r="A850" t="s">
        <v>1403</v>
      </c>
      <c r="B850" t="s">
        <v>343</v>
      </c>
      <c r="C850" t="s">
        <v>344</v>
      </c>
      <c r="D850" t="str">
        <f>HYPERLINK("http://service.sap.com/sap/support/notes/1129168","1129168")</f>
        <v>1129168</v>
      </c>
      <c r="E850">
        <v>1</v>
      </c>
      <c r="F850" t="s">
        <v>345</v>
      </c>
    </row>
    <row r="851" spans="1:6" x14ac:dyDescent="0.25">
      <c r="A851" t="s">
        <v>1403</v>
      </c>
      <c r="B851" t="s">
        <v>343</v>
      </c>
      <c r="C851" t="s">
        <v>344</v>
      </c>
      <c r="D851" t="str">
        <f>HYPERLINK("http://service.sap.com/sap/support/notes/1306680","1306680")</f>
        <v>1306680</v>
      </c>
      <c r="E851">
        <v>2</v>
      </c>
      <c r="F851" t="s">
        <v>1117</v>
      </c>
    </row>
    <row r="852" spans="1:6" x14ac:dyDescent="0.25">
      <c r="A852" t="s">
        <v>1403</v>
      </c>
      <c r="B852" t="s">
        <v>343</v>
      </c>
      <c r="C852" t="s">
        <v>344</v>
      </c>
      <c r="D852" t="str">
        <f>HYPERLINK("http://service.sap.com/sap/support/notes/1508044","1508044")</f>
        <v>1508044</v>
      </c>
      <c r="E852">
        <v>1</v>
      </c>
      <c r="F852" t="s">
        <v>1118</v>
      </c>
    </row>
    <row r="853" spans="1:6" x14ac:dyDescent="0.25">
      <c r="A853" t="s">
        <v>1403</v>
      </c>
      <c r="B853" t="s">
        <v>343</v>
      </c>
      <c r="C853" t="s">
        <v>344</v>
      </c>
      <c r="D853" t="str">
        <f>HYPERLINK("http://service.sap.com/sap/support/notes/1516365","1516365")</f>
        <v>1516365</v>
      </c>
      <c r="E853">
        <v>1</v>
      </c>
      <c r="F853" t="s">
        <v>346</v>
      </c>
    </row>
    <row r="854" spans="1:6" x14ac:dyDescent="0.25">
      <c r="A854" t="s">
        <v>1403</v>
      </c>
      <c r="B854" t="s">
        <v>343</v>
      </c>
      <c r="C854" t="s">
        <v>344</v>
      </c>
      <c r="D854" t="str">
        <f>HYPERLINK("http://service.sap.com/sap/support/notes/1528454","1528454")</f>
        <v>1528454</v>
      </c>
      <c r="E854">
        <v>1</v>
      </c>
      <c r="F854" t="s">
        <v>1119</v>
      </c>
    </row>
    <row r="855" spans="1:6" x14ac:dyDescent="0.25">
      <c r="A855" t="s">
        <v>1403</v>
      </c>
      <c r="B855" t="s">
        <v>343</v>
      </c>
      <c r="C855" t="s">
        <v>344</v>
      </c>
      <c r="D855" t="str">
        <f>HYPERLINK("http://service.sap.com/sap/support/notes/1532311","1532311")</f>
        <v>1532311</v>
      </c>
      <c r="E855">
        <v>1</v>
      </c>
      <c r="F855" t="s">
        <v>1120</v>
      </c>
    </row>
    <row r="856" spans="1:6" x14ac:dyDescent="0.25">
      <c r="A856" t="s">
        <v>1403</v>
      </c>
      <c r="B856" t="s">
        <v>1121</v>
      </c>
    </row>
    <row r="857" spans="1:6" x14ac:dyDescent="0.25">
      <c r="A857" t="s">
        <v>1403</v>
      </c>
      <c r="B857" t="s">
        <v>1122</v>
      </c>
      <c r="C857" t="s">
        <v>1123</v>
      </c>
      <c r="D857" t="str">
        <f>HYPERLINK("http://service.sap.com/sap/support/notes/1527492","1527492")</f>
        <v>1527492</v>
      </c>
      <c r="E857">
        <v>1</v>
      </c>
      <c r="F857" t="s">
        <v>1124</v>
      </c>
    </row>
    <row r="858" spans="1:6" x14ac:dyDescent="0.25">
      <c r="A858" t="s">
        <v>1403</v>
      </c>
      <c r="B858" t="s">
        <v>347</v>
      </c>
      <c r="C858" t="s">
        <v>153</v>
      </c>
      <c r="D858" t="str">
        <f>HYPERLINK("http://service.sap.com/sap/support/notes/1507192","1507192")</f>
        <v>1507192</v>
      </c>
      <c r="E858">
        <v>3</v>
      </c>
      <c r="F858" t="s">
        <v>1125</v>
      </c>
    </row>
    <row r="859" spans="1:6" x14ac:dyDescent="0.25">
      <c r="A859" t="s">
        <v>1403</v>
      </c>
      <c r="B859" t="s">
        <v>347</v>
      </c>
      <c r="C859" t="s">
        <v>153</v>
      </c>
      <c r="D859" t="str">
        <f>HYPERLINK("http://service.sap.com/sap/support/notes/1514725","1514725")</f>
        <v>1514725</v>
      </c>
      <c r="E859">
        <v>1</v>
      </c>
      <c r="F859" t="s">
        <v>1126</v>
      </c>
    </row>
    <row r="860" spans="1:6" x14ac:dyDescent="0.25">
      <c r="A860" t="s">
        <v>1403</v>
      </c>
      <c r="B860" t="s">
        <v>347</v>
      </c>
      <c r="C860" t="s">
        <v>153</v>
      </c>
      <c r="D860" t="str">
        <f>HYPERLINK("http://service.sap.com/sap/support/notes/1523085","1523085")</f>
        <v>1523085</v>
      </c>
      <c r="E860">
        <v>2</v>
      </c>
      <c r="F860" t="s">
        <v>1127</v>
      </c>
    </row>
    <row r="861" spans="1:6" x14ac:dyDescent="0.25">
      <c r="A861" t="s">
        <v>1403</v>
      </c>
      <c r="B861" t="s">
        <v>347</v>
      </c>
      <c r="C861" t="s">
        <v>153</v>
      </c>
      <c r="D861" t="str">
        <f>HYPERLINK("http://service.sap.com/sap/support/notes/1524836","1524836")</f>
        <v>1524836</v>
      </c>
      <c r="E861">
        <v>2</v>
      </c>
      <c r="F861" t="s">
        <v>1128</v>
      </c>
    </row>
    <row r="862" spans="1:6" x14ac:dyDescent="0.25">
      <c r="A862" t="s">
        <v>1403</v>
      </c>
      <c r="B862" t="s">
        <v>349</v>
      </c>
    </row>
    <row r="863" spans="1:6" x14ac:dyDescent="0.25">
      <c r="A863" t="s">
        <v>1403</v>
      </c>
      <c r="B863" t="s">
        <v>350</v>
      </c>
      <c r="C863" t="s">
        <v>351</v>
      </c>
      <c r="D863" t="str">
        <f>HYPERLINK("http://service.sap.com/sap/support/notes/1470420","1470420")</f>
        <v>1470420</v>
      </c>
      <c r="E863">
        <v>1</v>
      </c>
      <c r="F863" t="s">
        <v>1129</v>
      </c>
    </row>
    <row r="864" spans="1:6" x14ac:dyDescent="0.25">
      <c r="A864" t="s">
        <v>1403</v>
      </c>
      <c r="B864" t="s">
        <v>350</v>
      </c>
      <c r="C864" t="s">
        <v>351</v>
      </c>
      <c r="D864" t="str">
        <f>HYPERLINK("http://service.sap.com/sap/support/notes/1503797","1503797")</f>
        <v>1503797</v>
      </c>
      <c r="E864">
        <v>1</v>
      </c>
      <c r="F864" t="s">
        <v>1130</v>
      </c>
    </row>
    <row r="865" spans="1:6" x14ac:dyDescent="0.25">
      <c r="A865" t="s">
        <v>1403</v>
      </c>
      <c r="B865" t="s">
        <v>350</v>
      </c>
      <c r="C865" t="s">
        <v>351</v>
      </c>
      <c r="D865" t="str">
        <f>HYPERLINK("http://service.sap.com/sap/support/notes/1507595","1507595")</f>
        <v>1507595</v>
      </c>
      <c r="E865">
        <v>3</v>
      </c>
      <c r="F865" t="s">
        <v>1131</v>
      </c>
    </row>
    <row r="866" spans="1:6" x14ac:dyDescent="0.25">
      <c r="A866" t="s">
        <v>1403</v>
      </c>
      <c r="B866" t="s">
        <v>350</v>
      </c>
      <c r="C866" t="s">
        <v>351</v>
      </c>
      <c r="D866" t="str">
        <f>HYPERLINK("http://service.sap.com/sap/support/notes/1508482","1508482")</f>
        <v>1508482</v>
      </c>
      <c r="E866">
        <v>1</v>
      </c>
      <c r="F866" t="s">
        <v>1132</v>
      </c>
    </row>
    <row r="867" spans="1:6" x14ac:dyDescent="0.25">
      <c r="A867" t="s">
        <v>1403</v>
      </c>
      <c r="B867" t="s">
        <v>350</v>
      </c>
      <c r="C867" t="s">
        <v>351</v>
      </c>
      <c r="D867" t="str">
        <f>HYPERLINK("http://service.sap.com/sap/support/notes/1517892","1517892")</f>
        <v>1517892</v>
      </c>
      <c r="E867">
        <v>2</v>
      </c>
      <c r="F867" t="s">
        <v>1133</v>
      </c>
    </row>
    <row r="868" spans="1:6" x14ac:dyDescent="0.25">
      <c r="A868" t="s">
        <v>1403</v>
      </c>
      <c r="B868" t="s">
        <v>353</v>
      </c>
      <c r="C868" t="s">
        <v>354</v>
      </c>
      <c r="D868" t="str">
        <f>HYPERLINK("http://service.sap.com/sap/support/notes/1513753","1513753")</f>
        <v>1513753</v>
      </c>
      <c r="E868">
        <v>3</v>
      </c>
      <c r="F868" t="s">
        <v>355</v>
      </c>
    </row>
    <row r="869" spans="1:6" x14ac:dyDescent="0.25">
      <c r="A869" t="s">
        <v>1403</v>
      </c>
      <c r="B869" t="s">
        <v>353</v>
      </c>
      <c r="C869" t="s">
        <v>354</v>
      </c>
      <c r="D869" t="str">
        <f>HYPERLINK("http://service.sap.com/sap/support/notes/1522569","1522569")</f>
        <v>1522569</v>
      </c>
      <c r="E869">
        <v>2</v>
      </c>
      <c r="F869" t="s">
        <v>1134</v>
      </c>
    </row>
    <row r="870" spans="1:6" x14ac:dyDescent="0.25">
      <c r="A870" t="s">
        <v>1403</v>
      </c>
      <c r="B870" t="s">
        <v>353</v>
      </c>
      <c r="C870" t="s">
        <v>354</v>
      </c>
      <c r="D870" t="str">
        <f>HYPERLINK("http://service.sap.com/sap/support/notes/1528313","1528313")</f>
        <v>1528313</v>
      </c>
      <c r="E870">
        <v>2</v>
      </c>
      <c r="F870" t="s">
        <v>1135</v>
      </c>
    </row>
    <row r="871" spans="1:6" x14ac:dyDescent="0.25">
      <c r="A871" t="s">
        <v>1403</v>
      </c>
      <c r="B871" t="s">
        <v>358</v>
      </c>
      <c r="C871" t="s">
        <v>359</v>
      </c>
      <c r="D871" t="str">
        <f>HYPERLINK("http://service.sap.com/sap/support/notes/1523225","1523225")</f>
        <v>1523225</v>
      </c>
      <c r="E871">
        <v>2</v>
      </c>
      <c r="F871" t="s">
        <v>1136</v>
      </c>
    </row>
    <row r="872" spans="1:6" x14ac:dyDescent="0.25">
      <c r="A872" t="s">
        <v>1403</v>
      </c>
      <c r="B872" t="s">
        <v>358</v>
      </c>
      <c r="C872" t="s">
        <v>359</v>
      </c>
      <c r="D872" t="str">
        <f>HYPERLINK("http://service.sap.com/sap/support/notes/1526337","1526337")</f>
        <v>1526337</v>
      </c>
      <c r="E872">
        <v>1</v>
      </c>
      <c r="F872" t="s">
        <v>1137</v>
      </c>
    </row>
    <row r="873" spans="1:6" x14ac:dyDescent="0.25">
      <c r="A873" t="s">
        <v>1403</v>
      </c>
      <c r="B873" t="s">
        <v>358</v>
      </c>
      <c r="C873" t="s">
        <v>359</v>
      </c>
      <c r="D873" t="str">
        <f>HYPERLINK("http://service.sap.com/sap/support/notes/1526438","1526438")</f>
        <v>1526438</v>
      </c>
      <c r="E873">
        <v>2</v>
      </c>
      <c r="F873" t="s">
        <v>1138</v>
      </c>
    </row>
    <row r="874" spans="1:6" x14ac:dyDescent="0.25">
      <c r="A874" t="s">
        <v>1403</v>
      </c>
      <c r="B874" t="s">
        <v>358</v>
      </c>
      <c r="C874" t="s">
        <v>359</v>
      </c>
      <c r="D874" t="str">
        <f>HYPERLINK("http://service.sap.com/sap/support/notes/1526738","1526738")</f>
        <v>1526738</v>
      </c>
      <c r="E874">
        <v>2</v>
      </c>
      <c r="F874" t="s">
        <v>1139</v>
      </c>
    </row>
    <row r="875" spans="1:6" x14ac:dyDescent="0.25">
      <c r="A875" t="s">
        <v>1403</v>
      </c>
      <c r="B875" t="s">
        <v>358</v>
      </c>
      <c r="C875" t="s">
        <v>359</v>
      </c>
      <c r="D875" t="str">
        <f>HYPERLINK("http://service.sap.com/sap/support/notes/1527720","1527720")</f>
        <v>1527720</v>
      </c>
      <c r="E875">
        <v>2</v>
      </c>
      <c r="F875" t="s">
        <v>1140</v>
      </c>
    </row>
    <row r="876" spans="1:6" x14ac:dyDescent="0.25">
      <c r="A876" t="s">
        <v>1403</v>
      </c>
      <c r="B876" t="s">
        <v>363</v>
      </c>
      <c r="C876" t="s">
        <v>74</v>
      </c>
      <c r="D876" t="str">
        <f>HYPERLINK("http://service.sap.com/sap/support/notes/1453636","1453636")</f>
        <v>1453636</v>
      </c>
      <c r="E876">
        <v>1</v>
      </c>
      <c r="F876" t="s">
        <v>1141</v>
      </c>
    </row>
    <row r="877" spans="1:6" x14ac:dyDescent="0.25">
      <c r="A877" t="s">
        <v>1403</v>
      </c>
      <c r="B877" t="s">
        <v>363</v>
      </c>
      <c r="C877" t="s">
        <v>74</v>
      </c>
      <c r="D877" t="str">
        <f>HYPERLINK("http://service.sap.com/sap/support/notes/1455370","1455370")</f>
        <v>1455370</v>
      </c>
      <c r="E877">
        <v>1</v>
      </c>
      <c r="F877" t="s">
        <v>1142</v>
      </c>
    </row>
    <row r="878" spans="1:6" x14ac:dyDescent="0.25">
      <c r="A878" t="s">
        <v>1403</v>
      </c>
      <c r="B878" t="s">
        <v>363</v>
      </c>
      <c r="C878" t="s">
        <v>74</v>
      </c>
      <c r="D878" t="str">
        <f>HYPERLINK("http://service.sap.com/sap/support/notes/1461236","1461236")</f>
        <v>1461236</v>
      </c>
      <c r="E878">
        <v>2</v>
      </c>
      <c r="F878" t="s">
        <v>1143</v>
      </c>
    </row>
    <row r="879" spans="1:6" x14ac:dyDescent="0.25">
      <c r="A879" t="s">
        <v>1403</v>
      </c>
      <c r="B879" t="s">
        <v>363</v>
      </c>
      <c r="C879" t="s">
        <v>74</v>
      </c>
      <c r="D879" t="str">
        <f>HYPERLINK("http://service.sap.com/sap/support/notes/1466296","1466296")</f>
        <v>1466296</v>
      </c>
      <c r="E879">
        <v>1</v>
      </c>
      <c r="F879" t="s">
        <v>1144</v>
      </c>
    </row>
    <row r="880" spans="1:6" x14ac:dyDescent="0.25">
      <c r="A880" t="s">
        <v>1403</v>
      </c>
      <c r="B880" t="s">
        <v>363</v>
      </c>
      <c r="C880" t="s">
        <v>74</v>
      </c>
      <c r="D880" t="str">
        <f>HYPERLINK("http://service.sap.com/sap/support/notes/1471941","1471941")</f>
        <v>1471941</v>
      </c>
      <c r="E880">
        <v>5</v>
      </c>
      <c r="F880" t="s">
        <v>1145</v>
      </c>
    </row>
    <row r="881" spans="1:6" x14ac:dyDescent="0.25">
      <c r="A881" t="s">
        <v>1403</v>
      </c>
      <c r="B881" t="s">
        <v>363</v>
      </c>
      <c r="C881" t="s">
        <v>74</v>
      </c>
      <c r="D881" t="str">
        <f>HYPERLINK("http://service.sap.com/sap/support/notes/1473922","1473922")</f>
        <v>1473922</v>
      </c>
      <c r="E881">
        <v>2</v>
      </c>
      <c r="F881" t="s">
        <v>1146</v>
      </c>
    </row>
    <row r="882" spans="1:6" x14ac:dyDescent="0.25">
      <c r="A882" t="s">
        <v>1403</v>
      </c>
      <c r="B882" t="s">
        <v>363</v>
      </c>
      <c r="C882" t="s">
        <v>74</v>
      </c>
      <c r="D882" t="str">
        <f>HYPERLINK("http://service.sap.com/sap/support/notes/1479042","1479042")</f>
        <v>1479042</v>
      </c>
      <c r="E882">
        <v>2</v>
      </c>
      <c r="F882" t="s">
        <v>1147</v>
      </c>
    </row>
    <row r="883" spans="1:6" x14ac:dyDescent="0.25">
      <c r="A883" t="s">
        <v>1403</v>
      </c>
      <c r="B883" t="s">
        <v>363</v>
      </c>
      <c r="C883" t="s">
        <v>74</v>
      </c>
      <c r="D883" t="str">
        <f>HYPERLINK("http://service.sap.com/sap/support/notes/1486951","1486951")</f>
        <v>1486951</v>
      </c>
      <c r="E883">
        <v>1</v>
      </c>
      <c r="F883" t="s">
        <v>1148</v>
      </c>
    </row>
    <row r="884" spans="1:6" x14ac:dyDescent="0.25">
      <c r="A884" t="s">
        <v>1403</v>
      </c>
      <c r="B884" t="s">
        <v>363</v>
      </c>
      <c r="C884" t="s">
        <v>74</v>
      </c>
      <c r="D884" t="str">
        <f>HYPERLINK("http://service.sap.com/sap/support/notes/1488383","1488383")</f>
        <v>1488383</v>
      </c>
      <c r="E884">
        <v>1</v>
      </c>
      <c r="F884" t="s">
        <v>1149</v>
      </c>
    </row>
    <row r="885" spans="1:6" x14ac:dyDescent="0.25">
      <c r="A885" t="s">
        <v>1403</v>
      </c>
      <c r="B885" t="s">
        <v>363</v>
      </c>
      <c r="C885" t="s">
        <v>74</v>
      </c>
      <c r="D885" t="str">
        <f>HYPERLINK("http://service.sap.com/sap/support/notes/1492266","1492266")</f>
        <v>1492266</v>
      </c>
      <c r="E885">
        <v>4</v>
      </c>
      <c r="F885" t="s">
        <v>1150</v>
      </c>
    </row>
    <row r="886" spans="1:6" x14ac:dyDescent="0.25">
      <c r="A886" t="s">
        <v>1403</v>
      </c>
      <c r="B886" t="s">
        <v>363</v>
      </c>
      <c r="C886" t="s">
        <v>74</v>
      </c>
      <c r="D886" t="str">
        <f>HYPERLINK("http://service.sap.com/sap/support/notes/1501342","1501342")</f>
        <v>1501342</v>
      </c>
      <c r="E886">
        <v>2</v>
      </c>
      <c r="F886" t="s">
        <v>1151</v>
      </c>
    </row>
    <row r="887" spans="1:6" x14ac:dyDescent="0.25">
      <c r="A887" t="s">
        <v>1403</v>
      </c>
      <c r="B887" t="s">
        <v>363</v>
      </c>
      <c r="C887" t="s">
        <v>74</v>
      </c>
      <c r="D887" t="str">
        <f>HYPERLINK("http://service.sap.com/sap/support/notes/1501575","1501575")</f>
        <v>1501575</v>
      </c>
      <c r="E887">
        <v>4</v>
      </c>
      <c r="F887" t="s">
        <v>1152</v>
      </c>
    </row>
    <row r="888" spans="1:6" x14ac:dyDescent="0.25">
      <c r="A888" t="s">
        <v>1403</v>
      </c>
      <c r="B888" t="s">
        <v>363</v>
      </c>
      <c r="C888" t="s">
        <v>74</v>
      </c>
      <c r="D888" t="str">
        <f>HYPERLINK("http://service.sap.com/sap/support/notes/1506607","1506607")</f>
        <v>1506607</v>
      </c>
      <c r="E888">
        <v>2</v>
      </c>
      <c r="F888" t="s">
        <v>1153</v>
      </c>
    </row>
    <row r="889" spans="1:6" x14ac:dyDescent="0.25">
      <c r="A889" t="s">
        <v>1403</v>
      </c>
      <c r="B889" t="s">
        <v>363</v>
      </c>
      <c r="C889" t="s">
        <v>74</v>
      </c>
      <c r="D889" t="str">
        <f>HYPERLINK("http://service.sap.com/sap/support/notes/1507799","1507799")</f>
        <v>1507799</v>
      </c>
      <c r="E889">
        <v>1</v>
      </c>
      <c r="F889" t="s">
        <v>1154</v>
      </c>
    </row>
    <row r="890" spans="1:6" x14ac:dyDescent="0.25">
      <c r="A890" t="s">
        <v>1403</v>
      </c>
      <c r="B890" t="s">
        <v>363</v>
      </c>
      <c r="C890" t="s">
        <v>74</v>
      </c>
      <c r="D890" t="str">
        <f>HYPERLINK("http://service.sap.com/sap/support/notes/1515316","1515316")</f>
        <v>1515316</v>
      </c>
      <c r="E890">
        <v>2</v>
      </c>
      <c r="F890" t="s">
        <v>369</v>
      </c>
    </row>
    <row r="891" spans="1:6" x14ac:dyDescent="0.25">
      <c r="A891" t="s">
        <v>1403</v>
      </c>
      <c r="B891" t="s">
        <v>363</v>
      </c>
      <c r="C891" t="s">
        <v>74</v>
      </c>
      <c r="D891" t="str">
        <f>HYPERLINK("http://service.sap.com/sap/support/notes/1518114","1518114")</f>
        <v>1518114</v>
      </c>
      <c r="E891">
        <v>1</v>
      </c>
      <c r="F891" t="s">
        <v>1155</v>
      </c>
    </row>
    <row r="892" spans="1:6" x14ac:dyDescent="0.25">
      <c r="A892" t="s">
        <v>1403</v>
      </c>
      <c r="B892" t="s">
        <v>363</v>
      </c>
      <c r="C892" t="s">
        <v>74</v>
      </c>
      <c r="D892" t="str">
        <f>HYPERLINK("http://service.sap.com/sap/support/notes/1520797","1520797")</f>
        <v>1520797</v>
      </c>
      <c r="E892">
        <v>3</v>
      </c>
      <c r="F892" t="s">
        <v>1156</v>
      </c>
    </row>
    <row r="893" spans="1:6" x14ac:dyDescent="0.25">
      <c r="A893" t="s">
        <v>1403</v>
      </c>
      <c r="B893" t="s">
        <v>363</v>
      </c>
      <c r="C893" t="s">
        <v>74</v>
      </c>
      <c r="D893" t="str">
        <f>HYPERLINK("http://service.sap.com/sap/support/notes/1521202","1521202")</f>
        <v>1521202</v>
      </c>
      <c r="E893">
        <v>1</v>
      </c>
      <c r="F893" t="s">
        <v>1157</v>
      </c>
    </row>
    <row r="894" spans="1:6" x14ac:dyDescent="0.25">
      <c r="A894" t="s">
        <v>1403</v>
      </c>
      <c r="B894" t="s">
        <v>363</v>
      </c>
      <c r="C894" t="s">
        <v>74</v>
      </c>
      <c r="D894" t="str">
        <f>HYPERLINK("http://service.sap.com/sap/support/notes/1521213","1521213")</f>
        <v>1521213</v>
      </c>
      <c r="E894">
        <v>1</v>
      </c>
      <c r="F894" t="s">
        <v>1158</v>
      </c>
    </row>
    <row r="895" spans="1:6" x14ac:dyDescent="0.25">
      <c r="A895" t="s">
        <v>1403</v>
      </c>
      <c r="B895" t="s">
        <v>363</v>
      </c>
      <c r="C895" t="s">
        <v>74</v>
      </c>
      <c r="D895" t="str">
        <f>HYPERLINK("http://service.sap.com/sap/support/notes/1524692","1524692")</f>
        <v>1524692</v>
      </c>
      <c r="E895">
        <v>2</v>
      </c>
      <c r="F895" t="s">
        <v>1159</v>
      </c>
    </row>
    <row r="896" spans="1:6" x14ac:dyDescent="0.25">
      <c r="A896" t="s">
        <v>1403</v>
      </c>
      <c r="B896" t="s">
        <v>363</v>
      </c>
      <c r="C896" t="s">
        <v>74</v>
      </c>
      <c r="D896" t="str">
        <f>HYPERLINK("http://service.sap.com/sap/support/notes/1527236","1527236")</f>
        <v>1527236</v>
      </c>
      <c r="E896">
        <v>1</v>
      </c>
      <c r="F896" t="s">
        <v>1160</v>
      </c>
    </row>
    <row r="897" spans="1:6" x14ac:dyDescent="0.25">
      <c r="A897" t="s">
        <v>1403</v>
      </c>
      <c r="B897" t="s">
        <v>363</v>
      </c>
      <c r="C897" t="s">
        <v>74</v>
      </c>
      <c r="D897" t="str">
        <f>HYPERLINK("http://service.sap.com/sap/support/notes/1528165","1528165")</f>
        <v>1528165</v>
      </c>
      <c r="E897">
        <v>1</v>
      </c>
      <c r="F897" t="s">
        <v>1161</v>
      </c>
    </row>
    <row r="898" spans="1:6" x14ac:dyDescent="0.25">
      <c r="A898" t="s">
        <v>1403</v>
      </c>
      <c r="B898" t="s">
        <v>363</v>
      </c>
      <c r="C898" t="s">
        <v>74</v>
      </c>
      <c r="D898" t="str">
        <f>HYPERLINK("http://service.sap.com/sap/support/notes/1529637","1529637")</f>
        <v>1529637</v>
      </c>
      <c r="E898">
        <v>1</v>
      </c>
      <c r="F898" t="s">
        <v>1162</v>
      </c>
    </row>
    <row r="899" spans="1:6" x14ac:dyDescent="0.25">
      <c r="A899" t="s">
        <v>1403</v>
      </c>
      <c r="B899" t="s">
        <v>371</v>
      </c>
      <c r="C899" t="s">
        <v>372</v>
      </c>
      <c r="D899" t="str">
        <f>HYPERLINK("http://service.sap.com/sap/support/notes/1487460","1487460")</f>
        <v>1487460</v>
      </c>
      <c r="E899">
        <v>1</v>
      </c>
      <c r="F899" t="s">
        <v>373</v>
      </c>
    </row>
    <row r="900" spans="1:6" x14ac:dyDescent="0.25">
      <c r="A900" t="s">
        <v>1403</v>
      </c>
      <c r="B900" t="s">
        <v>374</v>
      </c>
      <c r="C900" t="s">
        <v>77</v>
      </c>
      <c r="D900" t="str">
        <f>HYPERLINK("http://service.sap.com/sap/support/notes/1458287","1458287")</f>
        <v>1458287</v>
      </c>
      <c r="E900">
        <v>3</v>
      </c>
      <c r="F900" t="s">
        <v>1163</v>
      </c>
    </row>
    <row r="901" spans="1:6" x14ac:dyDescent="0.25">
      <c r="A901" t="s">
        <v>1403</v>
      </c>
      <c r="B901" t="s">
        <v>374</v>
      </c>
      <c r="C901" t="s">
        <v>77</v>
      </c>
      <c r="D901" t="str">
        <f>HYPERLINK("http://service.sap.com/sap/support/notes/1483814","1483814")</f>
        <v>1483814</v>
      </c>
      <c r="E901">
        <v>5</v>
      </c>
      <c r="F901" t="s">
        <v>1164</v>
      </c>
    </row>
    <row r="902" spans="1:6" x14ac:dyDescent="0.25">
      <c r="A902" t="s">
        <v>1403</v>
      </c>
      <c r="B902" t="s">
        <v>374</v>
      </c>
      <c r="C902" t="s">
        <v>77</v>
      </c>
      <c r="D902" t="str">
        <f>HYPERLINK("http://service.sap.com/sap/support/notes/1499672","1499672")</f>
        <v>1499672</v>
      </c>
      <c r="E902">
        <v>1</v>
      </c>
      <c r="F902" t="s">
        <v>1165</v>
      </c>
    </row>
    <row r="903" spans="1:6" x14ac:dyDescent="0.25">
      <c r="A903" t="s">
        <v>1403</v>
      </c>
      <c r="B903" t="s">
        <v>374</v>
      </c>
      <c r="C903" t="s">
        <v>77</v>
      </c>
      <c r="D903" t="str">
        <f>HYPERLINK("http://service.sap.com/sap/support/notes/1513188","1513188")</f>
        <v>1513188</v>
      </c>
      <c r="E903">
        <v>2</v>
      </c>
      <c r="F903" t="s">
        <v>1166</v>
      </c>
    </row>
    <row r="904" spans="1:6" x14ac:dyDescent="0.25">
      <c r="A904" t="s">
        <v>1403</v>
      </c>
      <c r="B904" t="s">
        <v>374</v>
      </c>
      <c r="C904" t="s">
        <v>77</v>
      </c>
      <c r="D904" t="str">
        <f>HYPERLINK("http://service.sap.com/sap/support/notes/1516875","1516875")</f>
        <v>1516875</v>
      </c>
      <c r="E904">
        <v>3</v>
      </c>
      <c r="F904" t="s">
        <v>1167</v>
      </c>
    </row>
    <row r="905" spans="1:6" x14ac:dyDescent="0.25">
      <c r="A905" t="s">
        <v>1403</v>
      </c>
      <c r="B905" t="s">
        <v>374</v>
      </c>
      <c r="C905" t="s">
        <v>77</v>
      </c>
      <c r="D905" t="str">
        <f>HYPERLINK("http://service.sap.com/sap/support/notes/1517421","1517421")</f>
        <v>1517421</v>
      </c>
      <c r="E905">
        <v>2</v>
      </c>
      <c r="F905" t="s">
        <v>1168</v>
      </c>
    </row>
    <row r="906" spans="1:6" x14ac:dyDescent="0.25">
      <c r="A906" t="s">
        <v>1403</v>
      </c>
      <c r="B906" t="s">
        <v>374</v>
      </c>
      <c r="C906" t="s">
        <v>77</v>
      </c>
      <c r="D906" t="str">
        <f>HYPERLINK("http://service.sap.com/sap/support/notes/1518531","1518531")</f>
        <v>1518531</v>
      </c>
      <c r="E906">
        <v>1</v>
      </c>
      <c r="F906" t="s">
        <v>1169</v>
      </c>
    </row>
    <row r="907" spans="1:6" x14ac:dyDescent="0.25">
      <c r="A907" t="s">
        <v>1403</v>
      </c>
      <c r="B907" t="s">
        <v>374</v>
      </c>
      <c r="C907" t="s">
        <v>77</v>
      </c>
      <c r="D907" t="str">
        <f>HYPERLINK("http://service.sap.com/sap/support/notes/1519513","1519513")</f>
        <v>1519513</v>
      </c>
      <c r="E907">
        <v>2</v>
      </c>
      <c r="F907" t="s">
        <v>1170</v>
      </c>
    </row>
    <row r="908" spans="1:6" x14ac:dyDescent="0.25">
      <c r="A908" t="s">
        <v>1403</v>
      </c>
      <c r="B908" t="s">
        <v>374</v>
      </c>
      <c r="C908" t="s">
        <v>77</v>
      </c>
      <c r="D908" t="str">
        <f>HYPERLINK("http://service.sap.com/sap/support/notes/1521145","1521145")</f>
        <v>1521145</v>
      </c>
      <c r="E908">
        <v>2</v>
      </c>
      <c r="F908" t="s">
        <v>1171</v>
      </c>
    </row>
    <row r="909" spans="1:6" x14ac:dyDescent="0.25">
      <c r="A909" t="s">
        <v>1403</v>
      </c>
      <c r="B909" t="s">
        <v>374</v>
      </c>
      <c r="C909" t="s">
        <v>77</v>
      </c>
      <c r="D909" t="str">
        <f>HYPERLINK("http://service.sap.com/sap/support/notes/1524490","1524490")</f>
        <v>1524490</v>
      </c>
      <c r="E909">
        <v>1</v>
      </c>
      <c r="F909" t="s">
        <v>1172</v>
      </c>
    </row>
    <row r="910" spans="1:6" x14ac:dyDescent="0.25">
      <c r="A910" t="s">
        <v>1403</v>
      </c>
      <c r="B910" t="s">
        <v>374</v>
      </c>
      <c r="C910" t="s">
        <v>77</v>
      </c>
      <c r="D910" t="str">
        <f>HYPERLINK("http://service.sap.com/sap/support/notes/1524515","1524515")</f>
        <v>1524515</v>
      </c>
      <c r="E910">
        <v>1</v>
      </c>
      <c r="F910" t="s">
        <v>1173</v>
      </c>
    </row>
    <row r="911" spans="1:6" x14ac:dyDescent="0.25">
      <c r="A911" t="s">
        <v>1403</v>
      </c>
      <c r="B911" t="s">
        <v>374</v>
      </c>
      <c r="C911" t="s">
        <v>77</v>
      </c>
      <c r="D911" t="str">
        <f>HYPERLINK("http://service.sap.com/sap/support/notes/1525642","1525642")</f>
        <v>1525642</v>
      </c>
      <c r="E911">
        <v>1</v>
      </c>
      <c r="F911" t="s">
        <v>1174</v>
      </c>
    </row>
    <row r="912" spans="1:6" x14ac:dyDescent="0.25">
      <c r="A912" t="s">
        <v>1403</v>
      </c>
      <c r="B912" t="s">
        <v>374</v>
      </c>
      <c r="C912" t="s">
        <v>77</v>
      </c>
      <c r="D912" t="str">
        <f>HYPERLINK("http://service.sap.com/sap/support/notes/1528095","1528095")</f>
        <v>1528095</v>
      </c>
      <c r="E912">
        <v>3</v>
      </c>
      <c r="F912" t="s">
        <v>1175</v>
      </c>
    </row>
    <row r="913" spans="1:6" x14ac:dyDescent="0.25">
      <c r="A913" t="s">
        <v>1403</v>
      </c>
      <c r="B913" t="s">
        <v>374</v>
      </c>
      <c r="C913" t="s">
        <v>77</v>
      </c>
      <c r="D913" t="str">
        <f>HYPERLINK("http://service.sap.com/sap/support/notes/1531483","1531483")</f>
        <v>1531483</v>
      </c>
      <c r="E913">
        <v>1</v>
      </c>
      <c r="F913" t="s">
        <v>1176</v>
      </c>
    </row>
    <row r="914" spans="1:6" x14ac:dyDescent="0.25">
      <c r="A914" t="s">
        <v>1403</v>
      </c>
      <c r="B914" t="s">
        <v>1177</v>
      </c>
      <c r="C914" t="s">
        <v>1178</v>
      </c>
      <c r="D914" t="str">
        <f>HYPERLINK("http://service.sap.com/sap/support/notes/1523252","1523252")</f>
        <v>1523252</v>
      </c>
      <c r="E914">
        <v>2</v>
      </c>
      <c r="F914" t="s">
        <v>1179</v>
      </c>
    </row>
    <row r="915" spans="1:6" x14ac:dyDescent="0.25">
      <c r="A915" t="s">
        <v>1403</v>
      </c>
      <c r="B915" t="s">
        <v>379</v>
      </c>
      <c r="C915" t="s">
        <v>80</v>
      </c>
      <c r="D915" t="str">
        <f>HYPERLINK("http://service.sap.com/sap/support/notes/1455582","1455582")</f>
        <v>1455582</v>
      </c>
      <c r="E915">
        <v>1</v>
      </c>
      <c r="F915" t="s">
        <v>1180</v>
      </c>
    </row>
    <row r="916" spans="1:6" x14ac:dyDescent="0.25">
      <c r="A916" t="s">
        <v>1403</v>
      </c>
      <c r="B916" t="s">
        <v>379</v>
      </c>
      <c r="C916" t="s">
        <v>80</v>
      </c>
      <c r="D916" t="str">
        <f>HYPERLINK("http://service.sap.com/sap/support/notes/1520743","1520743")</f>
        <v>1520743</v>
      </c>
      <c r="E916">
        <v>3</v>
      </c>
      <c r="F916" t="s">
        <v>1181</v>
      </c>
    </row>
    <row r="917" spans="1:6" x14ac:dyDescent="0.25">
      <c r="A917" t="s">
        <v>1403</v>
      </c>
      <c r="B917" t="s">
        <v>379</v>
      </c>
      <c r="C917" t="s">
        <v>80</v>
      </c>
      <c r="D917" t="str">
        <f>HYPERLINK("http://service.sap.com/sap/support/notes/1521686","1521686")</f>
        <v>1521686</v>
      </c>
      <c r="E917">
        <v>1</v>
      </c>
      <c r="F917" t="s">
        <v>1182</v>
      </c>
    </row>
    <row r="918" spans="1:6" x14ac:dyDescent="0.25">
      <c r="A918" t="s">
        <v>1403</v>
      </c>
      <c r="B918" t="s">
        <v>379</v>
      </c>
      <c r="C918" t="s">
        <v>80</v>
      </c>
      <c r="D918" t="str">
        <f>HYPERLINK("http://service.sap.com/sap/support/notes/1522588","1522588")</f>
        <v>1522588</v>
      </c>
      <c r="E918">
        <v>1</v>
      </c>
      <c r="F918" t="s">
        <v>1183</v>
      </c>
    </row>
    <row r="919" spans="1:6" x14ac:dyDescent="0.25">
      <c r="A919" t="s">
        <v>1403</v>
      </c>
      <c r="B919" t="s">
        <v>379</v>
      </c>
      <c r="C919" t="s">
        <v>80</v>
      </c>
      <c r="D919" t="str">
        <f>HYPERLINK("http://service.sap.com/sap/support/notes/1522644","1522644")</f>
        <v>1522644</v>
      </c>
      <c r="E919">
        <v>3</v>
      </c>
      <c r="F919" t="s">
        <v>1184</v>
      </c>
    </row>
    <row r="920" spans="1:6" x14ac:dyDescent="0.25">
      <c r="A920" t="s">
        <v>1403</v>
      </c>
      <c r="B920" t="s">
        <v>379</v>
      </c>
      <c r="C920" t="s">
        <v>80</v>
      </c>
      <c r="D920" t="str">
        <f>HYPERLINK("http://service.sap.com/sap/support/notes/1524602","1524602")</f>
        <v>1524602</v>
      </c>
      <c r="E920">
        <v>1</v>
      </c>
      <c r="F920" t="s">
        <v>1185</v>
      </c>
    </row>
    <row r="921" spans="1:6" x14ac:dyDescent="0.25">
      <c r="A921" t="s">
        <v>1403</v>
      </c>
      <c r="B921" t="s">
        <v>379</v>
      </c>
      <c r="C921" t="s">
        <v>80</v>
      </c>
      <c r="D921" t="str">
        <f>HYPERLINK("http://service.sap.com/sap/support/notes/1525158","1525158")</f>
        <v>1525158</v>
      </c>
      <c r="E921">
        <v>1</v>
      </c>
      <c r="F921" t="s">
        <v>1186</v>
      </c>
    </row>
    <row r="922" spans="1:6" x14ac:dyDescent="0.25">
      <c r="A922" t="s">
        <v>1403</v>
      </c>
      <c r="B922" t="s">
        <v>379</v>
      </c>
      <c r="C922" t="s">
        <v>80</v>
      </c>
      <c r="D922" t="str">
        <f>HYPERLINK("http://service.sap.com/sap/support/notes/1527611","1527611")</f>
        <v>1527611</v>
      </c>
      <c r="E922">
        <v>1</v>
      </c>
      <c r="F922" t="s">
        <v>1187</v>
      </c>
    </row>
    <row r="923" spans="1:6" x14ac:dyDescent="0.25">
      <c r="A923" t="s">
        <v>1403</v>
      </c>
      <c r="B923" t="s">
        <v>379</v>
      </c>
      <c r="C923" t="s">
        <v>80</v>
      </c>
      <c r="D923" t="str">
        <f>HYPERLINK("http://service.sap.com/sap/support/notes/1530304","1530304")</f>
        <v>1530304</v>
      </c>
      <c r="E923">
        <v>1</v>
      </c>
      <c r="F923" t="s">
        <v>1188</v>
      </c>
    </row>
    <row r="924" spans="1:6" x14ac:dyDescent="0.25">
      <c r="A924" t="s">
        <v>1403</v>
      </c>
      <c r="B924" t="s">
        <v>379</v>
      </c>
      <c r="C924" t="s">
        <v>80</v>
      </c>
      <c r="D924" t="str">
        <f>HYPERLINK("http://service.sap.com/sap/support/notes/1531051","1531051")</f>
        <v>1531051</v>
      </c>
      <c r="E924">
        <v>1</v>
      </c>
      <c r="F924" t="s">
        <v>1189</v>
      </c>
    </row>
    <row r="925" spans="1:6" x14ac:dyDescent="0.25">
      <c r="A925" t="s">
        <v>1403</v>
      </c>
      <c r="B925" t="s">
        <v>386</v>
      </c>
      <c r="C925" t="s">
        <v>299</v>
      </c>
      <c r="D925" t="str">
        <f>HYPERLINK("http://service.sap.com/sap/support/notes/1525913","1525913")</f>
        <v>1525913</v>
      </c>
      <c r="E925">
        <v>1</v>
      </c>
      <c r="F925" t="s">
        <v>1190</v>
      </c>
    </row>
    <row r="926" spans="1:6" x14ac:dyDescent="0.25">
      <c r="A926" t="s">
        <v>1403</v>
      </c>
      <c r="B926" t="s">
        <v>388</v>
      </c>
      <c r="C926" t="s">
        <v>87</v>
      </c>
      <c r="D926" t="str">
        <f>HYPERLINK("http://service.sap.com/sap/support/notes/1224058","1224058")</f>
        <v>1224058</v>
      </c>
      <c r="E926">
        <v>1</v>
      </c>
      <c r="F926" t="s">
        <v>389</v>
      </c>
    </row>
    <row r="927" spans="1:6" x14ac:dyDescent="0.25">
      <c r="A927" t="s">
        <v>1403</v>
      </c>
      <c r="B927" t="s">
        <v>388</v>
      </c>
      <c r="C927" t="s">
        <v>87</v>
      </c>
      <c r="D927" t="str">
        <f>HYPERLINK("http://service.sap.com/sap/support/notes/1502889","1502889")</f>
        <v>1502889</v>
      </c>
      <c r="E927">
        <v>1</v>
      </c>
      <c r="F927" t="s">
        <v>390</v>
      </c>
    </row>
    <row r="928" spans="1:6" x14ac:dyDescent="0.25">
      <c r="A928" t="s">
        <v>1403</v>
      </c>
      <c r="B928" t="s">
        <v>388</v>
      </c>
      <c r="C928" t="s">
        <v>87</v>
      </c>
      <c r="D928" t="str">
        <f>HYPERLINK("http://service.sap.com/sap/support/notes/1522582","1522582")</f>
        <v>1522582</v>
      </c>
      <c r="E928">
        <v>1</v>
      </c>
      <c r="F928" t="s">
        <v>1191</v>
      </c>
    </row>
    <row r="929" spans="1:6" x14ac:dyDescent="0.25">
      <c r="A929" t="s">
        <v>1403</v>
      </c>
      <c r="B929" t="s">
        <v>388</v>
      </c>
      <c r="C929" t="s">
        <v>87</v>
      </c>
      <c r="D929" t="str">
        <f>HYPERLINK("http://service.sap.com/sap/support/notes/1527160","1527160")</f>
        <v>1527160</v>
      </c>
      <c r="E929">
        <v>4</v>
      </c>
      <c r="F929" t="s">
        <v>1192</v>
      </c>
    </row>
    <row r="930" spans="1:6" x14ac:dyDescent="0.25">
      <c r="A930" t="s">
        <v>1403</v>
      </c>
      <c r="B930" t="s">
        <v>396</v>
      </c>
      <c r="C930" t="s">
        <v>397</v>
      </c>
      <c r="D930" t="str">
        <f>HYPERLINK("http://service.sap.com/sap/support/notes/1120553","1120553")</f>
        <v>1120553</v>
      </c>
      <c r="E930">
        <v>3</v>
      </c>
      <c r="F930" t="s">
        <v>1193</v>
      </c>
    </row>
    <row r="931" spans="1:6" x14ac:dyDescent="0.25">
      <c r="A931" t="s">
        <v>1403</v>
      </c>
      <c r="B931" t="s">
        <v>396</v>
      </c>
      <c r="C931" t="s">
        <v>397</v>
      </c>
      <c r="D931" t="str">
        <f>HYPERLINK("http://service.sap.com/sap/support/notes/1478970","1478970")</f>
        <v>1478970</v>
      </c>
      <c r="E931">
        <v>3</v>
      </c>
      <c r="F931" t="s">
        <v>1194</v>
      </c>
    </row>
    <row r="932" spans="1:6" x14ac:dyDescent="0.25">
      <c r="A932" t="s">
        <v>1403</v>
      </c>
      <c r="B932" t="s">
        <v>396</v>
      </c>
      <c r="C932" t="s">
        <v>397</v>
      </c>
      <c r="D932" t="str">
        <f>HYPERLINK("http://service.sap.com/sap/support/notes/1501942","1501942")</f>
        <v>1501942</v>
      </c>
      <c r="E932">
        <v>3</v>
      </c>
      <c r="F932" t="s">
        <v>1195</v>
      </c>
    </row>
    <row r="933" spans="1:6" x14ac:dyDescent="0.25">
      <c r="A933" t="s">
        <v>1403</v>
      </c>
      <c r="B933" t="s">
        <v>396</v>
      </c>
      <c r="C933" t="s">
        <v>397</v>
      </c>
      <c r="D933" t="str">
        <f>HYPERLINK("http://service.sap.com/sap/support/notes/1503743","1503743")</f>
        <v>1503743</v>
      </c>
      <c r="E933">
        <v>2</v>
      </c>
      <c r="F933" t="s">
        <v>1196</v>
      </c>
    </row>
    <row r="934" spans="1:6" x14ac:dyDescent="0.25">
      <c r="A934" t="s">
        <v>1403</v>
      </c>
      <c r="B934" t="s">
        <v>396</v>
      </c>
      <c r="C934" t="s">
        <v>397</v>
      </c>
      <c r="D934" t="str">
        <f>HYPERLINK("http://service.sap.com/sap/support/notes/1510843","1510843")</f>
        <v>1510843</v>
      </c>
      <c r="E934">
        <v>2</v>
      </c>
      <c r="F934" t="s">
        <v>1197</v>
      </c>
    </row>
    <row r="935" spans="1:6" x14ac:dyDescent="0.25">
      <c r="A935" t="s">
        <v>1403</v>
      </c>
      <c r="B935" t="s">
        <v>396</v>
      </c>
      <c r="C935" t="s">
        <v>397</v>
      </c>
      <c r="D935" t="str">
        <f>HYPERLINK("http://service.sap.com/sap/support/notes/1517545","1517545")</f>
        <v>1517545</v>
      </c>
      <c r="E935">
        <v>2</v>
      </c>
      <c r="F935" t="s">
        <v>1198</v>
      </c>
    </row>
    <row r="936" spans="1:6" x14ac:dyDescent="0.25">
      <c r="A936" t="s">
        <v>1403</v>
      </c>
      <c r="B936" t="s">
        <v>396</v>
      </c>
      <c r="C936" t="s">
        <v>397</v>
      </c>
      <c r="D936" t="str">
        <f>HYPERLINK("http://service.sap.com/sap/support/notes/1521382","1521382")</f>
        <v>1521382</v>
      </c>
      <c r="E936">
        <v>2</v>
      </c>
      <c r="F936" t="s">
        <v>1199</v>
      </c>
    </row>
    <row r="937" spans="1:6" x14ac:dyDescent="0.25">
      <c r="A937" t="s">
        <v>1403</v>
      </c>
      <c r="B937" t="s">
        <v>396</v>
      </c>
      <c r="C937" t="s">
        <v>397</v>
      </c>
      <c r="D937" t="str">
        <f>HYPERLINK("http://service.sap.com/sap/support/notes/1522931","1522931")</f>
        <v>1522931</v>
      </c>
      <c r="E937">
        <v>3</v>
      </c>
      <c r="F937" t="s">
        <v>1200</v>
      </c>
    </row>
    <row r="938" spans="1:6" x14ac:dyDescent="0.25">
      <c r="A938" t="s">
        <v>1403</v>
      </c>
      <c r="B938" t="s">
        <v>396</v>
      </c>
      <c r="C938" t="s">
        <v>397</v>
      </c>
      <c r="D938" t="str">
        <f>HYPERLINK("http://service.sap.com/sap/support/notes/1531662","1531662")</f>
        <v>1531662</v>
      </c>
      <c r="E938">
        <v>2</v>
      </c>
      <c r="F938" t="s">
        <v>1201</v>
      </c>
    </row>
    <row r="939" spans="1:6" x14ac:dyDescent="0.25">
      <c r="A939" t="s">
        <v>1403</v>
      </c>
      <c r="B939" t="s">
        <v>1202</v>
      </c>
      <c r="C939" t="s">
        <v>1203</v>
      </c>
      <c r="D939" t="str">
        <f>HYPERLINK("http://service.sap.com/sap/support/notes/1532835","1532835")</f>
        <v>1532835</v>
      </c>
      <c r="E939">
        <v>1</v>
      </c>
      <c r="F939" t="s">
        <v>1204</v>
      </c>
    </row>
    <row r="940" spans="1:6" x14ac:dyDescent="0.25">
      <c r="A940" t="s">
        <v>1403</v>
      </c>
      <c r="B940" t="s">
        <v>401</v>
      </c>
      <c r="C940" t="s">
        <v>402</v>
      </c>
      <c r="D940" t="str">
        <f>HYPERLINK("http://service.sap.com/sap/support/notes/1517014","1517014")</f>
        <v>1517014</v>
      </c>
      <c r="E940">
        <v>3</v>
      </c>
      <c r="F940" t="s">
        <v>1205</v>
      </c>
    </row>
    <row r="941" spans="1:6" x14ac:dyDescent="0.25">
      <c r="A941" t="s">
        <v>1403</v>
      </c>
      <c r="B941" t="s">
        <v>405</v>
      </c>
      <c r="C941" t="s">
        <v>90</v>
      </c>
      <c r="D941" t="str">
        <f>HYPERLINK("http://service.sap.com/sap/support/notes/1501326","1501326")</f>
        <v>1501326</v>
      </c>
      <c r="E941">
        <v>2</v>
      </c>
      <c r="F941" t="s">
        <v>1206</v>
      </c>
    </row>
    <row r="942" spans="1:6" x14ac:dyDescent="0.25">
      <c r="A942" t="s">
        <v>1403</v>
      </c>
      <c r="B942" t="s">
        <v>405</v>
      </c>
      <c r="C942" t="s">
        <v>90</v>
      </c>
      <c r="D942" t="str">
        <f>HYPERLINK("http://service.sap.com/sap/support/notes/1520891","1520891")</f>
        <v>1520891</v>
      </c>
      <c r="E942">
        <v>2</v>
      </c>
      <c r="F942" t="s">
        <v>1207</v>
      </c>
    </row>
    <row r="943" spans="1:6" x14ac:dyDescent="0.25">
      <c r="A943" t="s">
        <v>1403</v>
      </c>
      <c r="B943" t="s">
        <v>405</v>
      </c>
      <c r="C943" t="s">
        <v>90</v>
      </c>
      <c r="D943" t="str">
        <f>HYPERLINK("http://service.sap.com/sap/support/notes/1524657","1524657")</f>
        <v>1524657</v>
      </c>
      <c r="E943">
        <v>1</v>
      </c>
      <c r="F943" t="s">
        <v>1208</v>
      </c>
    </row>
    <row r="944" spans="1:6" x14ac:dyDescent="0.25">
      <c r="A944" t="s">
        <v>1403</v>
      </c>
      <c r="B944" t="s">
        <v>405</v>
      </c>
      <c r="C944" t="s">
        <v>90</v>
      </c>
      <c r="D944" t="str">
        <f>HYPERLINK("http://service.sap.com/sap/support/notes/1527253","1527253")</f>
        <v>1527253</v>
      </c>
      <c r="E944">
        <v>3</v>
      </c>
      <c r="F944" t="s">
        <v>1209</v>
      </c>
    </row>
    <row r="945" spans="1:6" x14ac:dyDescent="0.25">
      <c r="A945" t="s">
        <v>1403</v>
      </c>
      <c r="B945" t="s">
        <v>411</v>
      </c>
      <c r="C945" t="s">
        <v>412</v>
      </c>
      <c r="D945" t="str">
        <f>HYPERLINK("http://service.sap.com/sap/support/notes/1499186","1499186")</f>
        <v>1499186</v>
      </c>
      <c r="E945">
        <v>2</v>
      </c>
      <c r="F945" t="s">
        <v>1210</v>
      </c>
    </row>
    <row r="946" spans="1:6" x14ac:dyDescent="0.25">
      <c r="A946" t="s">
        <v>1403</v>
      </c>
      <c r="B946" t="s">
        <v>411</v>
      </c>
      <c r="C946" t="s">
        <v>412</v>
      </c>
      <c r="D946" t="str">
        <f>HYPERLINK("http://service.sap.com/sap/support/notes/1523332","1523332")</f>
        <v>1523332</v>
      </c>
      <c r="E946">
        <v>1</v>
      </c>
      <c r="F946" t="s">
        <v>1211</v>
      </c>
    </row>
    <row r="947" spans="1:6" x14ac:dyDescent="0.25">
      <c r="A947" t="s">
        <v>1403</v>
      </c>
      <c r="B947" t="s">
        <v>411</v>
      </c>
      <c r="C947" t="s">
        <v>412</v>
      </c>
      <c r="D947" t="str">
        <f>HYPERLINK("http://service.sap.com/sap/support/notes/1524996","1524996")</f>
        <v>1524996</v>
      </c>
      <c r="E947">
        <v>1</v>
      </c>
      <c r="F947" t="s">
        <v>1212</v>
      </c>
    </row>
    <row r="948" spans="1:6" x14ac:dyDescent="0.25">
      <c r="A948" t="s">
        <v>1403</v>
      </c>
      <c r="B948" t="s">
        <v>411</v>
      </c>
      <c r="C948" t="s">
        <v>412</v>
      </c>
      <c r="D948" t="str">
        <f>HYPERLINK("http://service.sap.com/sap/support/notes/1526380","1526380")</f>
        <v>1526380</v>
      </c>
      <c r="E948">
        <v>1</v>
      </c>
      <c r="F948" t="s">
        <v>1213</v>
      </c>
    </row>
    <row r="949" spans="1:6" x14ac:dyDescent="0.25">
      <c r="A949" t="s">
        <v>1403</v>
      </c>
      <c r="B949" t="s">
        <v>411</v>
      </c>
      <c r="C949" t="s">
        <v>412</v>
      </c>
      <c r="D949" t="str">
        <f>HYPERLINK("http://service.sap.com/sap/support/notes/1528206","1528206")</f>
        <v>1528206</v>
      </c>
      <c r="E949">
        <v>2</v>
      </c>
      <c r="F949" t="s">
        <v>1214</v>
      </c>
    </row>
    <row r="950" spans="1:6" x14ac:dyDescent="0.25">
      <c r="A950" t="s">
        <v>1403</v>
      </c>
      <c r="B950" t="s">
        <v>411</v>
      </c>
      <c r="C950" t="s">
        <v>412</v>
      </c>
      <c r="D950" t="str">
        <f>HYPERLINK("http://service.sap.com/sap/support/notes/1528334","1528334")</f>
        <v>1528334</v>
      </c>
      <c r="E950">
        <v>3</v>
      </c>
      <c r="F950" t="s">
        <v>1215</v>
      </c>
    </row>
    <row r="951" spans="1:6" x14ac:dyDescent="0.25">
      <c r="A951" t="s">
        <v>1403</v>
      </c>
      <c r="B951" t="s">
        <v>411</v>
      </c>
      <c r="C951" t="s">
        <v>412</v>
      </c>
      <c r="D951" t="str">
        <f>HYPERLINK("http://service.sap.com/sap/support/notes/1531163","1531163")</f>
        <v>1531163</v>
      </c>
      <c r="E951">
        <v>2</v>
      </c>
      <c r="F951" t="s">
        <v>1216</v>
      </c>
    </row>
    <row r="952" spans="1:6" x14ac:dyDescent="0.25">
      <c r="A952" t="s">
        <v>1403</v>
      </c>
      <c r="B952" t="s">
        <v>1217</v>
      </c>
      <c r="C952" t="s">
        <v>1218</v>
      </c>
      <c r="D952" t="str">
        <f>HYPERLINK("http://service.sap.com/sap/support/notes/1464708","1464708")</f>
        <v>1464708</v>
      </c>
      <c r="E952">
        <v>4</v>
      </c>
      <c r="F952" t="s">
        <v>1219</v>
      </c>
    </row>
    <row r="953" spans="1:6" x14ac:dyDescent="0.25">
      <c r="A953" t="s">
        <v>1403</v>
      </c>
      <c r="B953" t="s">
        <v>415</v>
      </c>
      <c r="C953" t="s">
        <v>416</v>
      </c>
      <c r="D953" t="str">
        <f>HYPERLINK("http://service.sap.com/sap/support/notes/1505763","1505763")</f>
        <v>1505763</v>
      </c>
      <c r="E953">
        <v>3</v>
      </c>
      <c r="F953" t="s">
        <v>1220</v>
      </c>
    </row>
    <row r="954" spans="1:6" x14ac:dyDescent="0.25">
      <c r="A954" t="s">
        <v>1403</v>
      </c>
      <c r="B954" t="s">
        <v>415</v>
      </c>
      <c r="C954" t="s">
        <v>416</v>
      </c>
      <c r="D954" t="str">
        <f>HYPERLINK("http://service.sap.com/sap/support/notes/1522182","1522182")</f>
        <v>1522182</v>
      </c>
      <c r="E954">
        <v>1</v>
      </c>
      <c r="F954" t="s">
        <v>1221</v>
      </c>
    </row>
    <row r="955" spans="1:6" x14ac:dyDescent="0.25">
      <c r="A955" t="s">
        <v>1403</v>
      </c>
      <c r="B955" t="s">
        <v>415</v>
      </c>
      <c r="C955" t="s">
        <v>416</v>
      </c>
      <c r="D955" t="str">
        <f>HYPERLINK("http://service.sap.com/sap/support/notes/1523058","1523058")</f>
        <v>1523058</v>
      </c>
      <c r="E955">
        <v>1</v>
      </c>
      <c r="F955" t="s">
        <v>1222</v>
      </c>
    </row>
    <row r="956" spans="1:6" x14ac:dyDescent="0.25">
      <c r="A956" t="s">
        <v>1403</v>
      </c>
      <c r="B956" t="s">
        <v>415</v>
      </c>
      <c r="C956" t="s">
        <v>416</v>
      </c>
      <c r="D956" t="str">
        <f>HYPERLINK("http://service.sap.com/sap/support/notes/1523801","1523801")</f>
        <v>1523801</v>
      </c>
      <c r="E956">
        <v>2</v>
      </c>
      <c r="F956" t="s">
        <v>1223</v>
      </c>
    </row>
    <row r="957" spans="1:6" x14ac:dyDescent="0.25">
      <c r="A957" t="s">
        <v>1403</v>
      </c>
      <c r="B957" t="s">
        <v>415</v>
      </c>
      <c r="C957" t="s">
        <v>416</v>
      </c>
      <c r="D957" t="str">
        <f>HYPERLINK("http://service.sap.com/sap/support/notes/1526279","1526279")</f>
        <v>1526279</v>
      </c>
      <c r="E957">
        <v>1</v>
      </c>
      <c r="F957" t="s">
        <v>1224</v>
      </c>
    </row>
    <row r="958" spans="1:6" x14ac:dyDescent="0.25">
      <c r="A958" t="s">
        <v>1403</v>
      </c>
      <c r="B958" t="s">
        <v>415</v>
      </c>
      <c r="C958" t="s">
        <v>416</v>
      </c>
      <c r="D958" t="str">
        <f>HYPERLINK("http://service.sap.com/sap/support/notes/1530836","1530836")</f>
        <v>1530836</v>
      </c>
      <c r="E958">
        <v>1</v>
      </c>
      <c r="F958" t="s">
        <v>1225</v>
      </c>
    </row>
    <row r="959" spans="1:6" x14ac:dyDescent="0.25">
      <c r="A959" t="s">
        <v>1403</v>
      </c>
      <c r="B959" t="s">
        <v>1226</v>
      </c>
      <c r="C959" t="s">
        <v>1227</v>
      </c>
      <c r="D959" t="str">
        <f>HYPERLINK("http://service.sap.com/sap/support/notes/1501184","1501184")</f>
        <v>1501184</v>
      </c>
      <c r="E959">
        <v>1</v>
      </c>
      <c r="F959" t="s">
        <v>1228</v>
      </c>
    </row>
    <row r="960" spans="1:6" x14ac:dyDescent="0.25">
      <c r="A960" t="s">
        <v>1403</v>
      </c>
      <c r="B960" t="s">
        <v>1226</v>
      </c>
      <c r="C960" t="s">
        <v>1227</v>
      </c>
      <c r="D960" t="str">
        <f>HYPERLINK("http://service.sap.com/sap/support/notes/1512337","1512337")</f>
        <v>1512337</v>
      </c>
      <c r="E960">
        <v>3</v>
      </c>
      <c r="F960" t="s">
        <v>1229</v>
      </c>
    </row>
    <row r="961" spans="1:6" x14ac:dyDescent="0.25">
      <c r="A961" t="s">
        <v>1403</v>
      </c>
      <c r="B961" t="s">
        <v>425</v>
      </c>
      <c r="C961" t="s">
        <v>1230</v>
      </c>
      <c r="D961" t="str">
        <f>HYPERLINK("http://service.sap.com/sap/support/notes/1488474","1488474")</f>
        <v>1488474</v>
      </c>
      <c r="E961">
        <v>1</v>
      </c>
      <c r="F961" t="s">
        <v>427</v>
      </c>
    </row>
    <row r="962" spans="1:6" x14ac:dyDescent="0.25">
      <c r="A962" t="s">
        <v>1403</v>
      </c>
      <c r="B962" t="s">
        <v>425</v>
      </c>
      <c r="C962" t="s">
        <v>1230</v>
      </c>
      <c r="D962" t="str">
        <f>HYPERLINK("http://service.sap.com/sap/support/notes/1495519","1495519")</f>
        <v>1495519</v>
      </c>
      <c r="E962">
        <v>2</v>
      </c>
      <c r="F962" t="s">
        <v>1231</v>
      </c>
    </row>
    <row r="963" spans="1:6" x14ac:dyDescent="0.25">
      <c r="A963" t="s">
        <v>1403</v>
      </c>
      <c r="B963" t="s">
        <v>431</v>
      </c>
      <c r="C963" t="s">
        <v>432</v>
      </c>
      <c r="D963" t="str">
        <f>HYPERLINK("http://service.sap.com/sap/support/notes/1500675","1500675")</f>
        <v>1500675</v>
      </c>
      <c r="E963">
        <v>5</v>
      </c>
      <c r="F963" t="s">
        <v>1232</v>
      </c>
    </row>
    <row r="964" spans="1:6" x14ac:dyDescent="0.25">
      <c r="A964" t="s">
        <v>1403</v>
      </c>
      <c r="B964" t="s">
        <v>431</v>
      </c>
      <c r="C964" t="s">
        <v>432</v>
      </c>
      <c r="D964" t="str">
        <f>HYPERLINK("http://service.sap.com/sap/support/notes/1517966","1517966")</f>
        <v>1517966</v>
      </c>
      <c r="E964">
        <v>1</v>
      </c>
      <c r="F964" t="s">
        <v>1233</v>
      </c>
    </row>
    <row r="965" spans="1:6" x14ac:dyDescent="0.25">
      <c r="A965" t="s">
        <v>1403</v>
      </c>
      <c r="B965" t="s">
        <v>431</v>
      </c>
      <c r="C965" t="s">
        <v>432</v>
      </c>
      <c r="D965" t="str">
        <f>HYPERLINK("http://service.sap.com/sap/support/notes/1521407","1521407")</f>
        <v>1521407</v>
      </c>
      <c r="E965">
        <v>1</v>
      </c>
      <c r="F965" t="s">
        <v>1234</v>
      </c>
    </row>
    <row r="966" spans="1:6" x14ac:dyDescent="0.25">
      <c r="A966" t="s">
        <v>1403</v>
      </c>
      <c r="B966" t="s">
        <v>431</v>
      </c>
      <c r="C966" t="s">
        <v>432</v>
      </c>
      <c r="D966" t="str">
        <f>HYPERLINK("http://service.sap.com/sap/support/notes/1522195","1522195")</f>
        <v>1522195</v>
      </c>
      <c r="E966">
        <v>1</v>
      </c>
      <c r="F966" t="s">
        <v>1235</v>
      </c>
    </row>
    <row r="967" spans="1:6" x14ac:dyDescent="0.25">
      <c r="A967" t="s">
        <v>1403</v>
      </c>
      <c r="B967" t="s">
        <v>431</v>
      </c>
      <c r="C967" t="s">
        <v>432</v>
      </c>
      <c r="D967" t="str">
        <f>HYPERLINK("http://service.sap.com/sap/support/notes/1531089","1531089")</f>
        <v>1531089</v>
      </c>
      <c r="E967">
        <v>1</v>
      </c>
      <c r="F967" t="s">
        <v>1236</v>
      </c>
    </row>
    <row r="968" spans="1:6" x14ac:dyDescent="0.25">
      <c r="A968" t="s">
        <v>1403</v>
      </c>
      <c r="B968" t="s">
        <v>436</v>
      </c>
      <c r="C968" t="s">
        <v>437</v>
      </c>
      <c r="D968" t="str">
        <f>HYPERLINK("http://service.sap.com/sap/support/notes/1528213","1528213")</f>
        <v>1528213</v>
      </c>
      <c r="E968">
        <v>1</v>
      </c>
      <c r="F968" t="s">
        <v>1237</v>
      </c>
    </row>
    <row r="969" spans="1:6" x14ac:dyDescent="0.25">
      <c r="A969" t="s">
        <v>1403</v>
      </c>
      <c r="B969" t="s">
        <v>436</v>
      </c>
      <c r="C969" t="s">
        <v>437</v>
      </c>
      <c r="D969" t="str">
        <f>HYPERLINK("http://service.sap.com/sap/support/notes/1531636","1531636")</f>
        <v>1531636</v>
      </c>
      <c r="E969">
        <v>1</v>
      </c>
      <c r="F969" t="s">
        <v>1238</v>
      </c>
    </row>
    <row r="970" spans="1:6" x14ac:dyDescent="0.25">
      <c r="A970" t="s">
        <v>1403</v>
      </c>
      <c r="B970" t="s">
        <v>440</v>
      </c>
      <c r="C970" t="s">
        <v>441</v>
      </c>
      <c r="D970" t="str">
        <f>HYPERLINK("http://service.sap.com/sap/support/notes/1498018","1498018")</f>
        <v>1498018</v>
      </c>
      <c r="E970">
        <v>4</v>
      </c>
      <c r="F970" t="s">
        <v>1239</v>
      </c>
    </row>
    <row r="971" spans="1:6" x14ac:dyDescent="0.25">
      <c r="A971" t="s">
        <v>1403</v>
      </c>
      <c r="B971" t="s">
        <v>440</v>
      </c>
      <c r="C971" t="s">
        <v>441</v>
      </c>
      <c r="D971" t="str">
        <f>HYPERLINK("http://service.sap.com/sap/support/notes/1511465","1511465")</f>
        <v>1511465</v>
      </c>
      <c r="E971">
        <v>2</v>
      </c>
      <c r="F971" t="s">
        <v>1240</v>
      </c>
    </row>
    <row r="972" spans="1:6" x14ac:dyDescent="0.25">
      <c r="A972" t="s">
        <v>1403</v>
      </c>
      <c r="B972" t="s">
        <v>449</v>
      </c>
      <c r="C972" t="s">
        <v>1241</v>
      </c>
      <c r="D972" t="str">
        <f>HYPERLINK("http://service.sap.com/sap/support/notes/1477388","1477388")</f>
        <v>1477388</v>
      </c>
      <c r="E972">
        <v>9</v>
      </c>
      <c r="F972" t="s">
        <v>452</v>
      </c>
    </row>
    <row r="973" spans="1:6" x14ac:dyDescent="0.25">
      <c r="A973" t="s">
        <v>1403</v>
      </c>
      <c r="B973" t="s">
        <v>449</v>
      </c>
      <c r="C973" t="s">
        <v>1241</v>
      </c>
      <c r="D973" t="str">
        <f>HYPERLINK("http://service.sap.com/sap/support/notes/1488692","1488692")</f>
        <v>1488692</v>
      </c>
      <c r="E973">
        <v>2</v>
      </c>
      <c r="F973" t="s">
        <v>1242</v>
      </c>
    </row>
    <row r="974" spans="1:6" x14ac:dyDescent="0.25">
      <c r="A974" t="s">
        <v>1403</v>
      </c>
      <c r="B974" t="s">
        <v>449</v>
      </c>
      <c r="C974" t="s">
        <v>1241</v>
      </c>
      <c r="D974" t="str">
        <f>HYPERLINK("http://service.sap.com/sap/support/notes/1501436","1501436")</f>
        <v>1501436</v>
      </c>
      <c r="E974">
        <v>3</v>
      </c>
      <c r="F974" t="s">
        <v>1243</v>
      </c>
    </row>
    <row r="975" spans="1:6" x14ac:dyDescent="0.25">
      <c r="A975" t="s">
        <v>1403</v>
      </c>
      <c r="B975" t="s">
        <v>449</v>
      </c>
      <c r="C975" t="s">
        <v>1241</v>
      </c>
      <c r="D975" t="str">
        <f>HYPERLINK("http://service.sap.com/sap/support/notes/1523493","1523493")</f>
        <v>1523493</v>
      </c>
      <c r="E975">
        <v>2</v>
      </c>
      <c r="F975" t="s">
        <v>1244</v>
      </c>
    </row>
    <row r="976" spans="1:6" x14ac:dyDescent="0.25">
      <c r="A976" t="s">
        <v>1403</v>
      </c>
      <c r="B976" t="s">
        <v>449</v>
      </c>
      <c r="C976" t="s">
        <v>1241</v>
      </c>
      <c r="D976" t="str">
        <f>HYPERLINK("http://service.sap.com/sap/support/notes/1525516","1525516")</f>
        <v>1525516</v>
      </c>
      <c r="E976">
        <v>2</v>
      </c>
      <c r="F976" t="s">
        <v>1245</v>
      </c>
    </row>
    <row r="977" spans="1:6" x14ac:dyDescent="0.25">
      <c r="A977" t="s">
        <v>1403</v>
      </c>
      <c r="B977" t="s">
        <v>460</v>
      </c>
      <c r="C977" t="s">
        <v>1246</v>
      </c>
      <c r="D977" t="str">
        <f>HYPERLINK("http://service.sap.com/sap/support/notes/1494260","1494260")</f>
        <v>1494260</v>
      </c>
      <c r="E977">
        <v>2</v>
      </c>
      <c r="F977" t="s">
        <v>1247</v>
      </c>
    </row>
    <row r="978" spans="1:6" x14ac:dyDescent="0.25">
      <c r="A978" t="s">
        <v>1403</v>
      </c>
      <c r="B978" t="s">
        <v>460</v>
      </c>
      <c r="C978" t="s">
        <v>1246</v>
      </c>
      <c r="D978" t="str">
        <f>HYPERLINK("http://service.sap.com/sap/support/notes/1500857","1500857")</f>
        <v>1500857</v>
      </c>
      <c r="E978">
        <v>1</v>
      </c>
      <c r="F978" t="s">
        <v>1248</v>
      </c>
    </row>
    <row r="979" spans="1:6" x14ac:dyDescent="0.25">
      <c r="A979" t="s">
        <v>1403</v>
      </c>
      <c r="B979" t="s">
        <v>460</v>
      </c>
      <c r="C979" t="s">
        <v>1246</v>
      </c>
      <c r="D979" t="str">
        <f>HYPERLINK("http://service.sap.com/sap/support/notes/1520868","1520868")</f>
        <v>1520868</v>
      </c>
      <c r="E979">
        <v>1</v>
      </c>
      <c r="F979" t="s">
        <v>1249</v>
      </c>
    </row>
    <row r="980" spans="1:6" x14ac:dyDescent="0.25">
      <c r="A980" t="s">
        <v>1403</v>
      </c>
      <c r="B980" t="s">
        <v>460</v>
      </c>
      <c r="C980" t="s">
        <v>1246</v>
      </c>
      <c r="D980" t="str">
        <f>HYPERLINK("http://service.sap.com/sap/support/notes/1521989","1521989")</f>
        <v>1521989</v>
      </c>
      <c r="E980">
        <v>1</v>
      </c>
      <c r="F980" t="s">
        <v>1250</v>
      </c>
    </row>
    <row r="981" spans="1:6" x14ac:dyDescent="0.25">
      <c r="A981" t="s">
        <v>1403</v>
      </c>
      <c r="B981" t="s">
        <v>460</v>
      </c>
      <c r="C981" t="s">
        <v>1246</v>
      </c>
      <c r="D981" t="str">
        <f>HYPERLINK("http://service.sap.com/sap/support/notes/1522605","1522605")</f>
        <v>1522605</v>
      </c>
      <c r="E981">
        <v>1</v>
      </c>
      <c r="F981" t="s">
        <v>1251</v>
      </c>
    </row>
    <row r="982" spans="1:6" x14ac:dyDescent="0.25">
      <c r="A982" t="s">
        <v>1403</v>
      </c>
      <c r="B982" t="s">
        <v>460</v>
      </c>
      <c r="C982" t="s">
        <v>1246</v>
      </c>
      <c r="D982" t="str">
        <f>HYPERLINK("http://service.sap.com/sap/support/notes/1524187","1524187")</f>
        <v>1524187</v>
      </c>
      <c r="E982">
        <v>2</v>
      </c>
      <c r="F982" t="s">
        <v>1252</v>
      </c>
    </row>
    <row r="983" spans="1:6" x14ac:dyDescent="0.25">
      <c r="A983" t="s">
        <v>1403</v>
      </c>
      <c r="B983" t="s">
        <v>460</v>
      </c>
      <c r="C983" t="s">
        <v>1246</v>
      </c>
      <c r="D983" t="str">
        <f>HYPERLINK("http://service.sap.com/sap/support/notes/1527385","1527385")</f>
        <v>1527385</v>
      </c>
      <c r="E983">
        <v>2</v>
      </c>
      <c r="F983" t="s">
        <v>1253</v>
      </c>
    </row>
    <row r="984" spans="1:6" x14ac:dyDescent="0.25">
      <c r="A984" t="s">
        <v>1403</v>
      </c>
      <c r="B984" t="s">
        <v>460</v>
      </c>
      <c r="C984" t="s">
        <v>1246</v>
      </c>
      <c r="D984" t="str">
        <f>HYPERLINK("http://service.sap.com/sap/support/notes/1529416","1529416")</f>
        <v>1529416</v>
      </c>
      <c r="E984">
        <v>1</v>
      </c>
      <c r="F984" t="s">
        <v>1254</v>
      </c>
    </row>
    <row r="985" spans="1:6" x14ac:dyDescent="0.25">
      <c r="A985" t="s">
        <v>1403</v>
      </c>
      <c r="B985" t="s">
        <v>460</v>
      </c>
      <c r="C985" t="s">
        <v>1246</v>
      </c>
      <c r="D985" t="str">
        <f>HYPERLINK("http://service.sap.com/sap/support/notes/1530257","1530257")</f>
        <v>1530257</v>
      </c>
      <c r="E985">
        <v>1</v>
      </c>
      <c r="F985" t="s">
        <v>1255</v>
      </c>
    </row>
    <row r="986" spans="1:6" x14ac:dyDescent="0.25">
      <c r="A986" t="s">
        <v>1403</v>
      </c>
      <c r="B986" t="s">
        <v>472</v>
      </c>
      <c r="C986" t="s">
        <v>473</v>
      </c>
      <c r="D986" t="str">
        <f>HYPERLINK("http://service.sap.com/sap/support/notes/1174708","1174708")</f>
        <v>1174708</v>
      </c>
      <c r="E986">
        <v>1</v>
      </c>
      <c r="F986" t="s">
        <v>1256</v>
      </c>
    </row>
    <row r="987" spans="1:6" x14ac:dyDescent="0.25">
      <c r="A987" t="s">
        <v>1403</v>
      </c>
      <c r="B987" t="s">
        <v>472</v>
      </c>
      <c r="C987" t="s">
        <v>473</v>
      </c>
      <c r="D987" t="str">
        <f>HYPERLINK("http://service.sap.com/sap/support/notes/1509626","1509626")</f>
        <v>1509626</v>
      </c>
      <c r="E987">
        <v>2</v>
      </c>
      <c r="F987" t="s">
        <v>1257</v>
      </c>
    </row>
    <row r="988" spans="1:6" x14ac:dyDescent="0.25">
      <c r="A988" t="s">
        <v>1403</v>
      </c>
      <c r="B988" t="s">
        <v>472</v>
      </c>
      <c r="C988" t="s">
        <v>473</v>
      </c>
      <c r="D988" t="str">
        <f>HYPERLINK("http://service.sap.com/sap/support/notes/1523549","1523549")</f>
        <v>1523549</v>
      </c>
      <c r="E988">
        <v>1</v>
      </c>
      <c r="F988" t="s">
        <v>1258</v>
      </c>
    </row>
    <row r="989" spans="1:6" x14ac:dyDescent="0.25">
      <c r="A989" t="s">
        <v>1403</v>
      </c>
      <c r="B989" t="s">
        <v>472</v>
      </c>
      <c r="C989" t="s">
        <v>473</v>
      </c>
      <c r="D989" t="str">
        <f>HYPERLINK("http://service.sap.com/sap/support/notes/1523552","1523552")</f>
        <v>1523552</v>
      </c>
      <c r="E989">
        <v>1</v>
      </c>
      <c r="F989" t="s">
        <v>1259</v>
      </c>
    </row>
    <row r="990" spans="1:6" x14ac:dyDescent="0.25">
      <c r="A990" t="s">
        <v>1403</v>
      </c>
      <c r="B990" t="s">
        <v>472</v>
      </c>
      <c r="C990" t="s">
        <v>473</v>
      </c>
      <c r="D990" t="str">
        <f>HYPERLINK("http://service.sap.com/sap/support/notes/1524194","1524194")</f>
        <v>1524194</v>
      </c>
      <c r="E990">
        <v>1</v>
      </c>
      <c r="F990" t="s">
        <v>1260</v>
      </c>
    </row>
    <row r="991" spans="1:6" x14ac:dyDescent="0.25">
      <c r="A991" t="s">
        <v>1403</v>
      </c>
      <c r="B991" t="s">
        <v>479</v>
      </c>
      <c r="C991" t="s">
        <v>480</v>
      </c>
      <c r="D991" t="str">
        <f>HYPERLINK("http://service.sap.com/sap/support/notes/1518363","1518363")</f>
        <v>1518363</v>
      </c>
      <c r="E991">
        <v>1</v>
      </c>
      <c r="F991" t="s">
        <v>1261</v>
      </c>
    </row>
    <row r="992" spans="1:6" x14ac:dyDescent="0.25">
      <c r="A992" t="s">
        <v>1403</v>
      </c>
      <c r="B992" t="s">
        <v>479</v>
      </c>
      <c r="C992" t="s">
        <v>480</v>
      </c>
      <c r="D992" t="str">
        <f>HYPERLINK("http://service.sap.com/sap/support/notes/1522291","1522291")</f>
        <v>1522291</v>
      </c>
      <c r="E992">
        <v>1</v>
      </c>
      <c r="F992" t="s">
        <v>1262</v>
      </c>
    </row>
    <row r="993" spans="1:6" x14ac:dyDescent="0.25">
      <c r="A993" t="s">
        <v>1403</v>
      </c>
      <c r="B993" t="s">
        <v>487</v>
      </c>
      <c r="C993" t="s">
        <v>153</v>
      </c>
      <c r="D993" t="str">
        <f>HYPERLINK("http://service.sap.com/sap/support/notes/1529308","1529308")</f>
        <v>1529308</v>
      </c>
      <c r="E993">
        <v>1</v>
      </c>
      <c r="F993" t="s">
        <v>1263</v>
      </c>
    </row>
    <row r="994" spans="1:6" x14ac:dyDescent="0.25">
      <c r="A994" t="s">
        <v>1403</v>
      </c>
      <c r="B994" t="s">
        <v>489</v>
      </c>
      <c r="C994" t="s">
        <v>104</v>
      </c>
      <c r="D994" t="str">
        <f>HYPERLINK("http://service.sap.com/sap/support/notes/1508698","1508698")</f>
        <v>1508698</v>
      </c>
      <c r="E994">
        <v>1</v>
      </c>
      <c r="F994" t="s">
        <v>1264</v>
      </c>
    </row>
    <row r="995" spans="1:6" x14ac:dyDescent="0.25">
      <c r="A995" t="s">
        <v>1403</v>
      </c>
      <c r="B995" t="s">
        <v>489</v>
      </c>
      <c r="C995" t="s">
        <v>104</v>
      </c>
      <c r="D995" t="str">
        <f>HYPERLINK("http://service.sap.com/sap/support/notes/1524644","1524644")</f>
        <v>1524644</v>
      </c>
      <c r="E995">
        <v>2</v>
      </c>
      <c r="F995" t="s">
        <v>1265</v>
      </c>
    </row>
    <row r="996" spans="1:6" x14ac:dyDescent="0.25">
      <c r="A996" t="s">
        <v>1403</v>
      </c>
      <c r="B996" t="s">
        <v>489</v>
      </c>
      <c r="C996" t="s">
        <v>104</v>
      </c>
      <c r="D996" t="str">
        <f>HYPERLINK("http://service.sap.com/sap/support/notes/1529081","1529081")</f>
        <v>1529081</v>
      </c>
      <c r="E996">
        <v>1</v>
      </c>
      <c r="F996" t="s">
        <v>1266</v>
      </c>
    </row>
    <row r="997" spans="1:6" x14ac:dyDescent="0.25">
      <c r="A997" t="s">
        <v>1403</v>
      </c>
      <c r="B997" t="s">
        <v>489</v>
      </c>
      <c r="C997" t="s">
        <v>104</v>
      </c>
      <c r="D997" t="str">
        <f>HYPERLINK("http://service.sap.com/sap/support/notes/1529137","1529137")</f>
        <v>1529137</v>
      </c>
      <c r="E997">
        <v>1</v>
      </c>
      <c r="F997" t="s">
        <v>1267</v>
      </c>
    </row>
    <row r="998" spans="1:6" x14ac:dyDescent="0.25">
      <c r="A998" t="s">
        <v>1403</v>
      </c>
      <c r="B998" t="s">
        <v>495</v>
      </c>
      <c r="C998" t="s">
        <v>496</v>
      </c>
      <c r="D998" t="str">
        <f>HYPERLINK("http://service.sap.com/sap/support/notes/1526335","1526335")</f>
        <v>1526335</v>
      </c>
      <c r="E998">
        <v>2</v>
      </c>
      <c r="F998" t="s">
        <v>1268</v>
      </c>
    </row>
    <row r="999" spans="1:6" x14ac:dyDescent="0.25">
      <c r="A999" t="s">
        <v>1403</v>
      </c>
      <c r="B999" t="s">
        <v>499</v>
      </c>
      <c r="C999" t="s">
        <v>108</v>
      </c>
      <c r="D999" t="str">
        <f>HYPERLINK("http://service.sap.com/sap/support/notes/1516105","1516105")</f>
        <v>1516105</v>
      </c>
      <c r="E999">
        <v>1</v>
      </c>
      <c r="F999" t="s">
        <v>500</v>
      </c>
    </row>
    <row r="1000" spans="1:6" x14ac:dyDescent="0.25">
      <c r="A1000" t="s">
        <v>1403</v>
      </c>
      <c r="B1000" t="s">
        <v>1269</v>
      </c>
      <c r="C1000" t="s">
        <v>1270</v>
      </c>
      <c r="D1000" t="str">
        <f>HYPERLINK("http://service.sap.com/sap/support/notes/1416426","1416426")</f>
        <v>1416426</v>
      </c>
      <c r="E1000">
        <v>1</v>
      </c>
      <c r="F1000" t="s">
        <v>1271</v>
      </c>
    </row>
    <row r="1001" spans="1:6" x14ac:dyDescent="0.25">
      <c r="A1001" t="s">
        <v>1403</v>
      </c>
      <c r="B1001" t="s">
        <v>1269</v>
      </c>
      <c r="C1001" t="s">
        <v>1270</v>
      </c>
      <c r="D1001" t="str">
        <f>HYPERLINK("http://service.sap.com/sap/support/notes/1504481","1504481")</f>
        <v>1504481</v>
      </c>
      <c r="E1001">
        <v>2</v>
      </c>
      <c r="F1001" t="s">
        <v>1272</v>
      </c>
    </row>
    <row r="1002" spans="1:6" x14ac:dyDescent="0.25">
      <c r="A1002" t="s">
        <v>1403</v>
      </c>
      <c r="B1002" t="s">
        <v>1273</v>
      </c>
      <c r="C1002" t="s">
        <v>1218</v>
      </c>
      <c r="D1002" t="str">
        <f>HYPERLINK("http://service.sap.com/sap/support/notes/1476490","1476490")</f>
        <v>1476490</v>
      </c>
      <c r="E1002">
        <v>3</v>
      </c>
      <c r="F1002" t="s">
        <v>1274</v>
      </c>
    </row>
    <row r="1003" spans="1:6" x14ac:dyDescent="0.25">
      <c r="A1003" t="s">
        <v>1403</v>
      </c>
      <c r="B1003" t="s">
        <v>501</v>
      </c>
      <c r="C1003" t="s">
        <v>153</v>
      </c>
      <c r="D1003" t="str">
        <f>HYPERLINK("http://service.sap.com/sap/support/notes/1524309","1524309")</f>
        <v>1524309</v>
      </c>
      <c r="E1003">
        <v>2</v>
      </c>
      <c r="F1003" t="s">
        <v>1275</v>
      </c>
    </row>
    <row r="1004" spans="1:6" x14ac:dyDescent="0.25">
      <c r="A1004" t="s">
        <v>1403</v>
      </c>
      <c r="B1004" t="s">
        <v>502</v>
      </c>
      <c r="C1004" t="s">
        <v>1276</v>
      </c>
      <c r="D1004" t="str">
        <f>HYPERLINK("http://service.sap.com/sap/support/notes/1531485","1531485")</f>
        <v>1531485</v>
      </c>
      <c r="E1004">
        <v>1</v>
      </c>
      <c r="F1004" t="s">
        <v>1277</v>
      </c>
    </row>
    <row r="1005" spans="1:6" x14ac:dyDescent="0.25">
      <c r="A1005" t="s">
        <v>1403</v>
      </c>
      <c r="B1005" t="s">
        <v>505</v>
      </c>
      <c r="C1005" t="s">
        <v>299</v>
      </c>
      <c r="D1005" t="str">
        <f>HYPERLINK("http://service.sap.com/sap/support/notes/1522976","1522976")</f>
        <v>1522976</v>
      </c>
      <c r="E1005">
        <v>2</v>
      </c>
      <c r="F1005" t="s">
        <v>1278</v>
      </c>
    </row>
    <row r="1006" spans="1:6" x14ac:dyDescent="0.25">
      <c r="A1006" t="s">
        <v>1403</v>
      </c>
      <c r="B1006" t="s">
        <v>505</v>
      </c>
      <c r="C1006" t="s">
        <v>299</v>
      </c>
      <c r="D1006" t="str">
        <f>HYPERLINK("http://service.sap.com/sap/support/notes/1525825","1525825")</f>
        <v>1525825</v>
      </c>
      <c r="E1006">
        <v>1</v>
      </c>
      <c r="F1006" t="s">
        <v>1279</v>
      </c>
    </row>
    <row r="1007" spans="1:6" x14ac:dyDescent="0.25">
      <c r="A1007" t="s">
        <v>1403</v>
      </c>
      <c r="B1007" t="s">
        <v>1280</v>
      </c>
      <c r="C1007" t="s">
        <v>967</v>
      </c>
      <c r="D1007" t="str">
        <f>HYPERLINK("http://service.sap.com/sap/support/notes/1464153","1464153")</f>
        <v>1464153</v>
      </c>
      <c r="E1007">
        <v>2</v>
      </c>
      <c r="F1007" t="s">
        <v>1281</v>
      </c>
    </row>
    <row r="1008" spans="1:6" x14ac:dyDescent="0.25">
      <c r="A1008" t="s">
        <v>1403</v>
      </c>
      <c r="B1008" t="s">
        <v>1280</v>
      </c>
      <c r="C1008" t="s">
        <v>967</v>
      </c>
      <c r="D1008" t="str">
        <f>HYPERLINK("http://service.sap.com/sap/support/notes/1468783","1468783")</f>
        <v>1468783</v>
      </c>
      <c r="E1008">
        <v>4</v>
      </c>
      <c r="F1008" t="s">
        <v>1282</v>
      </c>
    </row>
    <row r="1009" spans="1:6" x14ac:dyDescent="0.25">
      <c r="A1009" t="s">
        <v>1403</v>
      </c>
      <c r="B1009" t="s">
        <v>1280</v>
      </c>
      <c r="C1009" t="s">
        <v>967</v>
      </c>
      <c r="D1009" t="str">
        <f>HYPERLINK("http://service.sap.com/sap/support/notes/1480471","1480471")</f>
        <v>1480471</v>
      </c>
      <c r="E1009">
        <v>2</v>
      </c>
      <c r="F1009" t="s">
        <v>1283</v>
      </c>
    </row>
    <row r="1010" spans="1:6" x14ac:dyDescent="0.25">
      <c r="A1010" t="s">
        <v>1403</v>
      </c>
      <c r="B1010" t="s">
        <v>1280</v>
      </c>
      <c r="C1010" t="s">
        <v>967</v>
      </c>
      <c r="D1010" t="str">
        <f>HYPERLINK("http://service.sap.com/sap/support/notes/1486902","1486902")</f>
        <v>1486902</v>
      </c>
      <c r="E1010">
        <v>3</v>
      </c>
      <c r="F1010" t="s">
        <v>1284</v>
      </c>
    </row>
    <row r="1011" spans="1:6" x14ac:dyDescent="0.25">
      <c r="A1011" t="s">
        <v>1403</v>
      </c>
      <c r="B1011" t="s">
        <v>1280</v>
      </c>
      <c r="C1011" t="s">
        <v>967</v>
      </c>
      <c r="D1011" t="str">
        <f>HYPERLINK("http://service.sap.com/sap/support/notes/1493065","1493065")</f>
        <v>1493065</v>
      </c>
      <c r="E1011">
        <v>5</v>
      </c>
      <c r="F1011" t="s">
        <v>1285</v>
      </c>
    </row>
    <row r="1012" spans="1:6" x14ac:dyDescent="0.25">
      <c r="A1012" t="s">
        <v>1403</v>
      </c>
      <c r="B1012" t="s">
        <v>1280</v>
      </c>
      <c r="C1012" t="s">
        <v>967</v>
      </c>
      <c r="D1012" t="str">
        <f>HYPERLINK("http://service.sap.com/sap/support/notes/1493654","1493654")</f>
        <v>1493654</v>
      </c>
      <c r="E1012">
        <v>4</v>
      </c>
      <c r="F1012" t="s">
        <v>1286</v>
      </c>
    </row>
    <row r="1013" spans="1:6" x14ac:dyDescent="0.25">
      <c r="A1013" t="s">
        <v>1403</v>
      </c>
      <c r="B1013" t="s">
        <v>1280</v>
      </c>
      <c r="C1013" t="s">
        <v>967</v>
      </c>
      <c r="D1013" t="str">
        <f>HYPERLINK("http://service.sap.com/sap/support/notes/1511653","1511653")</f>
        <v>1511653</v>
      </c>
      <c r="E1013">
        <v>2</v>
      </c>
      <c r="F1013" t="s">
        <v>1287</v>
      </c>
    </row>
    <row r="1014" spans="1:6" x14ac:dyDescent="0.25">
      <c r="A1014" t="s">
        <v>1403</v>
      </c>
      <c r="B1014" t="s">
        <v>508</v>
      </c>
      <c r="C1014" t="s">
        <v>509</v>
      </c>
      <c r="D1014" t="str">
        <f>HYPERLINK("http://service.sap.com/sap/support/notes/1476488","1476488")</f>
        <v>1476488</v>
      </c>
      <c r="E1014">
        <v>2</v>
      </c>
      <c r="F1014" t="s">
        <v>1288</v>
      </c>
    </row>
    <row r="1015" spans="1:6" x14ac:dyDescent="0.25">
      <c r="A1015" t="s">
        <v>1403</v>
      </c>
      <c r="B1015" t="s">
        <v>508</v>
      </c>
      <c r="C1015" t="s">
        <v>509</v>
      </c>
      <c r="D1015" t="str">
        <f>HYPERLINK("http://service.sap.com/sap/support/notes/1490537","1490537")</f>
        <v>1490537</v>
      </c>
      <c r="E1015">
        <v>2</v>
      </c>
      <c r="F1015" t="s">
        <v>1289</v>
      </c>
    </row>
    <row r="1016" spans="1:6" x14ac:dyDescent="0.25">
      <c r="A1016" t="s">
        <v>1403</v>
      </c>
      <c r="B1016" t="s">
        <v>508</v>
      </c>
      <c r="C1016" t="s">
        <v>509</v>
      </c>
      <c r="D1016" t="str">
        <f>HYPERLINK("http://service.sap.com/sap/support/notes/1494094","1494094")</f>
        <v>1494094</v>
      </c>
      <c r="E1016">
        <v>5</v>
      </c>
      <c r="F1016" t="s">
        <v>1290</v>
      </c>
    </row>
    <row r="1017" spans="1:6" x14ac:dyDescent="0.25">
      <c r="A1017" t="s">
        <v>1403</v>
      </c>
      <c r="B1017" t="s">
        <v>508</v>
      </c>
      <c r="C1017" t="s">
        <v>509</v>
      </c>
      <c r="D1017" t="str">
        <f>HYPERLINK("http://service.sap.com/sap/support/notes/1514526","1514526")</f>
        <v>1514526</v>
      </c>
      <c r="E1017">
        <v>5</v>
      </c>
      <c r="F1017" t="s">
        <v>1291</v>
      </c>
    </row>
    <row r="1018" spans="1:6" x14ac:dyDescent="0.25">
      <c r="A1018" t="s">
        <v>1403</v>
      </c>
      <c r="B1018" t="s">
        <v>508</v>
      </c>
      <c r="C1018" t="s">
        <v>509</v>
      </c>
      <c r="D1018" t="str">
        <f>HYPERLINK("http://service.sap.com/sap/support/notes/1514971","1514971")</f>
        <v>1514971</v>
      </c>
      <c r="E1018">
        <v>2</v>
      </c>
      <c r="F1018" t="s">
        <v>1292</v>
      </c>
    </row>
    <row r="1019" spans="1:6" x14ac:dyDescent="0.25">
      <c r="A1019" t="s">
        <v>1403</v>
      </c>
      <c r="B1019" t="s">
        <v>508</v>
      </c>
      <c r="C1019" t="s">
        <v>509</v>
      </c>
      <c r="D1019" t="str">
        <f>HYPERLINK("http://service.sap.com/sap/support/notes/1517026","1517026")</f>
        <v>1517026</v>
      </c>
      <c r="E1019">
        <v>4</v>
      </c>
      <c r="F1019" t="s">
        <v>1293</v>
      </c>
    </row>
    <row r="1020" spans="1:6" x14ac:dyDescent="0.25">
      <c r="A1020" t="s">
        <v>1403</v>
      </c>
      <c r="B1020" t="s">
        <v>508</v>
      </c>
      <c r="C1020" t="s">
        <v>509</v>
      </c>
      <c r="D1020" t="str">
        <f>HYPERLINK("http://service.sap.com/sap/support/notes/1521174","1521174")</f>
        <v>1521174</v>
      </c>
      <c r="E1020">
        <v>5</v>
      </c>
      <c r="F1020" t="s">
        <v>1294</v>
      </c>
    </row>
    <row r="1021" spans="1:6" x14ac:dyDescent="0.25">
      <c r="A1021" t="s">
        <v>1403</v>
      </c>
      <c r="B1021" t="s">
        <v>508</v>
      </c>
      <c r="C1021" t="s">
        <v>509</v>
      </c>
      <c r="D1021" t="str">
        <f>HYPERLINK("http://service.sap.com/sap/support/notes/1523384","1523384")</f>
        <v>1523384</v>
      </c>
      <c r="E1021">
        <v>2</v>
      </c>
      <c r="F1021" t="s">
        <v>1295</v>
      </c>
    </row>
    <row r="1022" spans="1:6" x14ac:dyDescent="0.25">
      <c r="A1022" t="s">
        <v>1403</v>
      </c>
      <c r="B1022" t="s">
        <v>508</v>
      </c>
      <c r="C1022" t="s">
        <v>509</v>
      </c>
      <c r="D1022" t="str">
        <f>HYPERLINK("http://service.sap.com/sap/support/notes/1523952","1523952")</f>
        <v>1523952</v>
      </c>
      <c r="E1022">
        <v>3</v>
      </c>
      <c r="F1022" t="s">
        <v>1296</v>
      </c>
    </row>
    <row r="1023" spans="1:6" x14ac:dyDescent="0.25">
      <c r="A1023" t="s">
        <v>1403</v>
      </c>
      <c r="B1023" t="s">
        <v>528</v>
      </c>
      <c r="C1023" t="s">
        <v>529</v>
      </c>
      <c r="D1023" t="str">
        <f>HYPERLINK("http://service.sap.com/sap/support/notes/870012","870012")</f>
        <v>870012</v>
      </c>
      <c r="E1023">
        <v>1</v>
      </c>
      <c r="F1023" t="s">
        <v>530</v>
      </c>
    </row>
    <row r="1024" spans="1:6" x14ac:dyDescent="0.25">
      <c r="A1024" t="s">
        <v>1403</v>
      </c>
      <c r="B1024" t="s">
        <v>531</v>
      </c>
      <c r="C1024" t="s">
        <v>725</v>
      </c>
      <c r="D1024" t="str">
        <f>HYPERLINK("http://service.sap.com/sap/support/notes/1403607","1403607")</f>
        <v>1403607</v>
      </c>
      <c r="E1024">
        <v>3</v>
      </c>
      <c r="F1024" t="s">
        <v>1297</v>
      </c>
    </row>
    <row r="1025" spans="1:6" x14ac:dyDescent="0.25">
      <c r="A1025" t="s">
        <v>1403</v>
      </c>
      <c r="B1025" t="s">
        <v>531</v>
      </c>
      <c r="C1025" t="s">
        <v>725</v>
      </c>
      <c r="D1025" t="str">
        <f>HYPERLINK("http://service.sap.com/sap/support/notes/1487277","1487277")</f>
        <v>1487277</v>
      </c>
      <c r="E1025">
        <v>1</v>
      </c>
      <c r="F1025" t="s">
        <v>1106</v>
      </c>
    </row>
    <row r="1026" spans="1:6" x14ac:dyDescent="0.25">
      <c r="A1026" t="s">
        <v>1403</v>
      </c>
      <c r="B1026" t="s">
        <v>531</v>
      </c>
      <c r="C1026" t="s">
        <v>725</v>
      </c>
      <c r="D1026" t="str">
        <f>HYPERLINK("http://service.sap.com/sap/support/notes/1498015","1498015")</f>
        <v>1498015</v>
      </c>
      <c r="E1026">
        <v>1</v>
      </c>
      <c r="F1026" t="s">
        <v>1298</v>
      </c>
    </row>
    <row r="1027" spans="1:6" x14ac:dyDescent="0.25">
      <c r="A1027" t="s">
        <v>1403</v>
      </c>
      <c r="B1027" t="s">
        <v>531</v>
      </c>
      <c r="C1027" t="s">
        <v>725</v>
      </c>
      <c r="D1027" t="str">
        <f>HYPERLINK("http://service.sap.com/sap/support/notes/1506219","1506219")</f>
        <v>1506219</v>
      </c>
      <c r="E1027">
        <v>2</v>
      </c>
      <c r="F1027" t="s">
        <v>37</v>
      </c>
    </row>
    <row r="1028" spans="1:6" x14ac:dyDescent="0.25">
      <c r="A1028" t="s">
        <v>1403</v>
      </c>
      <c r="B1028" t="s">
        <v>531</v>
      </c>
      <c r="C1028" t="s">
        <v>725</v>
      </c>
      <c r="D1028" t="str">
        <f>HYPERLINK("http://service.sap.com/sap/support/notes/1513132","1513132")</f>
        <v>1513132</v>
      </c>
      <c r="E1028">
        <v>1</v>
      </c>
      <c r="F1028" t="s">
        <v>1299</v>
      </c>
    </row>
    <row r="1029" spans="1:6" x14ac:dyDescent="0.25">
      <c r="A1029" t="s">
        <v>1403</v>
      </c>
      <c r="B1029" t="s">
        <v>531</v>
      </c>
      <c r="C1029" t="s">
        <v>725</v>
      </c>
      <c r="D1029" t="str">
        <f>HYPERLINK("http://service.sap.com/sap/support/notes/1516568","1516568")</f>
        <v>1516568</v>
      </c>
      <c r="E1029">
        <v>1</v>
      </c>
      <c r="F1029" t="s">
        <v>1300</v>
      </c>
    </row>
    <row r="1030" spans="1:6" x14ac:dyDescent="0.25">
      <c r="A1030" t="s">
        <v>1403</v>
      </c>
      <c r="B1030" t="s">
        <v>531</v>
      </c>
      <c r="C1030" t="s">
        <v>725</v>
      </c>
      <c r="D1030" t="str">
        <f>HYPERLINK("http://service.sap.com/sap/support/notes/1523841","1523841")</f>
        <v>1523841</v>
      </c>
      <c r="E1030">
        <v>1</v>
      </c>
      <c r="F1030" t="s">
        <v>533</v>
      </c>
    </row>
    <row r="1031" spans="1:6" x14ac:dyDescent="0.25">
      <c r="A1031" t="s">
        <v>1403</v>
      </c>
      <c r="B1031" t="s">
        <v>531</v>
      </c>
      <c r="C1031" t="s">
        <v>725</v>
      </c>
      <c r="D1031" t="str">
        <f>HYPERLINK("http://service.sap.com/sap/support/notes/1528514","1528514")</f>
        <v>1528514</v>
      </c>
      <c r="E1031">
        <v>1</v>
      </c>
      <c r="F1031" t="s">
        <v>1301</v>
      </c>
    </row>
    <row r="1032" spans="1:6" x14ac:dyDescent="0.25">
      <c r="A1032" t="s">
        <v>1403</v>
      </c>
      <c r="B1032" t="s">
        <v>531</v>
      </c>
      <c r="C1032" t="s">
        <v>725</v>
      </c>
      <c r="D1032" t="str">
        <f>HYPERLINK("http://service.sap.com/sap/support/notes/1528523","1528523")</f>
        <v>1528523</v>
      </c>
      <c r="E1032">
        <v>1</v>
      </c>
      <c r="F1032" t="s">
        <v>1302</v>
      </c>
    </row>
    <row r="1033" spans="1:6" x14ac:dyDescent="0.25">
      <c r="A1033" t="s">
        <v>1403</v>
      </c>
      <c r="B1033" t="s">
        <v>531</v>
      </c>
      <c r="C1033" t="s">
        <v>725</v>
      </c>
      <c r="D1033" t="str">
        <f>HYPERLINK("http://service.sap.com/sap/support/notes/1529939","1529939")</f>
        <v>1529939</v>
      </c>
      <c r="E1033">
        <v>1</v>
      </c>
      <c r="F1033" t="s">
        <v>1303</v>
      </c>
    </row>
    <row r="1034" spans="1:6" x14ac:dyDescent="0.25">
      <c r="A1034" t="s">
        <v>1403</v>
      </c>
      <c r="B1034" t="s">
        <v>531</v>
      </c>
      <c r="C1034" t="s">
        <v>725</v>
      </c>
      <c r="D1034" t="str">
        <f>HYPERLINK("http://service.sap.com/sap/support/notes/1531882","1531882")</f>
        <v>1531882</v>
      </c>
      <c r="E1034">
        <v>1</v>
      </c>
      <c r="F1034" t="s">
        <v>1304</v>
      </c>
    </row>
    <row r="1035" spans="1:6" x14ac:dyDescent="0.25">
      <c r="A1035" t="s">
        <v>1403</v>
      </c>
      <c r="B1035" t="s">
        <v>1305</v>
      </c>
      <c r="C1035" t="s">
        <v>653</v>
      </c>
      <c r="D1035" t="str">
        <f>HYPERLINK("http://service.sap.com/sap/support/notes/1473028","1473028")</f>
        <v>1473028</v>
      </c>
      <c r="E1035">
        <v>2</v>
      </c>
      <c r="F1035" t="s">
        <v>1306</v>
      </c>
    </row>
    <row r="1036" spans="1:6" x14ac:dyDescent="0.25">
      <c r="A1036" t="s">
        <v>1403</v>
      </c>
      <c r="B1036" t="s">
        <v>1305</v>
      </c>
      <c r="C1036" t="s">
        <v>653</v>
      </c>
      <c r="D1036" t="str">
        <f>HYPERLINK("http://service.sap.com/sap/support/notes/1475387","1475387")</f>
        <v>1475387</v>
      </c>
      <c r="E1036">
        <v>1</v>
      </c>
      <c r="F1036" t="s">
        <v>1307</v>
      </c>
    </row>
    <row r="1037" spans="1:6" x14ac:dyDescent="0.25">
      <c r="A1037" t="s">
        <v>1403</v>
      </c>
      <c r="B1037" t="s">
        <v>1305</v>
      </c>
      <c r="C1037" t="s">
        <v>653</v>
      </c>
      <c r="D1037" t="str">
        <f>HYPERLINK("http://service.sap.com/sap/support/notes/1480327","1480327")</f>
        <v>1480327</v>
      </c>
      <c r="E1037">
        <v>2</v>
      </c>
      <c r="F1037" t="s">
        <v>1308</v>
      </c>
    </row>
    <row r="1038" spans="1:6" x14ac:dyDescent="0.25">
      <c r="A1038" t="s">
        <v>1403</v>
      </c>
      <c r="B1038" t="s">
        <v>1305</v>
      </c>
      <c r="C1038" t="s">
        <v>653</v>
      </c>
      <c r="D1038" t="str">
        <f>HYPERLINK("http://service.sap.com/sap/support/notes/1482817","1482817")</f>
        <v>1482817</v>
      </c>
      <c r="E1038">
        <v>1</v>
      </c>
      <c r="F1038" t="s">
        <v>1309</v>
      </c>
    </row>
    <row r="1039" spans="1:6" x14ac:dyDescent="0.25">
      <c r="A1039" t="s">
        <v>1403</v>
      </c>
      <c r="B1039" t="s">
        <v>1305</v>
      </c>
      <c r="C1039" t="s">
        <v>653</v>
      </c>
      <c r="D1039" t="str">
        <f>HYPERLINK("http://service.sap.com/sap/support/notes/1485037","1485037")</f>
        <v>1485037</v>
      </c>
      <c r="E1039">
        <v>1</v>
      </c>
      <c r="F1039" t="s">
        <v>1310</v>
      </c>
    </row>
    <row r="1040" spans="1:6" x14ac:dyDescent="0.25">
      <c r="A1040" t="s">
        <v>1403</v>
      </c>
      <c r="B1040" t="s">
        <v>1305</v>
      </c>
      <c r="C1040" t="s">
        <v>653</v>
      </c>
      <c r="D1040" t="str">
        <f>HYPERLINK("http://service.sap.com/sap/support/notes/1493469","1493469")</f>
        <v>1493469</v>
      </c>
      <c r="E1040">
        <v>2</v>
      </c>
      <c r="F1040" t="s">
        <v>1311</v>
      </c>
    </row>
    <row r="1041" spans="1:6" x14ac:dyDescent="0.25">
      <c r="A1041" t="s">
        <v>1403</v>
      </c>
      <c r="B1041" t="s">
        <v>1305</v>
      </c>
      <c r="C1041" t="s">
        <v>653</v>
      </c>
      <c r="D1041" t="str">
        <f>HYPERLINK("http://service.sap.com/sap/support/notes/1495462","1495462")</f>
        <v>1495462</v>
      </c>
      <c r="E1041">
        <v>1</v>
      </c>
      <c r="F1041" t="s">
        <v>1312</v>
      </c>
    </row>
    <row r="1042" spans="1:6" x14ac:dyDescent="0.25">
      <c r="A1042" t="s">
        <v>1403</v>
      </c>
      <c r="B1042" t="s">
        <v>1305</v>
      </c>
      <c r="C1042" t="s">
        <v>653</v>
      </c>
      <c r="D1042" t="str">
        <f>HYPERLINK("http://service.sap.com/sap/support/notes/1524540","1524540")</f>
        <v>1524540</v>
      </c>
      <c r="E1042">
        <v>1</v>
      </c>
      <c r="F1042" t="s">
        <v>1313</v>
      </c>
    </row>
    <row r="1043" spans="1:6" x14ac:dyDescent="0.25">
      <c r="A1043" t="s">
        <v>1403</v>
      </c>
      <c r="B1043" t="s">
        <v>1314</v>
      </c>
      <c r="C1043" t="s">
        <v>1315</v>
      </c>
      <c r="D1043" t="str">
        <f>HYPERLINK("http://service.sap.com/sap/support/notes/1468957","1468957")</f>
        <v>1468957</v>
      </c>
      <c r="E1043">
        <v>2</v>
      </c>
      <c r="F1043" t="s">
        <v>1316</v>
      </c>
    </row>
    <row r="1044" spans="1:6" x14ac:dyDescent="0.25">
      <c r="A1044" t="s">
        <v>1403</v>
      </c>
      <c r="B1044" t="s">
        <v>1317</v>
      </c>
      <c r="C1044" t="s">
        <v>1318</v>
      </c>
      <c r="D1044" t="str">
        <f>HYPERLINK("http://service.sap.com/sap/support/notes/1476018","1476018")</f>
        <v>1476018</v>
      </c>
      <c r="E1044">
        <v>2</v>
      </c>
      <c r="F1044" t="s">
        <v>1319</v>
      </c>
    </row>
    <row r="1045" spans="1:6" x14ac:dyDescent="0.25">
      <c r="A1045" t="s">
        <v>1403</v>
      </c>
      <c r="B1045" t="s">
        <v>1320</v>
      </c>
      <c r="C1045" t="s">
        <v>1321</v>
      </c>
      <c r="D1045" t="str">
        <f>HYPERLINK("http://service.sap.com/sap/support/notes/1473742","1473742")</f>
        <v>1473742</v>
      </c>
      <c r="E1045">
        <v>1</v>
      </c>
      <c r="F1045" t="s">
        <v>1322</v>
      </c>
    </row>
    <row r="1046" spans="1:6" x14ac:dyDescent="0.25">
      <c r="A1046" t="s">
        <v>1403</v>
      </c>
      <c r="B1046" t="s">
        <v>1320</v>
      </c>
      <c r="C1046" t="s">
        <v>1321</v>
      </c>
      <c r="D1046" t="str">
        <f>HYPERLINK("http://service.sap.com/sap/support/notes/1473904","1473904")</f>
        <v>1473904</v>
      </c>
      <c r="E1046">
        <v>1</v>
      </c>
      <c r="F1046" t="s">
        <v>1323</v>
      </c>
    </row>
    <row r="1047" spans="1:6" x14ac:dyDescent="0.25">
      <c r="A1047" t="s">
        <v>1403</v>
      </c>
      <c r="B1047" t="s">
        <v>1320</v>
      </c>
      <c r="C1047" t="s">
        <v>1321</v>
      </c>
      <c r="D1047" t="str">
        <f>HYPERLINK("http://service.sap.com/sap/support/notes/1479446","1479446")</f>
        <v>1479446</v>
      </c>
      <c r="E1047">
        <v>2</v>
      </c>
      <c r="F1047" t="s">
        <v>1324</v>
      </c>
    </row>
    <row r="1048" spans="1:6" x14ac:dyDescent="0.25">
      <c r="A1048" t="s">
        <v>1403</v>
      </c>
      <c r="B1048" t="s">
        <v>1320</v>
      </c>
      <c r="C1048" t="s">
        <v>1321</v>
      </c>
      <c r="D1048" t="str">
        <f>HYPERLINK("http://service.sap.com/sap/support/notes/1479704","1479704")</f>
        <v>1479704</v>
      </c>
      <c r="E1048">
        <v>2</v>
      </c>
      <c r="F1048" t="s">
        <v>1325</v>
      </c>
    </row>
    <row r="1049" spans="1:6" x14ac:dyDescent="0.25">
      <c r="A1049" t="s">
        <v>1403</v>
      </c>
      <c r="B1049" t="s">
        <v>1320</v>
      </c>
      <c r="C1049" t="s">
        <v>1321</v>
      </c>
      <c r="D1049" t="str">
        <f>HYPERLINK("http://service.sap.com/sap/support/notes/1479814","1479814")</f>
        <v>1479814</v>
      </c>
      <c r="E1049">
        <v>2</v>
      </c>
      <c r="F1049" t="s">
        <v>1326</v>
      </c>
    </row>
    <row r="1050" spans="1:6" x14ac:dyDescent="0.25">
      <c r="A1050" t="s">
        <v>1403</v>
      </c>
      <c r="B1050" t="s">
        <v>1320</v>
      </c>
      <c r="C1050" t="s">
        <v>1321</v>
      </c>
      <c r="D1050" t="str">
        <f>HYPERLINK("http://service.sap.com/sap/support/notes/1485117","1485117")</f>
        <v>1485117</v>
      </c>
      <c r="E1050">
        <v>1</v>
      </c>
      <c r="F1050" t="s">
        <v>1327</v>
      </c>
    </row>
    <row r="1051" spans="1:6" x14ac:dyDescent="0.25">
      <c r="A1051" t="s">
        <v>1403</v>
      </c>
      <c r="B1051" t="s">
        <v>1320</v>
      </c>
      <c r="C1051" t="s">
        <v>1321</v>
      </c>
      <c r="D1051" t="str">
        <f>HYPERLINK("http://service.sap.com/sap/support/notes/1485508","1485508")</f>
        <v>1485508</v>
      </c>
      <c r="E1051">
        <v>2</v>
      </c>
      <c r="F1051" t="s">
        <v>1328</v>
      </c>
    </row>
    <row r="1052" spans="1:6" x14ac:dyDescent="0.25">
      <c r="A1052" t="s">
        <v>1403</v>
      </c>
      <c r="B1052" t="s">
        <v>1320</v>
      </c>
      <c r="C1052" t="s">
        <v>1321</v>
      </c>
      <c r="D1052" t="str">
        <f>HYPERLINK("http://service.sap.com/sap/support/notes/1492722","1492722")</f>
        <v>1492722</v>
      </c>
      <c r="E1052">
        <v>1</v>
      </c>
      <c r="F1052" t="s">
        <v>1329</v>
      </c>
    </row>
    <row r="1053" spans="1:6" x14ac:dyDescent="0.25">
      <c r="A1053" t="s">
        <v>1403</v>
      </c>
      <c r="B1053" t="s">
        <v>1320</v>
      </c>
      <c r="C1053" t="s">
        <v>1321</v>
      </c>
      <c r="D1053" t="str">
        <f>HYPERLINK("http://service.sap.com/sap/support/notes/1496383","1496383")</f>
        <v>1496383</v>
      </c>
      <c r="E1053">
        <v>1</v>
      </c>
      <c r="F1053" t="s">
        <v>1330</v>
      </c>
    </row>
    <row r="1054" spans="1:6" x14ac:dyDescent="0.25">
      <c r="A1054" t="s">
        <v>1403</v>
      </c>
      <c r="B1054" t="s">
        <v>1320</v>
      </c>
      <c r="C1054" t="s">
        <v>1321</v>
      </c>
      <c r="D1054" t="str">
        <f>HYPERLINK("http://service.sap.com/sap/support/notes/1498603","1498603")</f>
        <v>1498603</v>
      </c>
      <c r="E1054">
        <v>1</v>
      </c>
      <c r="F1054" t="s">
        <v>1331</v>
      </c>
    </row>
    <row r="1055" spans="1:6" x14ac:dyDescent="0.25">
      <c r="A1055" t="s">
        <v>1403</v>
      </c>
      <c r="B1055" t="s">
        <v>1320</v>
      </c>
      <c r="C1055" t="s">
        <v>1321</v>
      </c>
      <c r="D1055" t="str">
        <f>HYPERLINK("http://service.sap.com/sap/support/notes/1499086","1499086")</f>
        <v>1499086</v>
      </c>
      <c r="E1055">
        <v>2</v>
      </c>
      <c r="F1055" t="s">
        <v>1332</v>
      </c>
    </row>
    <row r="1056" spans="1:6" x14ac:dyDescent="0.25">
      <c r="A1056" t="s">
        <v>1403</v>
      </c>
      <c r="B1056" t="s">
        <v>1320</v>
      </c>
      <c r="C1056" t="s">
        <v>1321</v>
      </c>
      <c r="D1056" t="str">
        <f>HYPERLINK("http://service.sap.com/sap/support/notes/1502778","1502778")</f>
        <v>1502778</v>
      </c>
      <c r="E1056">
        <v>1</v>
      </c>
      <c r="F1056" t="s">
        <v>1333</v>
      </c>
    </row>
    <row r="1057" spans="1:6" x14ac:dyDescent="0.25">
      <c r="A1057" t="s">
        <v>1403</v>
      </c>
      <c r="B1057" t="s">
        <v>1320</v>
      </c>
      <c r="C1057" t="s">
        <v>1321</v>
      </c>
      <c r="D1057" t="str">
        <f>HYPERLINK("http://service.sap.com/sap/support/notes/1504055","1504055")</f>
        <v>1504055</v>
      </c>
      <c r="E1057">
        <v>2</v>
      </c>
      <c r="F1057" t="s">
        <v>1334</v>
      </c>
    </row>
    <row r="1058" spans="1:6" x14ac:dyDescent="0.25">
      <c r="A1058" t="s">
        <v>1403</v>
      </c>
      <c r="B1058" t="s">
        <v>1320</v>
      </c>
      <c r="C1058" t="s">
        <v>1321</v>
      </c>
      <c r="D1058" t="str">
        <f>HYPERLINK("http://service.sap.com/sap/support/notes/1511764","1511764")</f>
        <v>1511764</v>
      </c>
      <c r="E1058">
        <v>1</v>
      </c>
      <c r="F1058" t="s">
        <v>1335</v>
      </c>
    </row>
    <row r="1059" spans="1:6" x14ac:dyDescent="0.25">
      <c r="A1059" t="s">
        <v>1403</v>
      </c>
      <c r="B1059" t="s">
        <v>1320</v>
      </c>
      <c r="C1059" t="s">
        <v>1321</v>
      </c>
      <c r="D1059" t="str">
        <f>HYPERLINK("http://service.sap.com/sap/support/notes/1513984","1513984")</f>
        <v>1513984</v>
      </c>
      <c r="E1059">
        <v>2</v>
      </c>
      <c r="F1059" t="s">
        <v>1336</v>
      </c>
    </row>
    <row r="1060" spans="1:6" x14ac:dyDescent="0.25">
      <c r="A1060" t="s">
        <v>1403</v>
      </c>
      <c r="B1060" t="s">
        <v>1320</v>
      </c>
      <c r="C1060" t="s">
        <v>1321</v>
      </c>
      <c r="D1060" t="str">
        <f>HYPERLINK("http://service.sap.com/sap/support/notes/1515889","1515889")</f>
        <v>1515889</v>
      </c>
      <c r="E1060">
        <v>2</v>
      </c>
      <c r="F1060" t="s">
        <v>1337</v>
      </c>
    </row>
    <row r="1061" spans="1:6" x14ac:dyDescent="0.25">
      <c r="A1061" t="s">
        <v>1403</v>
      </c>
      <c r="B1061" t="s">
        <v>1320</v>
      </c>
      <c r="C1061" t="s">
        <v>1321</v>
      </c>
      <c r="D1061" t="str">
        <f>HYPERLINK("http://service.sap.com/sap/support/notes/1517938","1517938")</f>
        <v>1517938</v>
      </c>
      <c r="E1061">
        <v>3</v>
      </c>
      <c r="F1061" t="s">
        <v>1338</v>
      </c>
    </row>
    <row r="1062" spans="1:6" x14ac:dyDescent="0.25">
      <c r="A1062" t="s">
        <v>1403</v>
      </c>
      <c r="B1062" t="s">
        <v>1320</v>
      </c>
      <c r="C1062" t="s">
        <v>1321</v>
      </c>
      <c r="D1062" t="str">
        <f>HYPERLINK("http://service.sap.com/sap/support/notes/1521357","1521357")</f>
        <v>1521357</v>
      </c>
      <c r="E1062">
        <v>1</v>
      </c>
      <c r="F1062" t="s">
        <v>1339</v>
      </c>
    </row>
    <row r="1063" spans="1:6" x14ac:dyDescent="0.25">
      <c r="A1063" t="s">
        <v>1403</v>
      </c>
      <c r="B1063" t="s">
        <v>1320</v>
      </c>
      <c r="C1063" t="s">
        <v>1321</v>
      </c>
      <c r="D1063" t="str">
        <f>HYPERLINK("http://service.sap.com/sap/support/notes/1527363","1527363")</f>
        <v>1527363</v>
      </c>
      <c r="E1063">
        <v>2</v>
      </c>
      <c r="F1063" t="s">
        <v>1340</v>
      </c>
    </row>
    <row r="1064" spans="1:6" x14ac:dyDescent="0.25">
      <c r="A1064" t="s">
        <v>1403</v>
      </c>
      <c r="B1064" t="s">
        <v>1320</v>
      </c>
      <c r="C1064" t="s">
        <v>1321</v>
      </c>
      <c r="D1064" t="str">
        <f>HYPERLINK("http://service.sap.com/sap/support/notes/1527677","1527677")</f>
        <v>1527677</v>
      </c>
      <c r="E1064">
        <v>3</v>
      </c>
      <c r="F1064" t="s">
        <v>1341</v>
      </c>
    </row>
    <row r="1065" spans="1:6" x14ac:dyDescent="0.25">
      <c r="A1065" t="s">
        <v>1403</v>
      </c>
      <c r="B1065" t="s">
        <v>1342</v>
      </c>
      <c r="C1065" t="s">
        <v>1343</v>
      </c>
      <c r="D1065" t="str">
        <f>HYPERLINK("http://service.sap.com/sap/support/notes/1422503","1422503")</f>
        <v>1422503</v>
      </c>
      <c r="E1065">
        <v>1</v>
      </c>
      <c r="F1065" t="s">
        <v>1344</v>
      </c>
    </row>
    <row r="1066" spans="1:6" x14ac:dyDescent="0.25">
      <c r="A1066" t="s">
        <v>1403</v>
      </c>
      <c r="B1066" t="s">
        <v>1342</v>
      </c>
      <c r="C1066" t="s">
        <v>1343</v>
      </c>
      <c r="D1066" t="str">
        <f>HYPERLINK("http://service.sap.com/sap/support/notes/1425601","1425601")</f>
        <v>1425601</v>
      </c>
      <c r="E1066">
        <v>1</v>
      </c>
      <c r="F1066" t="s">
        <v>1345</v>
      </c>
    </row>
    <row r="1067" spans="1:6" x14ac:dyDescent="0.25">
      <c r="A1067" t="s">
        <v>1403</v>
      </c>
      <c r="B1067" t="s">
        <v>1342</v>
      </c>
      <c r="C1067" t="s">
        <v>1343</v>
      </c>
      <c r="D1067" t="str">
        <f>HYPERLINK("http://service.sap.com/sap/support/notes/1473804","1473804")</f>
        <v>1473804</v>
      </c>
      <c r="E1067">
        <v>2</v>
      </c>
      <c r="F1067" t="s">
        <v>1346</v>
      </c>
    </row>
    <row r="1068" spans="1:6" x14ac:dyDescent="0.25">
      <c r="A1068" t="s">
        <v>1403</v>
      </c>
      <c r="B1068" t="s">
        <v>1342</v>
      </c>
      <c r="C1068" t="s">
        <v>1343</v>
      </c>
      <c r="D1068" t="str">
        <f>HYPERLINK("http://service.sap.com/sap/support/notes/1489059","1489059")</f>
        <v>1489059</v>
      </c>
      <c r="E1068">
        <v>1</v>
      </c>
      <c r="F1068" t="s">
        <v>1347</v>
      </c>
    </row>
    <row r="1069" spans="1:6" x14ac:dyDescent="0.25">
      <c r="A1069" t="s">
        <v>1403</v>
      </c>
      <c r="B1069" t="s">
        <v>1342</v>
      </c>
      <c r="C1069" t="s">
        <v>1343</v>
      </c>
      <c r="D1069" t="str">
        <f>HYPERLINK("http://service.sap.com/sap/support/notes/1511752","1511752")</f>
        <v>1511752</v>
      </c>
      <c r="E1069">
        <v>1</v>
      </c>
      <c r="F1069" t="s">
        <v>1348</v>
      </c>
    </row>
    <row r="1070" spans="1:6" x14ac:dyDescent="0.25">
      <c r="A1070" t="s">
        <v>1403</v>
      </c>
      <c r="B1070" t="s">
        <v>1349</v>
      </c>
      <c r="C1070" t="s">
        <v>1350</v>
      </c>
      <c r="D1070" t="str">
        <f>HYPERLINK("http://service.sap.com/sap/support/notes/1465334","1465334")</f>
        <v>1465334</v>
      </c>
      <c r="E1070">
        <v>2</v>
      </c>
      <c r="F1070" t="s">
        <v>1351</v>
      </c>
    </row>
    <row r="1071" spans="1:6" x14ac:dyDescent="0.25">
      <c r="A1071" t="s">
        <v>1403</v>
      </c>
      <c r="B1071" t="s">
        <v>1352</v>
      </c>
      <c r="C1071" t="s">
        <v>1218</v>
      </c>
      <c r="D1071" t="str">
        <f>HYPERLINK("http://service.sap.com/sap/support/notes/1255740","1255740")</f>
        <v>1255740</v>
      </c>
      <c r="E1071">
        <v>4</v>
      </c>
      <c r="F1071" t="s">
        <v>1353</v>
      </c>
    </row>
    <row r="1072" spans="1:6" x14ac:dyDescent="0.25">
      <c r="A1072" t="s">
        <v>1403</v>
      </c>
      <c r="B1072" t="s">
        <v>1352</v>
      </c>
      <c r="C1072" t="s">
        <v>1218</v>
      </c>
      <c r="D1072" t="str">
        <f>HYPERLINK("http://service.sap.com/sap/support/notes/1419073","1419073")</f>
        <v>1419073</v>
      </c>
      <c r="E1072">
        <v>4</v>
      </c>
      <c r="F1072" t="s">
        <v>1354</v>
      </c>
    </row>
    <row r="1073" spans="1:6" x14ac:dyDescent="0.25">
      <c r="A1073" t="s">
        <v>1403</v>
      </c>
      <c r="B1073" t="s">
        <v>1352</v>
      </c>
      <c r="C1073" t="s">
        <v>1218</v>
      </c>
      <c r="D1073" t="str">
        <f>HYPERLINK("http://service.sap.com/sap/support/notes/1487776","1487776")</f>
        <v>1487776</v>
      </c>
      <c r="E1073">
        <v>1</v>
      </c>
      <c r="F1073" t="s">
        <v>1355</v>
      </c>
    </row>
    <row r="1074" spans="1:6" x14ac:dyDescent="0.25">
      <c r="A1074" t="s">
        <v>1403</v>
      </c>
      <c r="B1074" t="s">
        <v>1352</v>
      </c>
      <c r="C1074" t="s">
        <v>1218</v>
      </c>
      <c r="D1074" t="str">
        <f>HYPERLINK("http://service.sap.com/sap/support/notes/1509030","1509030")</f>
        <v>1509030</v>
      </c>
      <c r="E1074">
        <v>2</v>
      </c>
      <c r="F1074" t="s">
        <v>1356</v>
      </c>
    </row>
    <row r="1075" spans="1:6" x14ac:dyDescent="0.25">
      <c r="A1075" t="s">
        <v>1403</v>
      </c>
      <c r="B1075" t="s">
        <v>1352</v>
      </c>
      <c r="C1075" t="s">
        <v>1218</v>
      </c>
      <c r="D1075" t="str">
        <f>HYPERLINK("http://service.sap.com/sap/support/notes/1515497","1515497")</f>
        <v>1515497</v>
      </c>
      <c r="E1075">
        <v>3</v>
      </c>
      <c r="F1075" t="s">
        <v>1357</v>
      </c>
    </row>
    <row r="1076" spans="1:6" x14ac:dyDescent="0.25">
      <c r="A1076" t="s">
        <v>1403</v>
      </c>
      <c r="B1076" t="s">
        <v>1352</v>
      </c>
      <c r="C1076" t="s">
        <v>1218</v>
      </c>
      <c r="D1076" t="str">
        <f>HYPERLINK("http://service.sap.com/sap/support/notes/1518594","1518594")</f>
        <v>1518594</v>
      </c>
      <c r="E1076">
        <v>1</v>
      </c>
      <c r="F1076" t="s">
        <v>1358</v>
      </c>
    </row>
    <row r="1077" spans="1:6" x14ac:dyDescent="0.25">
      <c r="A1077" t="s">
        <v>1403</v>
      </c>
      <c r="B1077" t="s">
        <v>1352</v>
      </c>
      <c r="C1077" t="s">
        <v>1218</v>
      </c>
      <c r="D1077" t="str">
        <f>HYPERLINK("http://service.sap.com/sap/support/notes/1526495","1526495")</f>
        <v>1526495</v>
      </c>
      <c r="E1077">
        <v>1</v>
      </c>
      <c r="F1077" t="s">
        <v>1359</v>
      </c>
    </row>
    <row r="1078" spans="1:6" x14ac:dyDescent="0.25">
      <c r="A1078" t="s">
        <v>1403</v>
      </c>
      <c r="B1078" t="s">
        <v>1352</v>
      </c>
      <c r="C1078" t="s">
        <v>1218</v>
      </c>
      <c r="D1078" t="str">
        <f>HYPERLINK("http://service.sap.com/sap/support/notes/1527648","1527648")</f>
        <v>1527648</v>
      </c>
      <c r="E1078">
        <v>1</v>
      </c>
      <c r="F1078" t="s">
        <v>1360</v>
      </c>
    </row>
    <row r="1079" spans="1:6" x14ac:dyDescent="0.25">
      <c r="A1079" t="s">
        <v>1403</v>
      </c>
      <c r="B1079" t="s">
        <v>1361</v>
      </c>
      <c r="C1079" t="s">
        <v>1362</v>
      </c>
      <c r="D1079" t="str">
        <f>HYPERLINK("http://service.sap.com/sap/support/notes/1477440","1477440")</f>
        <v>1477440</v>
      </c>
      <c r="E1079">
        <v>1</v>
      </c>
      <c r="F1079" t="s">
        <v>1363</v>
      </c>
    </row>
    <row r="1080" spans="1:6" x14ac:dyDescent="0.25">
      <c r="A1080" t="s">
        <v>1403</v>
      </c>
      <c r="B1080" t="s">
        <v>1361</v>
      </c>
      <c r="C1080" t="s">
        <v>1362</v>
      </c>
      <c r="D1080" t="str">
        <f>HYPERLINK("http://service.sap.com/sap/support/notes/1479646","1479646")</f>
        <v>1479646</v>
      </c>
      <c r="E1080">
        <v>1</v>
      </c>
      <c r="F1080" t="s">
        <v>1364</v>
      </c>
    </row>
    <row r="1081" spans="1:6" x14ac:dyDescent="0.25">
      <c r="A1081" t="s">
        <v>1403</v>
      </c>
      <c r="B1081" t="s">
        <v>1361</v>
      </c>
      <c r="C1081" t="s">
        <v>1362</v>
      </c>
      <c r="D1081" t="str">
        <f>HYPERLINK("http://service.sap.com/sap/support/notes/1492238","1492238")</f>
        <v>1492238</v>
      </c>
      <c r="E1081">
        <v>1</v>
      </c>
      <c r="F1081" t="s">
        <v>1365</v>
      </c>
    </row>
    <row r="1082" spans="1:6" x14ac:dyDescent="0.25">
      <c r="A1082" t="s">
        <v>1403</v>
      </c>
      <c r="B1082" t="s">
        <v>1361</v>
      </c>
      <c r="C1082" t="s">
        <v>1362</v>
      </c>
      <c r="D1082" t="str">
        <f>HYPERLINK("http://service.sap.com/sap/support/notes/1493565","1493565")</f>
        <v>1493565</v>
      </c>
      <c r="E1082">
        <v>3</v>
      </c>
      <c r="F1082" t="s">
        <v>1366</v>
      </c>
    </row>
    <row r="1083" spans="1:6" x14ac:dyDescent="0.25">
      <c r="A1083" t="s">
        <v>1403</v>
      </c>
      <c r="B1083" t="s">
        <v>1361</v>
      </c>
      <c r="C1083" t="s">
        <v>1362</v>
      </c>
      <c r="D1083" t="str">
        <f>HYPERLINK("http://service.sap.com/sap/support/notes/1529512","1529512")</f>
        <v>1529512</v>
      </c>
      <c r="E1083">
        <v>2</v>
      </c>
      <c r="F1083" t="s">
        <v>1367</v>
      </c>
    </row>
    <row r="1084" spans="1:6" x14ac:dyDescent="0.25">
      <c r="A1084" t="s">
        <v>1403</v>
      </c>
      <c r="B1084" t="s">
        <v>1368</v>
      </c>
      <c r="C1084" t="s">
        <v>1369</v>
      </c>
      <c r="D1084" t="str">
        <f>HYPERLINK("http://service.sap.com/sap/support/notes/1478036","1478036")</f>
        <v>1478036</v>
      </c>
      <c r="E1084">
        <v>1</v>
      </c>
      <c r="F1084" t="s">
        <v>1370</v>
      </c>
    </row>
    <row r="1085" spans="1:6" x14ac:dyDescent="0.25">
      <c r="A1085" t="s">
        <v>1403</v>
      </c>
      <c r="B1085" t="s">
        <v>1368</v>
      </c>
      <c r="C1085" t="s">
        <v>1369</v>
      </c>
      <c r="D1085" t="str">
        <f>HYPERLINK("http://service.sap.com/sap/support/notes/1480291","1480291")</f>
        <v>1480291</v>
      </c>
      <c r="E1085">
        <v>1</v>
      </c>
      <c r="F1085" t="s">
        <v>1371</v>
      </c>
    </row>
    <row r="1086" spans="1:6" x14ac:dyDescent="0.25">
      <c r="A1086" t="s">
        <v>1403</v>
      </c>
      <c r="B1086" t="s">
        <v>1368</v>
      </c>
      <c r="C1086" t="s">
        <v>1369</v>
      </c>
      <c r="D1086" t="str">
        <f>HYPERLINK("http://service.sap.com/sap/support/notes/1482415","1482415")</f>
        <v>1482415</v>
      </c>
      <c r="E1086">
        <v>4</v>
      </c>
      <c r="F1086" t="s">
        <v>1372</v>
      </c>
    </row>
    <row r="1087" spans="1:6" x14ac:dyDescent="0.25">
      <c r="A1087" t="s">
        <v>1403</v>
      </c>
      <c r="B1087" t="s">
        <v>1368</v>
      </c>
      <c r="C1087" t="s">
        <v>1369</v>
      </c>
      <c r="D1087" t="str">
        <f>HYPERLINK("http://service.sap.com/sap/support/notes/1485981","1485981")</f>
        <v>1485981</v>
      </c>
      <c r="E1087">
        <v>1</v>
      </c>
      <c r="F1087" t="s">
        <v>1373</v>
      </c>
    </row>
    <row r="1088" spans="1:6" x14ac:dyDescent="0.25">
      <c r="A1088" t="s">
        <v>1403</v>
      </c>
      <c r="B1088" t="s">
        <v>1368</v>
      </c>
      <c r="C1088" t="s">
        <v>1369</v>
      </c>
      <c r="D1088" t="str">
        <f>HYPERLINK("http://service.sap.com/sap/support/notes/1499681","1499681")</f>
        <v>1499681</v>
      </c>
      <c r="E1088">
        <v>3</v>
      </c>
      <c r="F1088" t="s">
        <v>1374</v>
      </c>
    </row>
    <row r="1089" spans="1:6" x14ac:dyDescent="0.25">
      <c r="A1089" t="s">
        <v>1403</v>
      </c>
      <c r="B1089" t="s">
        <v>1368</v>
      </c>
      <c r="C1089" t="s">
        <v>1369</v>
      </c>
      <c r="D1089" t="str">
        <f>HYPERLINK("http://service.sap.com/sap/support/notes/1499682","1499682")</f>
        <v>1499682</v>
      </c>
      <c r="E1089">
        <v>1</v>
      </c>
      <c r="F1089" t="s">
        <v>1375</v>
      </c>
    </row>
    <row r="1090" spans="1:6" x14ac:dyDescent="0.25">
      <c r="A1090" t="s">
        <v>1403</v>
      </c>
      <c r="B1090" t="s">
        <v>1368</v>
      </c>
      <c r="C1090" t="s">
        <v>1369</v>
      </c>
      <c r="D1090" t="str">
        <f>HYPERLINK("http://service.sap.com/sap/support/notes/1502782","1502782")</f>
        <v>1502782</v>
      </c>
      <c r="E1090">
        <v>3</v>
      </c>
      <c r="F1090" t="s">
        <v>1376</v>
      </c>
    </row>
    <row r="1091" spans="1:6" x14ac:dyDescent="0.25">
      <c r="A1091" t="s">
        <v>1403</v>
      </c>
      <c r="B1091" t="s">
        <v>1368</v>
      </c>
      <c r="C1091" t="s">
        <v>1369</v>
      </c>
      <c r="D1091" t="str">
        <f>HYPERLINK("http://service.sap.com/sap/support/notes/1504999","1504999")</f>
        <v>1504999</v>
      </c>
      <c r="E1091">
        <v>3</v>
      </c>
      <c r="F1091" t="s">
        <v>1377</v>
      </c>
    </row>
    <row r="1092" spans="1:6" x14ac:dyDescent="0.25">
      <c r="A1092" t="s">
        <v>1403</v>
      </c>
      <c r="B1092" t="s">
        <v>1368</v>
      </c>
      <c r="C1092" t="s">
        <v>1369</v>
      </c>
      <c r="D1092" t="str">
        <f>HYPERLINK("http://service.sap.com/sap/support/notes/1511828","1511828")</f>
        <v>1511828</v>
      </c>
      <c r="E1092">
        <v>1</v>
      </c>
      <c r="F1092" t="s">
        <v>1378</v>
      </c>
    </row>
    <row r="1093" spans="1:6" x14ac:dyDescent="0.25">
      <c r="A1093" t="s">
        <v>1403</v>
      </c>
      <c r="B1093" t="s">
        <v>1368</v>
      </c>
      <c r="C1093" t="s">
        <v>1369</v>
      </c>
      <c r="D1093" t="str">
        <f>HYPERLINK("http://service.sap.com/sap/support/notes/1525445","1525445")</f>
        <v>1525445</v>
      </c>
      <c r="E1093">
        <v>2</v>
      </c>
      <c r="F1093" t="s">
        <v>1379</v>
      </c>
    </row>
    <row r="1094" spans="1:6" x14ac:dyDescent="0.25">
      <c r="A1094" t="s">
        <v>1403</v>
      </c>
      <c r="B1094" t="s">
        <v>1380</v>
      </c>
      <c r="C1094" t="s">
        <v>1381</v>
      </c>
      <c r="D1094" t="str">
        <f>HYPERLINK("http://service.sap.com/sap/support/notes/1407815","1407815")</f>
        <v>1407815</v>
      </c>
      <c r="E1094">
        <v>1</v>
      </c>
      <c r="F1094" t="s">
        <v>1382</v>
      </c>
    </row>
    <row r="1095" spans="1:6" x14ac:dyDescent="0.25">
      <c r="A1095" t="s">
        <v>1403</v>
      </c>
      <c r="B1095" t="s">
        <v>1380</v>
      </c>
      <c r="C1095" t="s">
        <v>1381</v>
      </c>
      <c r="D1095" t="str">
        <f>HYPERLINK("http://service.sap.com/sap/support/notes/1473175","1473175")</f>
        <v>1473175</v>
      </c>
      <c r="E1095">
        <v>2</v>
      </c>
      <c r="F1095" t="s">
        <v>1383</v>
      </c>
    </row>
    <row r="1096" spans="1:6" x14ac:dyDescent="0.25">
      <c r="A1096" t="s">
        <v>1403</v>
      </c>
      <c r="B1096" t="s">
        <v>1380</v>
      </c>
      <c r="C1096" t="s">
        <v>1381</v>
      </c>
      <c r="D1096" t="str">
        <f>HYPERLINK("http://service.sap.com/sap/support/notes/1480035","1480035")</f>
        <v>1480035</v>
      </c>
      <c r="E1096">
        <v>2</v>
      </c>
      <c r="F1096" t="s">
        <v>1384</v>
      </c>
    </row>
    <row r="1097" spans="1:6" x14ac:dyDescent="0.25">
      <c r="A1097" t="s">
        <v>1403</v>
      </c>
      <c r="B1097" t="s">
        <v>1380</v>
      </c>
      <c r="C1097" t="s">
        <v>1381</v>
      </c>
      <c r="D1097" t="str">
        <f>HYPERLINK("http://service.sap.com/sap/support/notes/1483372","1483372")</f>
        <v>1483372</v>
      </c>
      <c r="E1097">
        <v>1</v>
      </c>
      <c r="F1097" t="s">
        <v>1385</v>
      </c>
    </row>
    <row r="1098" spans="1:6" x14ac:dyDescent="0.25">
      <c r="A1098" t="s">
        <v>1403</v>
      </c>
      <c r="B1098" t="s">
        <v>1380</v>
      </c>
      <c r="C1098" t="s">
        <v>1381</v>
      </c>
      <c r="D1098" t="str">
        <f>HYPERLINK("http://service.sap.com/sap/support/notes/1484130","1484130")</f>
        <v>1484130</v>
      </c>
      <c r="E1098">
        <v>3</v>
      </c>
      <c r="F1098" t="s">
        <v>1386</v>
      </c>
    </row>
    <row r="1099" spans="1:6" x14ac:dyDescent="0.25">
      <c r="A1099" t="s">
        <v>1403</v>
      </c>
      <c r="B1099" t="s">
        <v>1380</v>
      </c>
      <c r="C1099" t="s">
        <v>1381</v>
      </c>
      <c r="D1099" t="str">
        <f>HYPERLINK("http://service.sap.com/sap/support/notes/1485655","1485655")</f>
        <v>1485655</v>
      </c>
      <c r="E1099">
        <v>7</v>
      </c>
      <c r="F1099" t="s">
        <v>1387</v>
      </c>
    </row>
    <row r="1100" spans="1:6" x14ac:dyDescent="0.25">
      <c r="A1100" t="s">
        <v>1403</v>
      </c>
      <c r="B1100" t="s">
        <v>1380</v>
      </c>
      <c r="C1100" t="s">
        <v>1381</v>
      </c>
      <c r="D1100" t="str">
        <f>HYPERLINK("http://service.sap.com/sap/support/notes/1486590","1486590")</f>
        <v>1486590</v>
      </c>
      <c r="E1100">
        <v>1</v>
      </c>
      <c r="F1100" t="s">
        <v>1388</v>
      </c>
    </row>
    <row r="1101" spans="1:6" x14ac:dyDescent="0.25">
      <c r="A1101" t="s">
        <v>1403</v>
      </c>
      <c r="B1101" t="s">
        <v>1380</v>
      </c>
      <c r="C1101" t="s">
        <v>1381</v>
      </c>
      <c r="D1101" t="str">
        <f>HYPERLINK("http://service.sap.com/sap/support/notes/1487453","1487453")</f>
        <v>1487453</v>
      </c>
      <c r="E1101">
        <v>1</v>
      </c>
      <c r="F1101" t="s">
        <v>1389</v>
      </c>
    </row>
    <row r="1102" spans="1:6" x14ac:dyDescent="0.25">
      <c r="A1102" t="s">
        <v>1403</v>
      </c>
      <c r="B1102" t="s">
        <v>1380</v>
      </c>
      <c r="C1102" t="s">
        <v>1381</v>
      </c>
      <c r="D1102" t="str">
        <f>HYPERLINK("http://service.sap.com/sap/support/notes/1515056","1515056")</f>
        <v>1515056</v>
      </c>
      <c r="E1102">
        <v>2</v>
      </c>
      <c r="F1102" t="s">
        <v>1390</v>
      </c>
    </row>
    <row r="1103" spans="1:6" x14ac:dyDescent="0.25">
      <c r="A1103" t="s">
        <v>1403</v>
      </c>
      <c r="B1103" t="s">
        <v>1380</v>
      </c>
      <c r="C1103" t="s">
        <v>1381</v>
      </c>
      <c r="D1103" t="str">
        <f>HYPERLINK("http://service.sap.com/sap/support/notes/1516425","1516425")</f>
        <v>1516425</v>
      </c>
      <c r="E1103">
        <v>1</v>
      </c>
      <c r="F1103" t="s">
        <v>1391</v>
      </c>
    </row>
    <row r="1104" spans="1:6" x14ac:dyDescent="0.25">
      <c r="A1104" t="s">
        <v>1403</v>
      </c>
      <c r="B1104" t="s">
        <v>1380</v>
      </c>
      <c r="C1104" t="s">
        <v>1381</v>
      </c>
      <c r="D1104" t="str">
        <f>HYPERLINK("http://service.sap.com/sap/support/notes/1528646","1528646")</f>
        <v>1528646</v>
      </c>
      <c r="E1104">
        <v>2</v>
      </c>
      <c r="F1104" t="s">
        <v>1392</v>
      </c>
    </row>
    <row r="1105" spans="1:6" x14ac:dyDescent="0.25">
      <c r="A1105" t="s">
        <v>1403</v>
      </c>
      <c r="B1105" t="s">
        <v>1380</v>
      </c>
      <c r="C1105" t="s">
        <v>1381</v>
      </c>
      <c r="D1105" t="str">
        <f>HYPERLINK("http://service.sap.com/sap/support/notes/1530993","1530993")</f>
        <v>1530993</v>
      </c>
      <c r="E1105">
        <v>1</v>
      </c>
      <c r="F1105" t="s">
        <v>1393</v>
      </c>
    </row>
    <row r="1106" spans="1:6" x14ac:dyDescent="0.25">
      <c r="A1106" t="s">
        <v>1403</v>
      </c>
      <c r="B1106" t="s">
        <v>1394</v>
      </c>
      <c r="C1106" t="s">
        <v>1395</v>
      </c>
      <c r="D1106" t="str">
        <f>HYPERLINK("http://service.sap.com/sap/support/notes/1477957","1477957")</f>
        <v>1477957</v>
      </c>
      <c r="E1106">
        <v>3</v>
      </c>
      <c r="F1106" t="s">
        <v>1396</v>
      </c>
    </row>
    <row r="1107" spans="1:6" x14ac:dyDescent="0.25">
      <c r="A1107" t="s">
        <v>1403</v>
      </c>
      <c r="B1107" t="s">
        <v>1394</v>
      </c>
      <c r="C1107" t="s">
        <v>1395</v>
      </c>
      <c r="D1107" t="str">
        <f>HYPERLINK("http://service.sap.com/sap/support/notes/1484262","1484262")</f>
        <v>1484262</v>
      </c>
      <c r="E1107">
        <v>1</v>
      </c>
      <c r="F1107" t="s">
        <v>1397</v>
      </c>
    </row>
    <row r="1108" spans="1:6" x14ac:dyDescent="0.25">
      <c r="A1108" t="s">
        <v>1403</v>
      </c>
      <c r="B1108" t="s">
        <v>1394</v>
      </c>
      <c r="C1108" t="s">
        <v>1395</v>
      </c>
      <c r="D1108" t="str">
        <f>HYPERLINK("http://service.sap.com/sap/support/notes/1489959","1489959")</f>
        <v>1489959</v>
      </c>
      <c r="E1108">
        <v>1</v>
      </c>
      <c r="F1108" t="s">
        <v>1398</v>
      </c>
    </row>
    <row r="1109" spans="1:6" x14ac:dyDescent="0.25">
      <c r="A1109" t="s">
        <v>1403</v>
      </c>
      <c r="B1109" t="s">
        <v>534</v>
      </c>
      <c r="C1109" t="s">
        <v>535</v>
      </c>
      <c r="D1109" t="str">
        <f>HYPERLINK("http://service.sap.com/sap/support/notes/1509173","1509173")</f>
        <v>1509173</v>
      </c>
      <c r="E1109">
        <v>1</v>
      </c>
      <c r="F1109" t="s">
        <v>1399</v>
      </c>
    </row>
    <row r="1110" spans="1:6" x14ac:dyDescent="0.25">
      <c r="A1110" t="s">
        <v>1403</v>
      </c>
      <c r="B1110" t="s">
        <v>534</v>
      </c>
      <c r="C1110" t="s">
        <v>535</v>
      </c>
      <c r="D1110" t="str">
        <f>HYPERLINK("http://service.sap.com/sap/support/notes/1516587","1516587")</f>
        <v>1516587</v>
      </c>
      <c r="E1110">
        <v>2</v>
      </c>
      <c r="F1110" t="s">
        <v>542</v>
      </c>
    </row>
    <row r="1111" spans="1:6" x14ac:dyDescent="0.25">
      <c r="A1111" t="s">
        <v>1403</v>
      </c>
      <c r="B1111" t="s">
        <v>534</v>
      </c>
      <c r="C1111" t="s">
        <v>535</v>
      </c>
      <c r="D1111" t="str">
        <f>HYPERLINK("http://service.sap.com/sap/support/notes/1523673","1523673")</f>
        <v>1523673</v>
      </c>
      <c r="E1111">
        <v>2</v>
      </c>
      <c r="F1111" t="s">
        <v>1400</v>
      </c>
    </row>
    <row r="1112" spans="1:6" x14ac:dyDescent="0.25">
      <c r="A1112" t="s">
        <v>1403</v>
      </c>
      <c r="B1112" t="s">
        <v>534</v>
      </c>
      <c r="C1112" t="s">
        <v>535</v>
      </c>
      <c r="D1112" t="str">
        <f>HYPERLINK("http://service.sap.com/sap/support/notes/1526464","1526464")</f>
        <v>1526464</v>
      </c>
      <c r="E1112">
        <v>1</v>
      </c>
      <c r="F1112" t="s">
        <v>1401</v>
      </c>
    </row>
    <row r="1113" spans="1:6" x14ac:dyDescent="0.25">
      <c r="A1113" t="s">
        <v>1403</v>
      </c>
      <c r="B1113" t="s">
        <v>534</v>
      </c>
      <c r="C1113" t="s">
        <v>535</v>
      </c>
      <c r="D1113" t="str">
        <f>HYPERLINK("http://service.sap.com/sap/support/notes/1528193","1528193")</f>
        <v>1528193</v>
      </c>
      <c r="E1113">
        <v>1</v>
      </c>
      <c r="F1113" t="s">
        <v>1402</v>
      </c>
    </row>
    <row r="1114" spans="1:6" x14ac:dyDescent="0.25">
      <c r="A1114" t="s">
        <v>1403</v>
      </c>
      <c r="B1114" t="s">
        <v>543</v>
      </c>
    </row>
    <row r="1115" spans="1:6" x14ac:dyDescent="0.25">
      <c r="A1115" t="s">
        <v>1403</v>
      </c>
      <c r="B1115" t="s">
        <v>545</v>
      </c>
    </row>
    <row r="1116" spans="1:6" x14ac:dyDescent="0.25">
      <c r="A1116" t="s">
        <v>1403</v>
      </c>
      <c r="B1116" t="s">
        <v>547</v>
      </c>
    </row>
    <row r="1117" spans="1:6" x14ac:dyDescent="0.25">
      <c r="A1117" t="s">
        <v>1403</v>
      </c>
      <c r="B1117" t="s">
        <v>549</v>
      </c>
      <c r="C1117" t="s">
        <v>550</v>
      </c>
      <c r="D1117" t="str">
        <f>HYPERLINK("http://service.sap.com/sap/support/notes/1509804","1509804")</f>
        <v>1509804</v>
      </c>
      <c r="E1117">
        <v>1</v>
      </c>
      <c r="F1117" t="s">
        <v>551</v>
      </c>
    </row>
    <row r="1118" spans="1:6" x14ac:dyDescent="0.25">
      <c r="A1118" t="s">
        <v>1441</v>
      </c>
      <c r="B1118" t="s">
        <v>27</v>
      </c>
      <c r="C1118" t="s">
        <v>13</v>
      </c>
    </row>
    <row r="1119" spans="1:6" x14ac:dyDescent="0.25">
      <c r="A1119" t="s">
        <v>1441</v>
      </c>
      <c r="B1119" t="s">
        <v>28</v>
      </c>
      <c r="C1119" t="s">
        <v>29</v>
      </c>
      <c r="D1119" t="str">
        <f>HYPERLINK("http://service.sap.com/sap/support/notes/1426797","1426797")</f>
        <v>1426797</v>
      </c>
      <c r="E1119">
        <v>1</v>
      </c>
      <c r="F1119" t="s">
        <v>606</v>
      </c>
    </row>
    <row r="1120" spans="1:6" x14ac:dyDescent="0.25">
      <c r="A1120" t="s">
        <v>1441</v>
      </c>
      <c r="B1120" t="s">
        <v>38</v>
      </c>
      <c r="C1120" t="s">
        <v>39</v>
      </c>
    </row>
    <row r="1121" spans="1:6" x14ac:dyDescent="0.25">
      <c r="A1121" t="s">
        <v>1441</v>
      </c>
      <c r="B1121" t="s">
        <v>44</v>
      </c>
      <c r="C1121" t="s">
        <v>45</v>
      </c>
      <c r="D1121" t="str">
        <f>HYPERLINK("http://service.sap.com/sap/support/notes/1533725","1533725")</f>
        <v>1533725</v>
      </c>
      <c r="E1121">
        <v>1</v>
      </c>
      <c r="F1121" t="s">
        <v>1404</v>
      </c>
    </row>
    <row r="1122" spans="1:6" x14ac:dyDescent="0.25">
      <c r="A1122" t="s">
        <v>1441</v>
      </c>
      <c r="B1122" t="s">
        <v>76</v>
      </c>
      <c r="C1122" t="s">
        <v>77</v>
      </c>
      <c r="D1122" t="str">
        <f>HYPERLINK("http://service.sap.com/sap/support/notes/448307","448307")</f>
        <v>448307</v>
      </c>
      <c r="E1122">
        <v>1</v>
      </c>
      <c r="F1122" t="s">
        <v>78</v>
      </c>
    </row>
    <row r="1123" spans="1:6" x14ac:dyDescent="0.25">
      <c r="A1123" t="s">
        <v>1441</v>
      </c>
      <c r="B1123" t="s">
        <v>704</v>
      </c>
      <c r="C1123" t="s">
        <v>412</v>
      </c>
      <c r="D1123" t="str">
        <f>HYPERLINK("http://service.sap.com/sap/support/notes/1533394","1533394")</f>
        <v>1533394</v>
      </c>
      <c r="E1123">
        <v>1</v>
      </c>
      <c r="F1123" t="s">
        <v>1405</v>
      </c>
    </row>
    <row r="1124" spans="1:6" x14ac:dyDescent="0.25">
      <c r="A1124" t="s">
        <v>1441</v>
      </c>
      <c r="B1124" t="s">
        <v>107</v>
      </c>
      <c r="C1124" t="s">
        <v>108</v>
      </c>
      <c r="D1124" t="str">
        <f>HYPERLINK("http://service.sap.com/sap/support/notes/1537299","1537299")</f>
        <v>1537299</v>
      </c>
      <c r="E1124">
        <v>1</v>
      </c>
      <c r="F1124" t="s">
        <v>780</v>
      </c>
    </row>
    <row r="1125" spans="1:6" x14ac:dyDescent="0.25">
      <c r="A1125" t="s">
        <v>1441</v>
      </c>
      <c r="B1125" t="s">
        <v>724</v>
      </c>
      <c r="C1125" t="s">
        <v>725</v>
      </c>
      <c r="D1125" t="str">
        <f>HYPERLINK("http://service.sap.com/sap/support/notes/1531288","1531288")</f>
        <v>1531288</v>
      </c>
      <c r="E1125">
        <v>2</v>
      </c>
      <c r="F1125" t="s">
        <v>780</v>
      </c>
    </row>
    <row r="1126" spans="1:6" x14ac:dyDescent="0.25">
      <c r="A1126" t="s">
        <v>1441</v>
      </c>
      <c r="B1126" t="s">
        <v>131</v>
      </c>
      <c r="C1126" t="s">
        <v>132</v>
      </c>
    </row>
    <row r="1127" spans="1:6" x14ac:dyDescent="0.25">
      <c r="A1127" t="s">
        <v>1441</v>
      </c>
      <c r="B1127" t="s">
        <v>173</v>
      </c>
      <c r="C1127" t="s">
        <v>45</v>
      </c>
      <c r="D1127" t="str">
        <f>HYPERLINK("http://service.sap.com/sap/support/notes/1526519","1526519")</f>
        <v>1526519</v>
      </c>
      <c r="E1127">
        <v>2</v>
      </c>
      <c r="F1127" t="s">
        <v>1406</v>
      </c>
    </row>
    <row r="1128" spans="1:6" x14ac:dyDescent="0.25">
      <c r="A1128" t="s">
        <v>1441</v>
      </c>
      <c r="B1128" t="s">
        <v>173</v>
      </c>
      <c r="C1128" t="s">
        <v>45</v>
      </c>
      <c r="D1128" t="str">
        <f>HYPERLINK("http://service.sap.com/sap/support/notes/1529528","1529528")</f>
        <v>1529528</v>
      </c>
      <c r="E1128">
        <v>3</v>
      </c>
      <c r="F1128" t="s">
        <v>1407</v>
      </c>
    </row>
    <row r="1129" spans="1:6" x14ac:dyDescent="0.25">
      <c r="A1129" t="s">
        <v>1441</v>
      </c>
      <c r="B1129" t="s">
        <v>173</v>
      </c>
      <c r="C1129" t="s">
        <v>45</v>
      </c>
      <c r="D1129" t="str">
        <f>HYPERLINK("http://service.sap.com/sap/support/notes/1529880","1529880")</f>
        <v>1529880</v>
      </c>
      <c r="E1129">
        <v>1</v>
      </c>
      <c r="F1129" t="s">
        <v>1408</v>
      </c>
    </row>
    <row r="1130" spans="1:6" x14ac:dyDescent="0.25">
      <c r="A1130" t="s">
        <v>1441</v>
      </c>
      <c r="B1130" t="s">
        <v>173</v>
      </c>
      <c r="C1130" t="s">
        <v>45</v>
      </c>
      <c r="D1130" t="str">
        <f>HYPERLINK("http://service.sap.com/sap/support/notes/1533531","1533531")</f>
        <v>1533531</v>
      </c>
      <c r="E1130">
        <v>3</v>
      </c>
      <c r="F1130" t="s">
        <v>1409</v>
      </c>
    </row>
    <row r="1131" spans="1:6" x14ac:dyDescent="0.25">
      <c r="A1131" t="s">
        <v>1441</v>
      </c>
      <c r="B1131" t="s">
        <v>173</v>
      </c>
      <c r="C1131" t="s">
        <v>45</v>
      </c>
      <c r="D1131" t="str">
        <f>HYPERLINK("http://service.sap.com/sap/support/notes/1534194","1534194")</f>
        <v>1534194</v>
      </c>
      <c r="E1131">
        <v>1</v>
      </c>
      <c r="F1131" t="s">
        <v>1410</v>
      </c>
    </row>
    <row r="1132" spans="1:6" x14ac:dyDescent="0.25">
      <c r="A1132" t="s">
        <v>1441</v>
      </c>
      <c r="B1132" t="s">
        <v>173</v>
      </c>
      <c r="C1132" t="s">
        <v>45</v>
      </c>
      <c r="D1132" t="str">
        <f>HYPERLINK("http://service.sap.com/sap/support/notes/1534618","1534618")</f>
        <v>1534618</v>
      </c>
      <c r="E1132">
        <v>2</v>
      </c>
      <c r="F1132" t="s">
        <v>1411</v>
      </c>
    </row>
    <row r="1133" spans="1:6" x14ac:dyDescent="0.25">
      <c r="A1133" t="s">
        <v>1441</v>
      </c>
      <c r="B1133" t="s">
        <v>201</v>
      </c>
      <c r="C1133" t="s">
        <v>202</v>
      </c>
      <c r="D1133" t="str">
        <f>HYPERLINK("http://service.sap.com/sap/support/notes/1532936","1532936")</f>
        <v>1532936</v>
      </c>
      <c r="E1133">
        <v>2</v>
      </c>
      <c r="F1133" t="s">
        <v>1412</v>
      </c>
    </row>
    <row r="1134" spans="1:6" x14ac:dyDescent="0.25">
      <c r="A1134" t="s">
        <v>1441</v>
      </c>
      <c r="B1134" t="s">
        <v>964</v>
      </c>
      <c r="C1134" t="s">
        <v>299</v>
      </c>
      <c r="D1134" t="str">
        <f>HYPERLINK("http://service.sap.com/sap/support/notes/1526290","1526290")</f>
        <v>1526290</v>
      </c>
      <c r="E1134">
        <v>1</v>
      </c>
      <c r="F1134" t="s">
        <v>1413</v>
      </c>
    </row>
    <row r="1135" spans="1:6" x14ac:dyDescent="0.25">
      <c r="A1135" t="s">
        <v>1441</v>
      </c>
      <c r="B1135" t="s">
        <v>964</v>
      </c>
      <c r="C1135" t="s">
        <v>299</v>
      </c>
      <c r="D1135" t="str">
        <f>HYPERLINK("http://service.sap.com/sap/support/notes/1526885","1526885")</f>
        <v>1526885</v>
      </c>
      <c r="E1135">
        <v>1</v>
      </c>
      <c r="F1135" t="s">
        <v>1414</v>
      </c>
    </row>
    <row r="1136" spans="1:6" x14ac:dyDescent="0.25">
      <c r="A1136" t="s">
        <v>1441</v>
      </c>
      <c r="B1136" t="s">
        <v>964</v>
      </c>
      <c r="C1136" t="s">
        <v>299</v>
      </c>
      <c r="D1136" t="str">
        <f>HYPERLINK("http://service.sap.com/sap/support/notes/1528140","1528140")</f>
        <v>1528140</v>
      </c>
      <c r="E1136">
        <v>2</v>
      </c>
      <c r="F1136" t="s">
        <v>1415</v>
      </c>
    </row>
    <row r="1137" spans="1:6" x14ac:dyDescent="0.25">
      <c r="A1137" t="s">
        <v>1441</v>
      </c>
      <c r="B1137" t="s">
        <v>964</v>
      </c>
      <c r="C1137" t="s">
        <v>299</v>
      </c>
      <c r="D1137" t="str">
        <f>HYPERLINK("http://service.sap.com/sap/support/notes/1531138","1531138")</f>
        <v>1531138</v>
      </c>
      <c r="E1137">
        <v>1</v>
      </c>
      <c r="F1137" t="s">
        <v>1416</v>
      </c>
    </row>
    <row r="1138" spans="1:6" x14ac:dyDescent="0.25">
      <c r="A1138" t="s">
        <v>1441</v>
      </c>
      <c r="B1138" t="s">
        <v>207</v>
      </c>
      <c r="C1138" t="s">
        <v>208</v>
      </c>
      <c r="D1138" t="str">
        <f>HYPERLINK("http://service.sap.com/sap/support/notes/1511697","1511697")</f>
        <v>1511697</v>
      </c>
      <c r="E1138">
        <v>1</v>
      </c>
      <c r="F1138" t="s">
        <v>1417</v>
      </c>
    </row>
    <row r="1139" spans="1:6" x14ac:dyDescent="0.25">
      <c r="A1139" t="s">
        <v>1441</v>
      </c>
      <c r="B1139" t="s">
        <v>207</v>
      </c>
      <c r="C1139" t="s">
        <v>208</v>
      </c>
      <c r="D1139" t="str">
        <f>HYPERLINK("http://service.sap.com/sap/support/notes/1525946","1525946")</f>
        <v>1525946</v>
      </c>
      <c r="E1139">
        <v>2</v>
      </c>
      <c r="F1139" t="s">
        <v>1418</v>
      </c>
    </row>
    <row r="1140" spans="1:6" x14ac:dyDescent="0.25">
      <c r="A1140" t="s">
        <v>1441</v>
      </c>
      <c r="B1140" t="s">
        <v>207</v>
      </c>
      <c r="C1140" t="s">
        <v>208</v>
      </c>
      <c r="D1140" t="str">
        <f>HYPERLINK("http://service.sap.com/sap/support/notes/1529953","1529953")</f>
        <v>1529953</v>
      </c>
      <c r="E1140">
        <v>1</v>
      </c>
      <c r="F1140" t="s">
        <v>1419</v>
      </c>
    </row>
    <row r="1141" spans="1:6" x14ac:dyDescent="0.25">
      <c r="A1141" t="s">
        <v>1441</v>
      </c>
      <c r="B1141" t="s">
        <v>207</v>
      </c>
      <c r="C1141" t="s">
        <v>208</v>
      </c>
      <c r="D1141" t="str">
        <f>HYPERLINK("http://service.sap.com/sap/support/notes/1533021","1533021")</f>
        <v>1533021</v>
      </c>
      <c r="E1141">
        <v>1</v>
      </c>
      <c r="F1141" t="s">
        <v>1420</v>
      </c>
    </row>
    <row r="1142" spans="1:6" x14ac:dyDescent="0.25">
      <c r="A1142" t="s">
        <v>1441</v>
      </c>
      <c r="B1142" t="s">
        <v>207</v>
      </c>
      <c r="C1142" t="s">
        <v>208</v>
      </c>
      <c r="D1142" t="str">
        <f>HYPERLINK("http://service.sap.com/sap/support/notes/1533995","1533995")</f>
        <v>1533995</v>
      </c>
      <c r="E1142">
        <v>1</v>
      </c>
      <c r="F1142" t="s">
        <v>1421</v>
      </c>
    </row>
    <row r="1143" spans="1:6" x14ac:dyDescent="0.25">
      <c r="A1143" t="s">
        <v>1441</v>
      </c>
      <c r="B1143" t="s">
        <v>226</v>
      </c>
      <c r="C1143" t="s">
        <v>52</v>
      </c>
    </row>
    <row r="1144" spans="1:6" x14ac:dyDescent="0.25">
      <c r="A1144" t="s">
        <v>1441</v>
      </c>
      <c r="B1144" t="s">
        <v>227</v>
      </c>
      <c r="C1144" t="s">
        <v>228</v>
      </c>
      <c r="D1144" t="str">
        <f>HYPERLINK("http://service.sap.com/sap/support/notes/1532879","1532879")</f>
        <v>1532879</v>
      </c>
      <c r="E1144">
        <v>3</v>
      </c>
      <c r="F1144" t="s">
        <v>1422</v>
      </c>
    </row>
    <row r="1145" spans="1:6" x14ac:dyDescent="0.25">
      <c r="A1145" t="s">
        <v>1441</v>
      </c>
      <c r="B1145" t="s">
        <v>250</v>
      </c>
      <c r="C1145" t="s">
        <v>251</v>
      </c>
    </row>
    <row r="1146" spans="1:6" x14ac:dyDescent="0.25">
      <c r="A1146" t="s">
        <v>1441</v>
      </c>
      <c r="B1146" t="s">
        <v>258</v>
      </c>
      <c r="C1146" t="s">
        <v>259</v>
      </c>
      <c r="D1146" t="str">
        <f>HYPERLINK("http://service.sap.com/sap/support/notes/1367191","1367191")</f>
        <v>1367191</v>
      </c>
      <c r="E1146">
        <v>1</v>
      </c>
      <c r="F1146" t="s">
        <v>1020</v>
      </c>
    </row>
    <row r="1147" spans="1:6" x14ac:dyDescent="0.25">
      <c r="A1147" t="s">
        <v>1441</v>
      </c>
      <c r="B1147" t="s">
        <v>258</v>
      </c>
      <c r="C1147" t="s">
        <v>259</v>
      </c>
      <c r="D1147" t="str">
        <f>HYPERLINK("http://service.sap.com/sap/support/notes/1532667","1532667")</f>
        <v>1532667</v>
      </c>
      <c r="E1147">
        <v>3</v>
      </c>
      <c r="F1147" t="s">
        <v>1423</v>
      </c>
    </row>
    <row r="1148" spans="1:6" x14ac:dyDescent="0.25">
      <c r="A1148" t="s">
        <v>1441</v>
      </c>
      <c r="B1148" t="s">
        <v>273</v>
      </c>
      <c r="C1148" t="s">
        <v>153</v>
      </c>
    </row>
    <row r="1149" spans="1:6" x14ac:dyDescent="0.25">
      <c r="A1149" t="s">
        <v>1441</v>
      </c>
      <c r="B1149" t="s">
        <v>293</v>
      </c>
      <c r="C1149" t="s">
        <v>294</v>
      </c>
      <c r="D1149" t="str">
        <f>HYPERLINK("http://service.sap.com/sap/support/notes/1533658","1533658")</f>
        <v>1533658</v>
      </c>
      <c r="E1149">
        <v>4</v>
      </c>
      <c r="F1149" t="s">
        <v>1424</v>
      </c>
    </row>
    <row r="1150" spans="1:6" x14ac:dyDescent="0.25">
      <c r="A1150" t="s">
        <v>1441</v>
      </c>
      <c r="B1150" t="s">
        <v>363</v>
      </c>
      <c r="C1150" t="s">
        <v>74</v>
      </c>
      <c r="D1150" t="str">
        <f>HYPERLINK("http://service.sap.com/sap/support/notes/1528165","1528165")</f>
        <v>1528165</v>
      </c>
      <c r="E1150">
        <v>1</v>
      </c>
      <c r="F1150" t="s">
        <v>1161</v>
      </c>
    </row>
    <row r="1151" spans="1:6" x14ac:dyDescent="0.25">
      <c r="A1151" t="s">
        <v>1441</v>
      </c>
      <c r="B1151" t="s">
        <v>388</v>
      </c>
      <c r="C1151" t="s">
        <v>87</v>
      </c>
      <c r="D1151" t="str">
        <f>HYPERLINK("http://service.sap.com/sap/support/notes/1518187","1518187")</f>
        <v>1518187</v>
      </c>
      <c r="E1151">
        <v>3</v>
      </c>
      <c r="F1151" t="s">
        <v>1425</v>
      </c>
    </row>
    <row r="1152" spans="1:6" x14ac:dyDescent="0.25">
      <c r="A1152" t="s">
        <v>1441</v>
      </c>
      <c r="B1152" t="s">
        <v>388</v>
      </c>
      <c r="C1152" t="s">
        <v>87</v>
      </c>
      <c r="D1152" t="str">
        <f>HYPERLINK("http://service.sap.com/sap/support/notes/1531461","1531461")</f>
        <v>1531461</v>
      </c>
      <c r="E1152">
        <v>2</v>
      </c>
      <c r="F1152" t="s">
        <v>1426</v>
      </c>
    </row>
    <row r="1153" spans="1:6" x14ac:dyDescent="0.25">
      <c r="A1153" t="s">
        <v>1441</v>
      </c>
      <c r="B1153" t="s">
        <v>396</v>
      </c>
      <c r="C1153" t="s">
        <v>397</v>
      </c>
    </row>
    <row r="1154" spans="1:6" x14ac:dyDescent="0.25">
      <c r="A1154" t="s">
        <v>1441</v>
      </c>
      <c r="B1154" t="s">
        <v>1202</v>
      </c>
      <c r="C1154" t="s">
        <v>1427</v>
      </c>
      <c r="D1154" t="str">
        <f>HYPERLINK("http://service.sap.com/sap/support/notes/1532835","1532835")</f>
        <v>1532835</v>
      </c>
      <c r="E1154">
        <v>1</v>
      </c>
      <c r="F1154" t="s">
        <v>1204</v>
      </c>
    </row>
    <row r="1155" spans="1:6" x14ac:dyDescent="0.25">
      <c r="A1155" t="s">
        <v>1441</v>
      </c>
      <c r="B1155" t="s">
        <v>411</v>
      </c>
      <c r="C1155" t="s">
        <v>412</v>
      </c>
      <c r="D1155" t="str">
        <f>HYPERLINK("http://service.sap.com/sap/support/notes/1531653","1531653")</f>
        <v>1531653</v>
      </c>
      <c r="E1155">
        <v>1</v>
      </c>
      <c r="F1155" t="s">
        <v>1428</v>
      </c>
    </row>
    <row r="1156" spans="1:6" x14ac:dyDescent="0.25">
      <c r="A1156" t="s">
        <v>1441</v>
      </c>
      <c r="B1156" t="s">
        <v>411</v>
      </c>
      <c r="C1156" t="s">
        <v>412</v>
      </c>
      <c r="D1156" t="str">
        <f>HYPERLINK("http://service.sap.com/sap/support/notes/1531854","1531854")</f>
        <v>1531854</v>
      </c>
      <c r="E1156">
        <v>1</v>
      </c>
      <c r="F1156" t="s">
        <v>1429</v>
      </c>
    </row>
    <row r="1157" spans="1:6" x14ac:dyDescent="0.25">
      <c r="A1157" t="s">
        <v>1441</v>
      </c>
      <c r="B1157" t="s">
        <v>411</v>
      </c>
      <c r="C1157" t="s">
        <v>412</v>
      </c>
      <c r="D1157" t="str">
        <f>HYPERLINK("http://service.sap.com/sap/support/notes/1532577","1532577")</f>
        <v>1532577</v>
      </c>
      <c r="E1157">
        <v>1</v>
      </c>
      <c r="F1157" t="s">
        <v>1430</v>
      </c>
    </row>
    <row r="1158" spans="1:6" x14ac:dyDescent="0.25">
      <c r="A1158" t="s">
        <v>1441</v>
      </c>
      <c r="B1158" t="s">
        <v>411</v>
      </c>
      <c r="C1158" t="s">
        <v>412</v>
      </c>
      <c r="D1158" t="str">
        <f>HYPERLINK("http://service.sap.com/sap/support/notes/1533246","1533246")</f>
        <v>1533246</v>
      </c>
      <c r="E1158">
        <v>1</v>
      </c>
      <c r="F1158" t="s">
        <v>1431</v>
      </c>
    </row>
    <row r="1159" spans="1:6" x14ac:dyDescent="0.25">
      <c r="A1159" t="s">
        <v>1441</v>
      </c>
      <c r="B1159" t="s">
        <v>411</v>
      </c>
      <c r="C1159" t="s">
        <v>412</v>
      </c>
      <c r="D1159" t="str">
        <f>HYPERLINK("http://service.sap.com/sap/support/notes/1534492","1534492")</f>
        <v>1534492</v>
      </c>
      <c r="E1159">
        <v>2</v>
      </c>
      <c r="F1159" t="s">
        <v>1432</v>
      </c>
    </row>
    <row r="1160" spans="1:6" x14ac:dyDescent="0.25">
      <c r="A1160" t="s">
        <v>1441</v>
      </c>
      <c r="B1160" t="s">
        <v>415</v>
      </c>
      <c r="C1160" t="s">
        <v>416</v>
      </c>
      <c r="D1160" t="str">
        <f>HYPERLINK("http://service.sap.com/sap/support/notes/1534528","1534528")</f>
        <v>1534528</v>
      </c>
      <c r="E1160">
        <v>1</v>
      </c>
      <c r="F1160" t="s">
        <v>1433</v>
      </c>
    </row>
    <row r="1161" spans="1:6" x14ac:dyDescent="0.25">
      <c r="A1161" t="s">
        <v>1441</v>
      </c>
      <c r="B1161" t="s">
        <v>472</v>
      </c>
      <c r="C1161" t="s">
        <v>473</v>
      </c>
      <c r="D1161" t="str">
        <f>HYPERLINK("http://service.sap.com/sap/support/notes/1235938","1235938")</f>
        <v>1235938</v>
      </c>
      <c r="E1161">
        <v>8</v>
      </c>
      <c r="F1161" t="s">
        <v>1434</v>
      </c>
    </row>
    <row r="1162" spans="1:6" x14ac:dyDescent="0.25">
      <c r="A1162" t="s">
        <v>1441</v>
      </c>
      <c r="B1162" t="s">
        <v>472</v>
      </c>
      <c r="C1162" t="s">
        <v>473</v>
      </c>
      <c r="D1162" t="str">
        <f>HYPERLINK("http://service.sap.com/sap/support/notes/1243797","1243797")</f>
        <v>1243797</v>
      </c>
      <c r="E1162">
        <v>1</v>
      </c>
      <c r="F1162" t="s">
        <v>1435</v>
      </c>
    </row>
    <row r="1163" spans="1:6" x14ac:dyDescent="0.25">
      <c r="A1163" t="s">
        <v>1441</v>
      </c>
      <c r="B1163" t="s">
        <v>472</v>
      </c>
      <c r="C1163" t="s">
        <v>473</v>
      </c>
      <c r="D1163" t="str">
        <f>HYPERLINK("http://service.sap.com/sap/support/notes/1521442","1521442")</f>
        <v>1521442</v>
      </c>
      <c r="E1163">
        <v>3</v>
      </c>
      <c r="F1163" t="s">
        <v>1436</v>
      </c>
    </row>
    <row r="1164" spans="1:6" x14ac:dyDescent="0.25">
      <c r="A1164" t="s">
        <v>1441</v>
      </c>
      <c r="B1164" t="s">
        <v>472</v>
      </c>
      <c r="C1164" t="s">
        <v>473</v>
      </c>
      <c r="D1164" t="str">
        <f>HYPERLINK("http://service.sap.com/sap/support/notes/1534869","1534869")</f>
        <v>1534869</v>
      </c>
      <c r="E1164">
        <v>1</v>
      </c>
      <c r="F1164" t="s">
        <v>1437</v>
      </c>
    </row>
    <row r="1165" spans="1:6" x14ac:dyDescent="0.25">
      <c r="A1165" t="s">
        <v>1441</v>
      </c>
      <c r="B1165" t="s">
        <v>499</v>
      </c>
      <c r="C1165" t="s">
        <v>108</v>
      </c>
      <c r="D1165" t="str">
        <f>HYPERLINK("http://service.sap.com/sap/support/notes/1516105","1516105")</f>
        <v>1516105</v>
      </c>
      <c r="E1165">
        <v>1</v>
      </c>
      <c r="F1165" t="s">
        <v>500</v>
      </c>
    </row>
    <row r="1166" spans="1:6" x14ac:dyDescent="0.25">
      <c r="A1166" t="s">
        <v>1441</v>
      </c>
      <c r="B1166" t="s">
        <v>499</v>
      </c>
      <c r="C1166" t="s">
        <v>108</v>
      </c>
      <c r="D1166" t="str">
        <f>HYPERLINK("http://service.sap.com/sap/support/notes/1530008","1530008")</f>
        <v>1530008</v>
      </c>
      <c r="E1166">
        <v>4</v>
      </c>
      <c r="F1166" t="s">
        <v>1438</v>
      </c>
    </row>
    <row r="1167" spans="1:6" x14ac:dyDescent="0.25">
      <c r="A1167" t="s">
        <v>1441</v>
      </c>
      <c r="B1167" t="s">
        <v>531</v>
      </c>
      <c r="C1167" t="s">
        <v>532</v>
      </c>
      <c r="D1167" t="str">
        <f>HYPERLINK("http://service.sap.com/sap/support/notes/1507935","1507935")</f>
        <v>1507935</v>
      </c>
      <c r="E1167">
        <v>5</v>
      </c>
      <c r="F1167" t="s">
        <v>1439</v>
      </c>
    </row>
    <row r="1168" spans="1:6" x14ac:dyDescent="0.25">
      <c r="A1168" t="s">
        <v>1441</v>
      </c>
      <c r="B1168" t="s">
        <v>531</v>
      </c>
      <c r="C1168" t="s">
        <v>532</v>
      </c>
      <c r="D1168" t="str">
        <f>HYPERLINK("http://service.sap.com/sap/support/notes/1509016","1509016")</f>
        <v>1509016</v>
      </c>
      <c r="E1168">
        <v>4</v>
      </c>
      <c r="F1168" t="s">
        <v>1440</v>
      </c>
    </row>
    <row r="1169" spans="1:6" x14ac:dyDescent="0.25">
      <c r="A1169" t="s">
        <v>1731</v>
      </c>
      <c r="B1169" t="s">
        <v>554</v>
      </c>
      <c r="C1169" t="s">
        <v>1732</v>
      </c>
    </row>
    <row r="1170" spans="1:6" x14ac:dyDescent="0.25">
      <c r="A1170" t="s">
        <v>1731</v>
      </c>
      <c r="B1170" t="s">
        <v>555</v>
      </c>
      <c r="C1170" t="s">
        <v>1733</v>
      </c>
    </row>
    <row r="1171" spans="1:6" x14ac:dyDescent="0.25">
      <c r="A1171" t="s">
        <v>1731</v>
      </c>
      <c r="B1171" t="s">
        <v>556</v>
      </c>
      <c r="C1171" t="s">
        <v>1734</v>
      </c>
      <c r="D1171" t="str">
        <f>HYPERLINK("http://service.sap.com/sap/support/notes/1533646","1533646")</f>
        <v>1533646</v>
      </c>
      <c r="E1171">
        <v>1</v>
      </c>
      <c r="F1171" t="s">
        <v>1735</v>
      </c>
    </row>
    <row r="1172" spans="1:6" x14ac:dyDescent="0.25">
      <c r="A1172" t="s">
        <v>1731</v>
      </c>
      <c r="B1172" t="s">
        <v>556</v>
      </c>
      <c r="C1172" t="s">
        <v>1734</v>
      </c>
      <c r="D1172" t="str">
        <f>HYPERLINK("http://service.sap.com/sap/support/notes/1541261","1541261")</f>
        <v>1541261</v>
      </c>
      <c r="E1172">
        <v>1</v>
      </c>
      <c r="F1172" t="s">
        <v>1736</v>
      </c>
    </row>
    <row r="1173" spans="1:6" x14ac:dyDescent="0.25">
      <c r="A1173" t="s">
        <v>1731</v>
      </c>
      <c r="B1173" t="s">
        <v>5</v>
      </c>
      <c r="C1173" t="s">
        <v>6</v>
      </c>
    </row>
    <row r="1174" spans="1:6" x14ac:dyDescent="0.25">
      <c r="A1174" t="s">
        <v>1731</v>
      </c>
      <c r="B1174" t="s">
        <v>7</v>
      </c>
      <c r="C1174" t="s">
        <v>8</v>
      </c>
    </row>
    <row r="1175" spans="1:6" x14ac:dyDescent="0.25">
      <c r="A1175" t="s">
        <v>1731</v>
      </c>
      <c r="B1175" t="s">
        <v>12</v>
      </c>
      <c r="C1175" t="s">
        <v>13</v>
      </c>
      <c r="D1175" t="str">
        <f>HYPERLINK("http://service.sap.com/sap/support/notes/1500523","1500523")</f>
        <v>1500523</v>
      </c>
      <c r="E1175">
        <v>1</v>
      </c>
      <c r="F1175" t="s">
        <v>1737</v>
      </c>
    </row>
    <row r="1176" spans="1:6" x14ac:dyDescent="0.25">
      <c r="A1176" t="s">
        <v>1731</v>
      </c>
      <c r="B1176" t="s">
        <v>17</v>
      </c>
      <c r="C1176" t="s">
        <v>18</v>
      </c>
      <c r="D1176" t="str">
        <f>HYPERLINK("http://service.sap.com/sap/support/notes/1540004","1540004")</f>
        <v>1540004</v>
      </c>
      <c r="E1176">
        <v>1</v>
      </c>
      <c r="F1176" t="s">
        <v>1738</v>
      </c>
    </row>
    <row r="1177" spans="1:6" x14ac:dyDescent="0.25">
      <c r="A1177" t="s">
        <v>1731</v>
      </c>
      <c r="B1177" t="s">
        <v>581</v>
      </c>
      <c r="C1177" t="s">
        <v>1739</v>
      </c>
    </row>
    <row r="1178" spans="1:6" x14ac:dyDescent="0.25">
      <c r="A1178" t="s">
        <v>1731</v>
      </c>
      <c r="B1178" t="s">
        <v>582</v>
      </c>
      <c r="C1178" t="s">
        <v>1740</v>
      </c>
      <c r="D1178" t="str">
        <f>HYPERLINK("http://service.sap.com/sap/support/notes/1534362","1534362")</f>
        <v>1534362</v>
      </c>
      <c r="E1178">
        <v>4</v>
      </c>
      <c r="F1178" t="s">
        <v>1741</v>
      </c>
    </row>
    <row r="1179" spans="1:6" x14ac:dyDescent="0.25">
      <c r="A1179" t="s">
        <v>1731</v>
      </c>
      <c r="B1179" t="s">
        <v>20</v>
      </c>
      <c r="C1179" t="s">
        <v>21</v>
      </c>
    </row>
    <row r="1180" spans="1:6" x14ac:dyDescent="0.25">
      <c r="A1180" t="s">
        <v>1731</v>
      </c>
      <c r="B1180" t="s">
        <v>22</v>
      </c>
      <c r="C1180" t="s">
        <v>23</v>
      </c>
    </row>
    <row r="1181" spans="1:6" x14ac:dyDescent="0.25">
      <c r="A1181" t="s">
        <v>1731</v>
      </c>
      <c r="B1181" t="s">
        <v>24</v>
      </c>
      <c r="C1181" t="s">
        <v>25</v>
      </c>
      <c r="D1181" t="str">
        <f>HYPERLINK("http://service.sap.com/sap/support/notes/1284280","1284280")</f>
        <v>1284280</v>
      </c>
      <c r="E1181">
        <v>3</v>
      </c>
      <c r="F1181" t="s">
        <v>26</v>
      </c>
    </row>
    <row r="1182" spans="1:6" x14ac:dyDescent="0.25">
      <c r="A1182" t="s">
        <v>1731</v>
      </c>
      <c r="B1182" t="s">
        <v>24</v>
      </c>
      <c r="C1182" t="s">
        <v>25</v>
      </c>
      <c r="D1182" t="str">
        <f>HYPERLINK("http://service.sap.com/sap/support/notes/1538706","1538706")</f>
        <v>1538706</v>
      </c>
      <c r="E1182">
        <v>2</v>
      </c>
      <c r="F1182" t="s">
        <v>1742</v>
      </c>
    </row>
    <row r="1183" spans="1:6" x14ac:dyDescent="0.25">
      <c r="A1183" t="s">
        <v>1731</v>
      </c>
      <c r="B1183" t="s">
        <v>27</v>
      </c>
      <c r="C1183" t="s">
        <v>13</v>
      </c>
    </row>
    <row r="1184" spans="1:6" x14ac:dyDescent="0.25">
      <c r="A1184" t="s">
        <v>1731</v>
      </c>
      <c r="B1184" t="s">
        <v>38</v>
      </c>
      <c r="C1184" t="s">
        <v>39</v>
      </c>
    </row>
    <row r="1185" spans="1:6" x14ac:dyDescent="0.25">
      <c r="A1185" t="s">
        <v>1731</v>
      </c>
      <c r="B1185" t="s">
        <v>44</v>
      </c>
      <c r="C1185" t="s">
        <v>45</v>
      </c>
      <c r="D1185" t="str">
        <f>HYPERLINK("http://service.sap.com/sap/support/notes/1542222","1542222")</f>
        <v>1542222</v>
      </c>
      <c r="E1185">
        <v>1</v>
      </c>
      <c r="F1185" t="s">
        <v>1743</v>
      </c>
    </row>
    <row r="1186" spans="1:6" x14ac:dyDescent="0.25">
      <c r="A1186" t="s">
        <v>1731</v>
      </c>
      <c r="B1186" t="s">
        <v>51</v>
      </c>
      <c r="C1186" t="s">
        <v>52</v>
      </c>
      <c r="D1186" t="str">
        <f>HYPERLINK("http://service.sap.com/sap/support/notes/1542706","1542706")</f>
        <v>1542706</v>
      </c>
      <c r="E1186">
        <v>2</v>
      </c>
      <c r="F1186" t="s">
        <v>1744</v>
      </c>
    </row>
    <row r="1187" spans="1:6" x14ac:dyDescent="0.25">
      <c r="A1187" t="s">
        <v>1731</v>
      </c>
      <c r="B1187" t="s">
        <v>51</v>
      </c>
      <c r="C1187" t="s">
        <v>52</v>
      </c>
      <c r="D1187" t="str">
        <f>HYPERLINK("http://service.sap.com/sap/support/notes/1543858","1543858")</f>
        <v>1543858</v>
      </c>
      <c r="E1187">
        <v>1</v>
      </c>
      <c r="F1187" t="s">
        <v>1745</v>
      </c>
    </row>
    <row r="1188" spans="1:6" x14ac:dyDescent="0.25">
      <c r="A1188" t="s">
        <v>1731</v>
      </c>
      <c r="B1188" t="s">
        <v>57</v>
      </c>
      <c r="C1188" t="s">
        <v>58</v>
      </c>
      <c r="D1188" t="str">
        <f>HYPERLINK("http://service.sap.com/sap/support/notes/1533116","1533116")</f>
        <v>1533116</v>
      </c>
      <c r="E1188">
        <v>1</v>
      </c>
      <c r="F1188" t="s">
        <v>1746</v>
      </c>
    </row>
    <row r="1189" spans="1:6" x14ac:dyDescent="0.25">
      <c r="A1189" t="s">
        <v>1731</v>
      </c>
      <c r="B1189" t="s">
        <v>59</v>
      </c>
      <c r="C1189" t="s">
        <v>60</v>
      </c>
      <c r="D1189" t="str">
        <f>HYPERLINK("http://service.sap.com/sap/support/notes/1360012","1360012")</f>
        <v>1360012</v>
      </c>
      <c r="E1189">
        <v>8</v>
      </c>
      <c r="F1189" t="s">
        <v>680</v>
      </c>
    </row>
    <row r="1190" spans="1:6" x14ac:dyDescent="0.25">
      <c r="A1190" t="s">
        <v>1731</v>
      </c>
      <c r="B1190" t="s">
        <v>59</v>
      </c>
      <c r="C1190" t="s">
        <v>60</v>
      </c>
      <c r="D1190" t="str">
        <f>HYPERLINK("http://service.sap.com/sap/support/notes/1504084","1504084")</f>
        <v>1504084</v>
      </c>
      <c r="E1190">
        <v>6</v>
      </c>
      <c r="F1190" t="s">
        <v>682</v>
      </c>
    </row>
    <row r="1191" spans="1:6" x14ac:dyDescent="0.25">
      <c r="A1191" t="s">
        <v>1731</v>
      </c>
      <c r="B1191" t="s">
        <v>59</v>
      </c>
      <c r="C1191" t="s">
        <v>60</v>
      </c>
      <c r="D1191" t="str">
        <f>HYPERLINK("http://service.sap.com/sap/support/notes/1526157","1526157")</f>
        <v>1526157</v>
      </c>
      <c r="E1191">
        <v>1</v>
      </c>
      <c r="F1191" t="s">
        <v>1747</v>
      </c>
    </row>
    <row r="1192" spans="1:6" x14ac:dyDescent="0.25">
      <c r="A1192" t="s">
        <v>1731</v>
      </c>
      <c r="B1192" t="s">
        <v>59</v>
      </c>
      <c r="C1192" t="s">
        <v>60</v>
      </c>
      <c r="D1192" t="str">
        <f>HYPERLINK("http://service.sap.com/sap/support/notes/1528850","1528850")</f>
        <v>1528850</v>
      </c>
      <c r="E1192">
        <v>3</v>
      </c>
      <c r="F1192" t="s">
        <v>1748</v>
      </c>
    </row>
    <row r="1193" spans="1:6" x14ac:dyDescent="0.25">
      <c r="A1193" t="s">
        <v>1731</v>
      </c>
      <c r="B1193" t="s">
        <v>59</v>
      </c>
      <c r="C1193" t="s">
        <v>60</v>
      </c>
      <c r="D1193" t="str">
        <f>HYPERLINK("http://service.sap.com/sap/support/notes/1530010","1530010")</f>
        <v>1530010</v>
      </c>
      <c r="E1193">
        <v>2</v>
      </c>
      <c r="F1193" t="s">
        <v>1749</v>
      </c>
    </row>
    <row r="1194" spans="1:6" x14ac:dyDescent="0.25">
      <c r="A1194" t="s">
        <v>1731</v>
      </c>
      <c r="B1194" t="s">
        <v>59</v>
      </c>
      <c r="C1194" t="s">
        <v>60</v>
      </c>
      <c r="D1194" t="str">
        <f>HYPERLINK("http://service.sap.com/sap/support/notes/1532383","1532383")</f>
        <v>1532383</v>
      </c>
      <c r="E1194">
        <v>2</v>
      </c>
      <c r="F1194" t="s">
        <v>1750</v>
      </c>
    </row>
    <row r="1195" spans="1:6" x14ac:dyDescent="0.25">
      <c r="A1195" t="s">
        <v>1731</v>
      </c>
      <c r="B1195" t="s">
        <v>59</v>
      </c>
      <c r="C1195" t="s">
        <v>60</v>
      </c>
      <c r="D1195" t="str">
        <f>HYPERLINK("http://service.sap.com/sap/support/notes/1532761","1532761")</f>
        <v>1532761</v>
      </c>
      <c r="E1195">
        <v>3</v>
      </c>
      <c r="F1195" t="s">
        <v>1751</v>
      </c>
    </row>
    <row r="1196" spans="1:6" x14ac:dyDescent="0.25">
      <c r="A1196" t="s">
        <v>1731</v>
      </c>
      <c r="B1196" t="s">
        <v>59</v>
      </c>
      <c r="C1196" t="s">
        <v>60</v>
      </c>
      <c r="D1196" t="str">
        <f>HYPERLINK("http://service.sap.com/sap/support/notes/1533603","1533603")</f>
        <v>1533603</v>
      </c>
      <c r="E1196">
        <v>2</v>
      </c>
      <c r="F1196" t="s">
        <v>1752</v>
      </c>
    </row>
    <row r="1197" spans="1:6" x14ac:dyDescent="0.25">
      <c r="A1197" t="s">
        <v>1731</v>
      </c>
      <c r="B1197" t="s">
        <v>59</v>
      </c>
      <c r="C1197" t="s">
        <v>60</v>
      </c>
      <c r="D1197" t="str">
        <f>HYPERLINK("http://service.sap.com/sap/support/notes/1534200","1534200")</f>
        <v>1534200</v>
      </c>
      <c r="E1197">
        <v>1</v>
      </c>
      <c r="F1197" t="s">
        <v>1753</v>
      </c>
    </row>
    <row r="1198" spans="1:6" x14ac:dyDescent="0.25">
      <c r="A1198" t="s">
        <v>1731</v>
      </c>
      <c r="B1198" t="s">
        <v>59</v>
      </c>
      <c r="C1198" t="s">
        <v>60</v>
      </c>
      <c r="D1198" t="str">
        <f>HYPERLINK("http://service.sap.com/sap/support/notes/1535617","1535617")</f>
        <v>1535617</v>
      </c>
      <c r="E1198">
        <v>1</v>
      </c>
      <c r="F1198" t="s">
        <v>1754</v>
      </c>
    </row>
    <row r="1199" spans="1:6" x14ac:dyDescent="0.25">
      <c r="A1199" t="s">
        <v>1731</v>
      </c>
      <c r="B1199" t="s">
        <v>59</v>
      </c>
      <c r="C1199" t="s">
        <v>60</v>
      </c>
      <c r="D1199" t="str">
        <f>HYPERLINK("http://service.sap.com/sap/support/notes/1536356","1536356")</f>
        <v>1536356</v>
      </c>
      <c r="E1199">
        <v>3</v>
      </c>
      <c r="F1199" t="s">
        <v>1755</v>
      </c>
    </row>
    <row r="1200" spans="1:6" x14ac:dyDescent="0.25">
      <c r="A1200" t="s">
        <v>1731</v>
      </c>
      <c r="B1200" t="s">
        <v>59</v>
      </c>
      <c r="C1200" t="s">
        <v>60</v>
      </c>
      <c r="D1200" t="str">
        <f>HYPERLINK("http://service.sap.com/sap/support/notes/1540043","1540043")</f>
        <v>1540043</v>
      </c>
      <c r="E1200">
        <v>3</v>
      </c>
      <c r="F1200" t="s">
        <v>1449</v>
      </c>
    </row>
    <row r="1201" spans="1:6" x14ac:dyDescent="0.25">
      <c r="A1201" t="s">
        <v>1731</v>
      </c>
      <c r="B1201" t="s">
        <v>59</v>
      </c>
      <c r="C1201" t="s">
        <v>60</v>
      </c>
      <c r="D1201" t="str">
        <f>HYPERLINK("http://service.sap.com/sap/support/notes/1542704","1542704")</f>
        <v>1542704</v>
      </c>
      <c r="E1201">
        <v>1</v>
      </c>
      <c r="F1201" t="s">
        <v>1756</v>
      </c>
    </row>
    <row r="1202" spans="1:6" x14ac:dyDescent="0.25">
      <c r="A1202" t="s">
        <v>1731</v>
      </c>
      <c r="B1202" t="s">
        <v>59</v>
      </c>
      <c r="C1202" t="s">
        <v>60</v>
      </c>
      <c r="D1202" t="str">
        <f>HYPERLINK("http://service.sap.com/sap/support/notes/1543202","1543202")</f>
        <v>1543202</v>
      </c>
      <c r="E1202">
        <v>1</v>
      </c>
      <c r="F1202" t="s">
        <v>1757</v>
      </c>
    </row>
    <row r="1203" spans="1:6" x14ac:dyDescent="0.25">
      <c r="A1203" t="s">
        <v>1731</v>
      </c>
      <c r="B1203" t="s">
        <v>59</v>
      </c>
      <c r="C1203" t="s">
        <v>60</v>
      </c>
      <c r="D1203" t="str">
        <f>HYPERLINK("http://service.sap.com/sap/support/notes/1543836","1543836")</f>
        <v>1543836</v>
      </c>
      <c r="E1203">
        <v>2</v>
      </c>
      <c r="F1203" t="s">
        <v>1758</v>
      </c>
    </row>
    <row r="1204" spans="1:6" x14ac:dyDescent="0.25">
      <c r="A1204" t="s">
        <v>1731</v>
      </c>
      <c r="B1204" t="s">
        <v>73</v>
      </c>
      <c r="C1204" t="s">
        <v>74</v>
      </c>
      <c r="D1204" t="str">
        <f>HYPERLINK("http://service.sap.com/sap/support/notes/1514168","1514168")</f>
        <v>1514168</v>
      </c>
      <c r="E1204">
        <v>3</v>
      </c>
      <c r="F1204" t="s">
        <v>1759</v>
      </c>
    </row>
    <row r="1205" spans="1:6" x14ac:dyDescent="0.25">
      <c r="A1205" t="s">
        <v>1731</v>
      </c>
      <c r="B1205" t="s">
        <v>76</v>
      </c>
      <c r="C1205" t="s">
        <v>77</v>
      </c>
      <c r="D1205" t="str">
        <f>HYPERLINK("http://service.sap.com/sap/support/notes/448307","448307")</f>
        <v>448307</v>
      </c>
      <c r="E1205">
        <v>1</v>
      </c>
      <c r="F1205" t="s">
        <v>78</v>
      </c>
    </row>
    <row r="1206" spans="1:6" x14ac:dyDescent="0.25">
      <c r="A1206" t="s">
        <v>1731</v>
      </c>
      <c r="B1206" t="s">
        <v>79</v>
      </c>
      <c r="C1206" t="s">
        <v>80</v>
      </c>
      <c r="D1206" t="str">
        <f>HYPERLINK("http://service.sap.com/sap/support/notes/1498925","1498925")</f>
        <v>1498925</v>
      </c>
      <c r="E1206">
        <v>1</v>
      </c>
      <c r="F1206" t="s">
        <v>82</v>
      </c>
    </row>
    <row r="1207" spans="1:6" x14ac:dyDescent="0.25">
      <c r="A1207" t="s">
        <v>1731</v>
      </c>
      <c r="B1207" t="s">
        <v>79</v>
      </c>
      <c r="C1207" t="s">
        <v>80</v>
      </c>
      <c r="D1207" t="str">
        <f>HYPERLINK("http://service.sap.com/sap/support/notes/1508781","1508781")</f>
        <v>1508781</v>
      </c>
      <c r="E1207">
        <v>2</v>
      </c>
      <c r="F1207" t="s">
        <v>699</v>
      </c>
    </row>
    <row r="1208" spans="1:6" x14ac:dyDescent="0.25">
      <c r="A1208" t="s">
        <v>1731</v>
      </c>
      <c r="B1208" t="s">
        <v>79</v>
      </c>
      <c r="C1208" t="s">
        <v>80</v>
      </c>
      <c r="D1208" t="str">
        <f>HYPERLINK("http://service.sap.com/sap/support/notes/1531136","1531136")</f>
        <v>1531136</v>
      </c>
      <c r="E1208">
        <v>1</v>
      </c>
      <c r="F1208" t="s">
        <v>1760</v>
      </c>
    </row>
    <row r="1209" spans="1:6" x14ac:dyDescent="0.25">
      <c r="A1209" t="s">
        <v>1731</v>
      </c>
      <c r="B1209" t="s">
        <v>79</v>
      </c>
      <c r="C1209" t="s">
        <v>80</v>
      </c>
      <c r="D1209" t="str">
        <f>HYPERLINK("http://service.sap.com/sap/support/notes/1533985","1533985")</f>
        <v>1533985</v>
      </c>
      <c r="E1209">
        <v>3</v>
      </c>
      <c r="F1209" t="s">
        <v>1761</v>
      </c>
    </row>
    <row r="1210" spans="1:6" x14ac:dyDescent="0.25">
      <c r="A1210" t="s">
        <v>1731</v>
      </c>
      <c r="B1210" t="s">
        <v>79</v>
      </c>
      <c r="C1210" t="s">
        <v>80</v>
      </c>
      <c r="D1210" t="str">
        <f>HYPERLINK("http://service.sap.com/sap/support/notes/1543796","1543796")</f>
        <v>1543796</v>
      </c>
      <c r="E1210">
        <v>1</v>
      </c>
      <c r="F1210" t="s">
        <v>1762</v>
      </c>
    </row>
    <row r="1211" spans="1:6" x14ac:dyDescent="0.25">
      <c r="A1211" t="s">
        <v>1731</v>
      </c>
      <c r="B1211" t="s">
        <v>86</v>
      </c>
      <c r="C1211" t="s">
        <v>87</v>
      </c>
      <c r="D1211" t="str">
        <f>HYPERLINK("http://service.sap.com/sap/support/notes/1475743","1475743")</f>
        <v>1475743</v>
      </c>
      <c r="E1211">
        <v>5</v>
      </c>
      <c r="F1211" t="s">
        <v>1763</v>
      </c>
    </row>
    <row r="1212" spans="1:6" x14ac:dyDescent="0.25">
      <c r="A1212" t="s">
        <v>1731</v>
      </c>
      <c r="B1212" t="s">
        <v>86</v>
      </c>
      <c r="C1212" t="s">
        <v>87</v>
      </c>
      <c r="D1212" t="str">
        <f>HYPERLINK("http://service.sap.com/sap/support/notes/1535980","1535980")</f>
        <v>1535980</v>
      </c>
      <c r="E1212">
        <v>2</v>
      </c>
      <c r="F1212" t="s">
        <v>1764</v>
      </c>
    </row>
    <row r="1213" spans="1:6" x14ac:dyDescent="0.25">
      <c r="A1213" t="s">
        <v>1731</v>
      </c>
      <c r="B1213" t="s">
        <v>86</v>
      </c>
      <c r="C1213" t="s">
        <v>87</v>
      </c>
      <c r="D1213" t="str">
        <f>HYPERLINK("http://service.sap.com/sap/support/notes/1540131","1540131")</f>
        <v>1540131</v>
      </c>
      <c r="E1213">
        <v>5</v>
      </c>
      <c r="F1213" t="s">
        <v>1765</v>
      </c>
    </row>
    <row r="1214" spans="1:6" x14ac:dyDescent="0.25">
      <c r="A1214" t="s">
        <v>1731</v>
      </c>
      <c r="B1214" t="s">
        <v>1461</v>
      </c>
      <c r="C1214" t="s">
        <v>441</v>
      </c>
      <c r="D1214" t="str">
        <f>HYPERLINK("http://service.sap.com/sap/support/notes/1522840","1522840")</f>
        <v>1522840</v>
      </c>
      <c r="E1214">
        <v>3</v>
      </c>
      <c r="F1214" t="s">
        <v>1766</v>
      </c>
    </row>
    <row r="1215" spans="1:6" x14ac:dyDescent="0.25">
      <c r="A1215" t="s">
        <v>1731</v>
      </c>
      <c r="B1215" t="s">
        <v>92</v>
      </c>
      <c r="C1215" t="s">
        <v>93</v>
      </c>
      <c r="D1215" t="str">
        <f>HYPERLINK("http://service.sap.com/sap/support/notes/960754","960754")</f>
        <v>960754</v>
      </c>
      <c r="E1215">
        <v>8</v>
      </c>
      <c r="F1215" t="s">
        <v>1463</v>
      </c>
    </row>
    <row r="1216" spans="1:6" x14ac:dyDescent="0.25">
      <c r="A1216" t="s">
        <v>1731</v>
      </c>
      <c r="B1216" t="s">
        <v>92</v>
      </c>
      <c r="C1216" t="s">
        <v>93</v>
      </c>
      <c r="D1216" t="str">
        <f>HYPERLINK("http://service.sap.com/sap/support/notes/1523246","1523246")</f>
        <v>1523246</v>
      </c>
      <c r="E1216">
        <v>6</v>
      </c>
      <c r="F1216" t="s">
        <v>1767</v>
      </c>
    </row>
    <row r="1217" spans="1:6" x14ac:dyDescent="0.25">
      <c r="A1217" t="s">
        <v>1731</v>
      </c>
      <c r="B1217" t="s">
        <v>92</v>
      </c>
      <c r="C1217" t="s">
        <v>93</v>
      </c>
      <c r="D1217" t="str">
        <f>HYPERLINK("http://service.sap.com/sap/support/notes/1532575","1532575")</f>
        <v>1532575</v>
      </c>
      <c r="E1217">
        <v>1</v>
      </c>
      <c r="F1217" t="s">
        <v>1768</v>
      </c>
    </row>
    <row r="1218" spans="1:6" x14ac:dyDescent="0.25">
      <c r="A1218" t="s">
        <v>1731</v>
      </c>
      <c r="B1218" t="s">
        <v>92</v>
      </c>
      <c r="C1218" t="s">
        <v>93</v>
      </c>
      <c r="D1218" t="str">
        <f>HYPERLINK("http://service.sap.com/sap/support/notes/1532686","1532686")</f>
        <v>1532686</v>
      </c>
      <c r="E1218">
        <v>1</v>
      </c>
      <c r="F1218" t="s">
        <v>1769</v>
      </c>
    </row>
    <row r="1219" spans="1:6" x14ac:dyDescent="0.25">
      <c r="A1219" t="s">
        <v>1731</v>
      </c>
      <c r="B1219" t="s">
        <v>717</v>
      </c>
      <c r="C1219" t="s">
        <v>496</v>
      </c>
      <c r="D1219" t="str">
        <f>HYPERLINK("http://service.sap.com/sap/support/notes/1531618","1531618")</f>
        <v>1531618</v>
      </c>
      <c r="E1219">
        <v>2</v>
      </c>
      <c r="F1219" t="s">
        <v>1770</v>
      </c>
    </row>
    <row r="1220" spans="1:6" x14ac:dyDescent="0.25">
      <c r="A1220" t="s">
        <v>1731</v>
      </c>
      <c r="B1220" t="s">
        <v>107</v>
      </c>
      <c r="C1220" t="s">
        <v>108</v>
      </c>
      <c r="D1220" t="str">
        <f>HYPERLINK("http://service.sap.com/sap/support/notes/1543941","1543941")</f>
        <v>1543941</v>
      </c>
      <c r="E1220">
        <v>1</v>
      </c>
      <c r="F1220" t="s">
        <v>1771</v>
      </c>
    </row>
    <row r="1221" spans="1:6" x14ac:dyDescent="0.25">
      <c r="A1221" t="s">
        <v>1731</v>
      </c>
      <c r="B1221" t="s">
        <v>118</v>
      </c>
      <c r="C1221" t="s">
        <v>119</v>
      </c>
    </row>
    <row r="1222" spans="1:6" x14ac:dyDescent="0.25">
      <c r="A1222" t="s">
        <v>1731</v>
      </c>
      <c r="B1222" t="s">
        <v>123</v>
      </c>
      <c r="C1222" t="s">
        <v>124</v>
      </c>
      <c r="D1222" t="str">
        <f>HYPERLINK("http://service.sap.com/sap/support/notes/1533304","1533304")</f>
        <v>1533304</v>
      </c>
      <c r="E1222">
        <v>1</v>
      </c>
      <c r="F1222" t="s">
        <v>1474</v>
      </c>
    </row>
    <row r="1223" spans="1:6" x14ac:dyDescent="0.25">
      <c r="A1223" t="s">
        <v>1731</v>
      </c>
      <c r="B1223" t="s">
        <v>126</v>
      </c>
      <c r="C1223" t="s">
        <v>127</v>
      </c>
    </row>
    <row r="1224" spans="1:6" x14ac:dyDescent="0.25">
      <c r="A1224" t="s">
        <v>1731</v>
      </c>
      <c r="B1224" t="s">
        <v>1772</v>
      </c>
      <c r="C1224" t="s">
        <v>1773</v>
      </c>
    </row>
    <row r="1225" spans="1:6" x14ac:dyDescent="0.25">
      <c r="A1225" t="s">
        <v>1731</v>
      </c>
      <c r="B1225" t="s">
        <v>1774</v>
      </c>
      <c r="C1225" t="s">
        <v>1775</v>
      </c>
      <c r="D1225" t="str">
        <f>HYPERLINK("http://service.sap.com/sap/support/notes/1296682","1296682")</f>
        <v>1296682</v>
      </c>
      <c r="E1225">
        <v>4</v>
      </c>
      <c r="F1225" t="s">
        <v>1776</v>
      </c>
    </row>
    <row r="1226" spans="1:6" x14ac:dyDescent="0.25">
      <c r="A1226" t="s">
        <v>1731</v>
      </c>
      <c r="B1226" t="s">
        <v>824</v>
      </c>
      <c r="C1226" t="s">
        <v>1777</v>
      </c>
    </row>
    <row r="1227" spans="1:6" x14ac:dyDescent="0.25">
      <c r="A1227" t="s">
        <v>1731</v>
      </c>
      <c r="B1227" t="s">
        <v>825</v>
      </c>
      <c r="C1227" t="s">
        <v>1778</v>
      </c>
    </row>
    <row r="1228" spans="1:6" x14ac:dyDescent="0.25">
      <c r="A1228" t="s">
        <v>1731</v>
      </c>
      <c r="B1228" t="s">
        <v>1779</v>
      </c>
      <c r="C1228" t="s">
        <v>1780</v>
      </c>
      <c r="D1228" t="str">
        <f>HYPERLINK("http://service.sap.com/sap/support/notes/1531564","1531564")</f>
        <v>1531564</v>
      </c>
      <c r="E1228">
        <v>2</v>
      </c>
      <c r="F1228" t="s">
        <v>1781</v>
      </c>
    </row>
    <row r="1229" spans="1:6" x14ac:dyDescent="0.25">
      <c r="A1229" t="s">
        <v>1731</v>
      </c>
      <c r="B1229" t="s">
        <v>128</v>
      </c>
      <c r="C1229" t="s">
        <v>129</v>
      </c>
      <c r="D1229" t="str">
        <f>HYPERLINK("http://service.sap.com/sap/support/notes/1518713","1518713")</f>
        <v>1518713</v>
      </c>
      <c r="E1229">
        <v>3</v>
      </c>
      <c r="F1229" t="s">
        <v>1782</v>
      </c>
    </row>
    <row r="1230" spans="1:6" x14ac:dyDescent="0.25">
      <c r="A1230" t="s">
        <v>1731</v>
      </c>
      <c r="B1230" t="s">
        <v>1783</v>
      </c>
      <c r="C1230" t="s">
        <v>1784</v>
      </c>
      <c r="D1230" t="str">
        <f>HYPERLINK("http://service.sap.com/sap/support/notes/1505876","1505876")</f>
        <v>1505876</v>
      </c>
      <c r="E1230">
        <v>1</v>
      </c>
      <c r="F1230" t="s">
        <v>1785</v>
      </c>
    </row>
    <row r="1231" spans="1:6" x14ac:dyDescent="0.25">
      <c r="A1231" t="s">
        <v>1731</v>
      </c>
      <c r="B1231" t="s">
        <v>1783</v>
      </c>
      <c r="C1231" t="s">
        <v>1784</v>
      </c>
      <c r="D1231" t="str">
        <f>HYPERLINK("http://service.sap.com/sap/support/notes/1528608","1528608")</f>
        <v>1528608</v>
      </c>
      <c r="E1231">
        <v>1</v>
      </c>
      <c r="F1231" t="s">
        <v>1786</v>
      </c>
    </row>
    <row r="1232" spans="1:6" x14ac:dyDescent="0.25">
      <c r="A1232" t="s">
        <v>1731</v>
      </c>
      <c r="B1232" t="s">
        <v>131</v>
      </c>
      <c r="C1232" t="s">
        <v>132</v>
      </c>
    </row>
    <row r="1233" spans="1:6" x14ac:dyDescent="0.25">
      <c r="A1233" t="s">
        <v>1731</v>
      </c>
      <c r="B1233" t="s">
        <v>133</v>
      </c>
      <c r="C1233" t="s">
        <v>134</v>
      </c>
      <c r="D1233" t="str">
        <f>HYPERLINK("http://service.sap.com/sap/support/notes/1525488","1525488")</f>
        <v>1525488</v>
      </c>
      <c r="E1233">
        <v>2</v>
      </c>
      <c r="F1233" t="s">
        <v>1787</v>
      </c>
    </row>
    <row r="1234" spans="1:6" x14ac:dyDescent="0.25">
      <c r="A1234" t="s">
        <v>1731</v>
      </c>
      <c r="B1234" t="s">
        <v>133</v>
      </c>
      <c r="C1234" t="s">
        <v>134</v>
      </c>
      <c r="D1234" t="str">
        <f>HYPERLINK("http://service.sap.com/sap/support/notes/1528133","1528133")</f>
        <v>1528133</v>
      </c>
      <c r="E1234">
        <v>3</v>
      </c>
      <c r="F1234" t="s">
        <v>1788</v>
      </c>
    </row>
    <row r="1235" spans="1:6" x14ac:dyDescent="0.25">
      <c r="A1235" t="s">
        <v>1731</v>
      </c>
      <c r="B1235" t="s">
        <v>133</v>
      </c>
      <c r="C1235" t="s">
        <v>134</v>
      </c>
      <c r="D1235" t="str">
        <f>HYPERLINK("http://service.sap.com/sap/support/notes/1538017","1538017")</f>
        <v>1538017</v>
      </c>
      <c r="E1235">
        <v>5</v>
      </c>
      <c r="F1235" t="s">
        <v>1789</v>
      </c>
    </row>
    <row r="1236" spans="1:6" x14ac:dyDescent="0.25">
      <c r="A1236" t="s">
        <v>1731</v>
      </c>
      <c r="B1236" t="s">
        <v>133</v>
      </c>
      <c r="C1236" t="s">
        <v>134</v>
      </c>
      <c r="D1236" t="str">
        <f>HYPERLINK("http://service.sap.com/sap/support/notes/1538421","1538421")</f>
        <v>1538421</v>
      </c>
      <c r="E1236">
        <v>2</v>
      </c>
      <c r="F1236" t="s">
        <v>1790</v>
      </c>
    </row>
    <row r="1237" spans="1:6" x14ac:dyDescent="0.25">
      <c r="A1237" t="s">
        <v>1731</v>
      </c>
      <c r="B1237" t="s">
        <v>133</v>
      </c>
      <c r="C1237" t="s">
        <v>134</v>
      </c>
      <c r="D1237" t="str">
        <f>HYPERLINK("http://service.sap.com/sap/support/notes/1540423","1540423")</f>
        <v>1540423</v>
      </c>
      <c r="E1237">
        <v>2</v>
      </c>
      <c r="F1237" t="s">
        <v>1791</v>
      </c>
    </row>
    <row r="1238" spans="1:6" x14ac:dyDescent="0.25">
      <c r="A1238" t="s">
        <v>1731</v>
      </c>
      <c r="B1238" t="s">
        <v>133</v>
      </c>
      <c r="C1238" t="s">
        <v>134</v>
      </c>
      <c r="D1238" t="str">
        <f>HYPERLINK("http://service.sap.com/sap/support/notes/1543264","1543264")</f>
        <v>1543264</v>
      </c>
      <c r="E1238">
        <v>1</v>
      </c>
      <c r="F1238" t="s">
        <v>1792</v>
      </c>
    </row>
    <row r="1239" spans="1:6" x14ac:dyDescent="0.25">
      <c r="A1239" t="s">
        <v>1731</v>
      </c>
      <c r="B1239" t="s">
        <v>141</v>
      </c>
      <c r="C1239" t="s">
        <v>41</v>
      </c>
      <c r="D1239" t="str">
        <f>HYPERLINK("http://service.sap.com/sap/support/notes/1518044","1518044")</f>
        <v>1518044</v>
      </c>
      <c r="E1239">
        <v>2</v>
      </c>
      <c r="F1239" t="s">
        <v>1793</v>
      </c>
    </row>
    <row r="1240" spans="1:6" x14ac:dyDescent="0.25">
      <c r="A1240" t="s">
        <v>1731</v>
      </c>
      <c r="B1240" t="s">
        <v>141</v>
      </c>
      <c r="C1240" t="s">
        <v>41</v>
      </c>
      <c r="D1240" t="str">
        <f>HYPERLINK("http://service.sap.com/sap/support/notes/1520190","1520190")</f>
        <v>1520190</v>
      </c>
      <c r="E1240">
        <v>7</v>
      </c>
      <c r="F1240" t="s">
        <v>1794</v>
      </c>
    </row>
    <row r="1241" spans="1:6" x14ac:dyDescent="0.25">
      <c r="A1241" t="s">
        <v>1731</v>
      </c>
      <c r="B1241" t="s">
        <v>141</v>
      </c>
      <c r="C1241" t="s">
        <v>41</v>
      </c>
      <c r="D1241" t="str">
        <f>HYPERLINK("http://service.sap.com/sap/support/notes/1528882","1528882")</f>
        <v>1528882</v>
      </c>
      <c r="E1241">
        <v>4</v>
      </c>
      <c r="F1241" t="s">
        <v>1795</v>
      </c>
    </row>
    <row r="1242" spans="1:6" x14ac:dyDescent="0.25">
      <c r="A1242" t="s">
        <v>1731</v>
      </c>
      <c r="B1242" t="s">
        <v>141</v>
      </c>
      <c r="C1242" t="s">
        <v>41</v>
      </c>
      <c r="D1242" t="str">
        <f>HYPERLINK("http://service.sap.com/sap/support/notes/1529141","1529141")</f>
        <v>1529141</v>
      </c>
      <c r="E1242">
        <v>1</v>
      </c>
      <c r="F1242" t="s">
        <v>1796</v>
      </c>
    </row>
    <row r="1243" spans="1:6" x14ac:dyDescent="0.25">
      <c r="A1243" t="s">
        <v>1731</v>
      </c>
      <c r="B1243" t="s">
        <v>141</v>
      </c>
      <c r="C1243" t="s">
        <v>41</v>
      </c>
      <c r="D1243" t="str">
        <f>HYPERLINK("http://service.sap.com/sap/support/notes/1529259","1529259")</f>
        <v>1529259</v>
      </c>
      <c r="E1243">
        <v>1</v>
      </c>
      <c r="F1243" t="s">
        <v>1797</v>
      </c>
    </row>
    <row r="1244" spans="1:6" x14ac:dyDescent="0.25">
      <c r="A1244" t="s">
        <v>1731</v>
      </c>
      <c r="B1244" t="s">
        <v>141</v>
      </c>
      <c r="C1244" t="s">
        <v>41</v>
      </c>
      <c r="D1244" t="str">
        <f>HYPERLINK("http://service.sap.com/sap/support/notes/1529548","1529548")</f>
        <v>1529548</v>
      </c>
      <c r="E1244">
        <v>3</v>
      </c>
      <c r="F1244" t="s">
        <v>902</v>
      </c>
    </row>
    <row r="1245" spans="1:6" x14ac:dyDescent="0.25">
      <c r="A1245" t="s">
        <v>1731</v>
      </c>
      <c r="B1245" t="s">
        <v>141</v>
      </c>
      <c r="C1245" t="s">
        <v>41</v>
      </c>
      <c r="D1245" t="str">
        <f>HYPERLINK("http://service.sap.com/sap/support/notes/1530206","1530206")</f>
        <v>1530206</v>
      </c>
      <c r="E1245">
        <v>1</v>
      </c>
      <c r="F1245" t="s">
        <v>903</v>
      </c>
    </row>
    <row r="1246" spans="1:6" x14ac:dyDescent="0.25">
      <c r="A1246" t="s">
        <v>1731</v>
      </c>
      <c r="B1246" t="s">
        <v>141</v>
      </c>
      <c r="C1246" t="s">
        <v>41</v>
      </c>
      <c r="D1246" t="str">
        <f>HYPERLINK("http://service.sap.com/sap/support/notes/1532858","1532858")</f>
        <v>1532858</v>
      </c>
      <c r="E1246">
        <v>2</v>
      </c>
      <c r="F1246" t="s">
        <v>1798</v>
      </c>
    </row>
    <row r="1247" spans="1:6" x14ac:dyDescent="0.25">
      <c r="A1247" t="s">
        <v>1731</v>
      </c>
      <c r="B1247" t="s">
        <v>141</v>
      </c>
      <c r="C1247" t="s">
        <v>41</v>
      </c>
      <c r="D1247" t="str">
        <f>HYPERLINK("http://service.sap.com/sap/support/notes/1533544","1533544")</f>
        <v>1533544</v>
      </c>
      <c r="E1247">
        <v>1</v>
      </c>
      <c r="F1247" t="s">
        <v>1799</v>
      </c>
    </row>
    <row r="1248" spans="1:6" x14ac:dyDescent="0.25">
      <c r="A1248" t="s">
        <v>1731</v>
      </c>
      <c r="B1248" t="s">
        <v>141</v>
      </c>
      <c r="C1248" t="s">
        <v>41</v>
      </c>
      <c r="D1248" t="str">
        <f>HYPERLINK("http://service.sap.com/sap/support/notes/1533579","1533579")</f>
        <v>1533579</v>
      </c>
      <c r="E1248">
        <v>2</v>
      </c>
      <c r="F1248" t="s">
        <v>1800</v>
      </c>
    </row>
    <row r="1249" spans="1:6" x14ac:dyDescent="0.25">
      <c r="A1249" t="s">
        <v>1731</v>
      </c>
      <c r="B1249" t="s">
        <v>141</v>
      </c>
      <c r="C1249" t="s">
        <v>41</v>
      </c>
      <c r="D1249" t="str">
        <f>HYPERLINK("http://service.sap.com/sap/support/notes/1539481","1539481")</f>
        <v>1539481</v>
      </c>
      <c r="E1249">
        <v>3</v>
      </c>
      <c r="F1249" t="s">
        <v>1801</v>
      </c>
    </row>
    <row r="1250" spans="1:6" x14ac:dyDescent="0.25">
      <c r="A1250" t="s">
        <v>1731</v>
      </c>
      <c r="B1250" t="s">
        <v>141</v>
      </c>
      <c r="C1250" t="s">
        <v>41</v>
      </c>
      <c r="D1250" t="str">
        <f>HYPERLINK("http://service.sap.com/sap/support/notes/1539952","1539952")</f>
        <v>1539952</v>
      </c>
      <c r="E1250">
        <v>1</v>
      </c>
      <c r="F1250" t="s">
        <v>1802</v>
      </c>
    </row>
    <row r="1251" spans="1:6" x14ac:dyDescent="0.25">
      <c r="A1251" t="s">
        <v>1731</v>
      </c>
      <c r="B1251" t="s">
        <v>141</v>
      </c>
      <c r="C1251" t="s">
        <v>41</v>
      </c>
      <c r="D1251" t="str">
        <f>HYPERLINK("http://service.sap.com/sap/support/notes/1540784","1540784")</f>
        <v>1540784</v>
      </c>
      <c r="E1251">
        <v>1</v>
      </c>
      <c r="F1251" t="s">
        <v>1803</v>
      </c>
    </row>
    <row r="1252" spans="1:6" x14ac:dyDescent="0.25">
      <c r="A1252" t="s">
        <v>1731</v>
      </c>
      <c r="B1252" t="s">
        <v>141</v>
      </c>
      <c r="C1252" t="s">
        <v>41</v>
      </c>
      <c r="D1252" t="str">
        <f>HYPERLINK("http://service.sap.com/sap/support/notes/1541812","1541812")</f>
        <v>1541812</v>
      </c>
      <c r="E1252">
        <v>1</v>
      </c>
      <c r="F1252" t="s">
        <v>1804</v>
      </c>
    </row>
    <row r="1253" spans="1:6" x14ac:dyDescent="0.25">
      <c r="A1253" t="s">
        <v>1731</v>
      </c>
      <c r="B1253" t="s">
        <v>152</v>
      </c>
      <c r="C1253" t="s">
        <v>153</v>
      </c>
      <c r="D1253" t="str">
        <f>HYPERLINK("http://service.sap.com/sap/support/notes/1536324","1536324")</f>
        <v>1536324</v>
      </c>
      <c r="E1253">
        <v>3</v>
      </c>
      <c r="F1253" t="s">
        <v>1805</v>
      </c>
    </row>
    <row r="1254" spans="1:6" x14ac:dyDescent="0.25">
      <c r="A1254" t="s">
        <v>1731</v>
      </c>
      <c r="B1254" t="s">
        <v>152</v>
      </c>
      <c r="C1254" t="s">
        <v>153</v>
      </c>
      <c r="D1254" t="str">
        <f>HYPERLINK("http://service.sap.com/sap/support/notes/1542805","1542805")</f>
        <v>1542805</v>
      </c>
      <c r="E1254">
        <v>1</v>
      </c>
      <c r="F1254" t="s">
        <v>1806</v>
      </c>
    </row>
    <row r="1255" spans="1:6" x14ac:dyDescent="0.25">
      <c r="A1255" t="s">
        <v>1731</v>
      </c>
      <c r="B1255" t="s">
        <v>155</v>
      </c>
      <c r="C1255" t="s">
        <v>156</v>
      </c>
      <c r="D1255" t="str">
        <f>HYPERLINK("http://service.sap.com/sap/support/notes/1226254","1226254")</f>
        <v>1226254</v>
      </c>
      <c r="E1255">
        <v>3</v>
      </c>
      <c r="F1255" t="s">
        <v>1807</v>
      </c>
    </row>
    <row r="1256" spans="1:6" x14ac:dyDescent="0.25">
      <c r="A1256" t="s">
        <v>1731</v>
      </c>
      <c r="B1256" t="s">
        <v>155</v>
      </c>
      <c r="C1256" t="s">
        <v>156</v>
      </c>
      <c r="D1256" t="str">
        <f>HYPERLINK("http://service.sap.com/sap/support/notes/1475017","1475017")</f>
        <v>1475017</v>
      </c>
      <c r="E1256">
        <v>1</v>
      </c>
      <c r="F1256" t="s">
        <v>1808</v>
      </c>
    </row>
    <row r="1257" spans="1:6" x14ac:dyDescent="0.25">
      <c r="A1257" t="s">
        <v>1731</v>
      </c>
      <c r="B1257" t="s">
        <v>155</v>
      </c>
      <c r="C1257" t="s">
        <v>156</v>
      </c>
      <c r="D1257" t="str">
        <f>HYPERLINK("http://service.sap.com/sap/support/notes/1486390","1486390")</f>
        <v>1486390</v>
      </c>
      <c r="E1257">
        <v>2</v>
      </c>
      <c r="F1257" t="s">
        <v>1809</v>
      </c>
    </row>
    <row r="1258" spans="1:6" x14ac:dyDescent="0.25">
      <c r="A1258" t="s">
        <v>1731</v>
      </c>
      <c r="B1258" t="s">
        <v>155</v>
      </c>
      <c r="C1258" t="s">
        <v>156</v>
      </c>
      <c r="D1258" t="str">
        <f>HYPERLINK("http://service.sap.com/sap/support/notes/1489293","1489293")</f>
        <v>1489293</v>
      </c>
      <c r="E1258">
        <v>5</v>
      </c>
      <c r="F1258" t="s">
        <v>1810</v>
      </c>
    </row>
    <row r="1259" spans="1:6" x14ac:dyDescent="0.25">
      <c r="A1259" t="s">
        <v>1731</v>
      </c>
      <c r="B1259" t="s">
        <v>155</v>
      </c>
      <c r="C1259" t="s">
        <v>156</v>
      </c>
      <c r="D1259" t="str">
        <f>HYPERLINK("http://service.sap.com/sap/support/notes/1496670","1496670")</f>
        <v>1496670</v>
      </c>
      <c r="E1259">
        <v>2</v>
      </c>
      <c r="F1259" t="s">
        <v>1811</v>
      </c>
    </row>
    <row r="1260" spans="1:6" x14ac:dyDescent="0.25">
      <c r="A1260" t="s">
        <v>1731</v>
      </c>
      <c r="B1260" t="s">
        <v>155</v>
      </c>
      <c r="C1260" t="s">
        <v>156</v>
      </c>
      <c r="D1260" t="str">
        <f>HYPERLINK("http://service.sap.com/sap/support/notes/1496717","1496717")</f>
        <v>1496717</v>
      </c>
      <c r="E1260">
        <v>1</v>
      </c>
      <c r="F1260" t="s">
        <v>1812</v>
      </c>
    </row>
    <row r="1261" spans="1:6" x14ac:dyDescent="0.25">
      <c r="A1261" t="s">
        <v>1731</v>
      </c>
      <c r="B1261" t="s">
        <v>155</v>
      </c>
      <c r="C1261" t="s">
        <v>156</v>
      </c>
      <c r="D1261" t="str">
        <f>HYPERLINK("http://service.sap.com/sap/support/notes/1512391","1512391")</f>
        <v>1512391</v>
      </c>
      <c r="E1261">
        <v>1</v>
      </c>
      <c r="F1261" t="s">
        <v>919</v>
      </c>
    </row>
    <row r="1262" spans="1:6" x14ac:dyDescent="0.25">
      <c r="A1262" t="s">
        <v>1731</v>
      </c>
      <c r="B1262" t="s">
        <v>155</v>
      </c>
      <c r="C1262" t="s">
        <v>156</v>
      </c>
      <c r="D1262" t="str">
        <f>HYPERLINK("http://service.sap.com/sap/support/notes/1512588","1512588")</f>
        <v>1512588</v>
      </c>
      <c r="E1262">
        <v>1</v>
      </c>
      <c r="F1262" t="s">
        <v>920</v>
      </c>
    </row>
    <row r="1263" spans="1:6" x14ac:dyDescent="0.25">
      <c r="A1263" t="s">
        <v>1731</v>
      </c>
      <c r="B1263" t="s">
        <v>155</v>
      </c>
      <c r="C1263" t="s">
        <v>156</v>
      </c>
      <c r="D1263" t="str">
        <f>HYPERLINK("http://service.sap.com/sap/support/notes/1515749","1515749")</f>
        <v>1515749</v>
      </c>
      <c r="E1263">
        <v>1</v>
      </c>
      <c r="F1263" t="s">
        <v>1813</v>
      </c>
    </row>
    <row r="1264" spans="1:6" x14ac:dyDescent="0.25">
      <c r="A1264" t="s">
        <v>1731</v>
      </c>
      <c r="B1264" t="s">
        <v>155</v>
      </c>
      <c r="C1264" t="s">
        <v>156</v>
      </c>
      <c r="D1264" t="str">
        <f>HYPERLINK("http://service.sap.com/sap/support/notes/1533439","1533439")</f>
        <v>1533439</v>
      </c>
      <c r="E1264">
        <v>1</v>
      </c>
      <c r="F1264" t="s">
        <v>1814</v>
      </c>
    </row>
    <row r="1265" spans="1:6" x14ac:dyDescent="0.25">
      <c r="A1265" t="s">
        <v>1731</v>
      </c>
      <c r="B1265" t="s">
        <v>155</v>
      </c>
      <c r="C1265" t="s">
        <v>156</v>
      </c>
      <c r="D1265" t="str">
        <f>HYPERLINK("http://service.sap.com/sap/support/notes/1535425","1535425")</f>
        <v>1535425</v>
      </c>
      <c r="E1265">
        <v>1</v>
      </c>
      <c r="F1265" t="s">
        <v>1815</v>
      </c>
    </row>
    <row r="1266" spans="1:6" x14ac:dyDescent="0.25">
      <c r="A1266" t="s">
        <v>1731</v>
      </c>
      <c r="B1266" t="s">
        <v>155</v>
      </c>
      <c r="C1266" t="s">
        <v>156</v>
      </c>
      <c r="D1266" t="str">
        <f>HYPERLINK("http://service.sap.com/sap/support/notes/1538606","1538606")</f>
        <v>1538606</v>
      </c>
      <c r="E1266">
        <v>1</v>
      </c>
      <c r="F1266" t="s">
        <v>1816</v>
      </c>
    </row>
    <row r="1267" spans="1:6" x14ac:dyDescent="0.25">
      <c r="A1267" t="s">
        <v>1731</v>
      </c>
      <c r="B1267" t="s">
        <v>155</v>
      </c>
      <c r="C1267" t="s">
        <v>156</v>
      </c>
      <c r="D1267" t="str">
        <f>HYPERLINK("http://service.sap.com/sap/support/notes/1541067","1541067")</f>
        <v>1541067</v>
      </c>
      <c r="E1267">
        <v>1</v>
      </c>
      <c r="F1267" t="s">
        <v>1490</v>
      </c>
    </row>
    <row r="1268" spans="1:6" x14ac:dyDescent="0.25">
      <c r="A1268" t="s">
        <v>1731</v>
      </c>
      <c r="B1268" t="s">
        <v>155</v>
      </c>
      <c r="C1268" t="s">
        <v>156</v>
      </c>
      <c r="D1268" t="str">
        <f>HYPERLINK("http://service.sap.com/sap/support/notes/1541184","1541184")</f>
        <v>1541184</v>
      </c>
      <c r="E1268">
        <v>1</v>
      </c>
      <c r="F1268" t="s">
        <v>1817</v>
      </c>
    </row>
    <row r="1269" spans="1:6" x14ac:dyDescent="0.25">
      <c r="A1269" t="s">
        <v>1731</v>
      </c>
      <c r="B1269" t="s">
        <v>155</v>
      </c>
      <c r="C1269" t="s">
        <v>156</v>
      </c>
      <c r="D1269" t="str">
        <f>HYPERLINK("http://service.sap.com/sap/support/notes/1542124","1542124")</f>
        <v>1542124</v>
      </c>
      <c r="E1269">
        <v>1</v>
      </c>
      <c r="F1269" t="s">
        <v>1818</v>
      </c>
    </row>
    <row r="1270" spans="1:6" x14ac:dyDescent="0.25">
      <c r="A1270" t="s">
        <v>1731</v>
      </c>
      <c r="B1270" t="s">
        <v>168</v>
      </c>
      <c r="C1270" t="s">
        <v>169</v>
      </c>
      <c r="D1270" t="str">
        <f>HYPERLINK("http://service.sap.com/sap/support/notes/1534361","1534361")</f>
        <v>1534361</v>
      </c>
      <c r="E1270">
        <v>1</v>
      </c>
      <c r="F1270" t="s">
        <v>1819</v>
      </c>
    </row>
    <row r="1271" spans="1:6" x14ac:dyDescent="0.25">
      <c r="A1271" t="s">
        <v>1731</v>
      </c>
      <c r="B1271" t="s">
        <v>171</v>
      </c>
      <c r="C1271" t="s">
        <v>153</v>
      </c>
      <c r="D1271" t="str">
        <f>HYPERLINK("http://service.sap.com/sap/support/notes/1533322","1533322")</f>
        <v>1533322</v>
      </c>
      <c r="E1271">
        <v>1</v>
      </c>
      <c r="F1271" t="s">
        <v>1820</v>
      </c>
    </row>
    <row r="1272" spans="1:6" x14ac:dyDescent="0.25">
      <c r="A1272" t="s">
        <v>1731</v>
      </c>
      <c r="B1272" t="s">
        <v>171</v>
      </c>
      <c r="C1272" t="s">
        <v>153</v>
      </c>
      <c r="D1272" t="str">
        <f>HYPERLINK("http://service.sap.com/sap/support/notes/1538271","1538271")</f>
        <v>1538271</v>
      </c>
      <c r="E1272">
        <v>1</v>
      </c>
      <c r="F1272" t="s">
        <v>1821</v>
      </c>
    </row>
    <row r="1273" spans="1:6" x14ac:dyDescent="0.25">
      <c r="A1273" t="s">
        <v>1731</v>
      </c>
      <c r="B1273" t="s">
        <v>173</v>
      </c>
      <c r="C1273" t="s">
        <v>45</v>
      </c>
      <c r="D1273" t="str">
        <f>HYPERLINK("http://service.sap.com/sap/support/notes/1533723","1533723")</f>
        <v>1533723</v>
      </c>
      <c r="E1273">
        <v>3</v>
      </c>
      <c r="F1273" t="s">
        <v>1822</v>
      </c>
    </row>
    <row r="1274" spans="1:6" x14ac:dyDescent="0.25">
      <c r="A1274" t="s">
        <v>1731</v>
      </c>
      <c r="B1274" t="s">
        <v>173</v>
      </c>
      <c r="C1274" t="s">
        <v>45</v>
      </c>
      <c r="D1274" t="str">
        <f>HYPERLINK("http://service.sap.com/sap/support/notes/1535977","1535977")</f>
        <v>1535977</v>
      </c>
      <c r="E1274">
        <v>4</v>
      </c>
      <c r="F1274" t="s">
        <v>1493</v>
      </c>
    </row>
    <row r="1275" spans="1:6" x14ac:dyDescent="0.25">
      <c r="A1275" t="s">
        <v>1731</v>
      </c>
      <c r="B1275" t="s">
        <v>173</v>
      </c>
      <c r="C1275" t="s">
        <v>45</v>
      </c>
      <c r="D1275" t="str">
        <f>HYPERLINK("http://service.sap.com/sap/support/notes/1535978","1535978")</f>
        <v>1535978</v>
      </c>
      <c r="E1275">
        <v>4</v>
      </c>
      <c r="F1275" t="s">
        <v>1494</v>
      </c>
    </row>
    <row r="1276" spans="1:6" x14ac:dyDescent="0.25">
      <c r="A1276" t="s">
        <v>1731</v>
      </c>
      <c r="B1276" t="s">
        <v>173</v>
      </c>
      <c r="C1276" t="s">
        <v>45</v>
      </c>
      <c r="D1276" t="str">
        <f>HYPERLINK("http://service.sap.com/sap/support/notes/1538220","1538220")</f>
        <v>1538220</v>
      </c>
      <c r="E1276">
        <v>3</v>
      </c>
      <c r="F1276" t="s">
        <v>1823</v>
      </c>
    </row>
    <row r="1277" spans="1:6" x14ac:dyDescent="0.25">
      <c r="A1277" t="s">
        <v>1731</v>
      </c>
      <c r="B1277" t="s">
        <v>173</v>
      </c>
      <c r="C1277" t="s">
        <v>45</v>
      </c>
      <c r="D1277" t="str">
        <f>HYPERLINK("http://service.sap.com/sap/support/notes/1539885","1539885")</f>
        <v>1539885</v>
      </c>
      <c r="E1277">
        <v>3</v>
      </c>
      <c r="F1277" t="s">
        <v>1496</v>
      </c>
    </row>
    <row r="1278" spans="1:6" x14ac:dyDescent="0.25">
      <c r="A1278" t="s">
        <v>1731</v>
      </c>
      <c r="B1278" t="s">
        <v>173</v>
      </c>
      <c r="C1278" t="s">
        <v>45</v>
      </c>
      <c r="D1278" t="str">
        <f>HYPERLINK("http://service.sap.com/sap/support/notes/1540632","1540632")</f>
        <v>1540632</v>
      </c>
      <c r="E1278">
        <v>2</v>
      </c>
      <c r="F1278" t="s">
        <v>1824</v>
      </c>
    </row>
    <row r="1279" spans="1:6" x14ac:dyDescent="0.25">
      <c r="A1279" t="s">
        <v>1731</v>
      </c>
      <c r="B1279" t="s">
        <v>173</v>
      </c>
      <c r="C1279" t="s">
        <v>45</v>
      </c>
      <c r="D1279" t="str">
        <f>HYPERLINK("http://service.sap.com/sap/support/notes/1540846","1540846")</f>
        <v>1540846</v>
      </c>
      <c r="E1279">
        <v>1</v>
      </c>
      <c r="F1279" t="s">
        <v>1825</v>
      </c>
    </row>
    <row r="1280" spans="1:6" x14ac:dyDescent="0.25">
      <c r="A1280" t="s">
        <v>1731</v>
      </c>
      <c r="B1280" t="s">
        <v>173</v>
      </c>
      <c r="C1280" t="s">
        <v>45</v>
      </c>
      <c r="D1280" t="str">
        <f>HYPERLINK("http://service.sap.com/sap/support/notes/1541074","1541074")</f>
        <v>1541074</v>
      </c>
      <c r="E1280">
        <v>1</v>
      </c>
      <c r="F1280" t="s">
        <v>1826</v>
      </c>
    </row>
    <row r="1281" spans="1:6" x14ac:dyDescent="0.25">
      <c r="A1281" t="s">
        <v>1731</v>
      </c>
      <c r="B1281" t="s">
        <v>173</v>
      </c>
      <c r="C1281" t="s">
        <v>45</v>
      </c>
      <c r="D1281" t="str">
        <f>HYPERLINK("http://service.sap.com/sap/support/notes/1541341","1541341")</f>
        <v>1541341</v>
      </c>
      <c r="E1281">
        <v>1</v>
      </c>
      <c r="F1281" t="s">
        <v>1827</v>
      </c>
    </row>
    <row r="1282" spans="1:6" x14ac:dyDescent="0.25">
      <c r="A1282" t="s">
        <v>1731</v>
      </c>
      <c r="B1282" t="s">
        <v>191</v>
      </c>
      <c r="C1282" t="s">
        <v>192</v>
      </c>
      <c r="D1282" t="str">
        <f>HYPERLINK("http://service.sap.com/sap/support/notes/1510007","1510007")</f>
        <v>1510007</v>
      </c>
      <c r="E1282">
        <v>1</v>
      </c>
      <c r="F1282" t="s">
        <v>1828</v>
      </c>
    </row>
    <row r="1283" spans="1:6" x14ac:dyDescent="0.25">
      <c r="A1283" t="s">
        <v>1731</v>
      </c>
      <c r="B1283" t="s">
        <v>191</v>
      </c>
      <c r="C1283" t="s">
        <v>192</v>
      </c>
      <c r="D1283" t="str">
        <f>HYPERLINK("http://service.sap.com/sap/support/notes/1511434","1511434")</f>
        <v>1511434</v>
      </c>
      <c r="E1283">
        <v>25</v>
      </c>
      <c r="F1283" t="s">
        <v>1829</v>
      </c>
    </row>
    <row r="1284" spans="1:6" x14ac:dyDescent="0.25">
      <c r="A1284" t="s">
        <v>1731</v>
      </c>
      <c r="B1284" t="s">
        <v>191</v>
      </c>
      <c r="C1284" t="s">
        <v>192</v>
      </c>
      <c r="D1284" t="str">
        <f>HYPERLINK("http://service.sap.com/sap/support/notes/1512248","1512248")</f>
        <v>1512248</v>
      </c>
      <c r="E1284">
        <v>6</v>
      </c>
      <c r="F1284" t="s">
        <v>1830</v>
      </c>
    </row>
    <row r="1285" spans="1:6" x14ac:dyDescent="0.25">
      <c r="A1285" t="s">
        <v>1731</v>
      </c>
      <c r="B1285" t="s">
        <v>191</v>
      </c>
      <c r="C1285" t="s">
        <v>192</v>
      </c>
      <c r="D1285" t="str">
        <f>HYPERLINK("http://service.sap.com/sap/support/notes/1538296","1538296")</f>
        <v>1538296</v>
      </c>
      <c r="E1285">
        <v>1</v>
      </c>
      <c r="F1285" t="s">
        <v>1831</v>
      </c>
    </row>
    <row r="1286" spans="1:6" x14ac:dyDescent="0.25">
      <c r="A1286" t="s">
        <v>1731</v>
      </c>
      <c r="B1286" t="s">
        <v>191</v>
      </c>
      <c r="C1286" t="s">
        <v>192</v>
      </c>
      <c r="D1286" t="str">
        <f>HYPERLINK("http://service.sap.com/sap/support/notes/1542907","1542907")</f>
        <v>1542907</v>
      </c>
      <c r="E1286">
        <v>1</v>
      </c>
      <c r="F1286" t="s">
        <v>1832</v>
      </c>
    </row>
    <row r="1287" spans="1:6" x14ac:dyDescent="0.25">
      <c r="A1287" t="s">
        <v>1731</v>
      </c>
      <c r="B1287" t="s">
        <v>201</v>
      </c>
      <c r="C1287" t="s">
        <v>202</v>
      </c>
      <c r="D1287" t="str">
        <f>HYPERLINK("http://service.sap.com/sap/support/notes/1532417","1532417")</f>
        <v>1532417</v>
      </c>
      <c r="E1287">
        <v>2</v>
      </c>
      <c r="F1287" t="s">
        <v>1833</v>
      </c>
    </row>
    <row r="1288" spans="1:6" x14ac:dyDescent="0.25">
      <c r="A1288" t="s">
        <v>1731</v>
      </c>
      <c r="B1288" t="s">
        <v>201</v>
      </c>
      <c r="C1288" t="s">
        <v>202</v>
      </c>
      <c r="D1288" t="str">
        <f>HYPERLINK("http://service.sap.com/sap/support/notes/1533872","1533872")</f>
        <v>1533872</v>
      </c>
      <c r="E1288">
        <v>2</v>
      </c>
      <c r="F1288" t="s">
        <v>1834</v>
      </c>
    </row>
    <row r="1289" spans="1:6" x14ac:dyDescent="0.25">
      <c r="A1289" t="s">
        <v>1731</v>
      </c>
      <c r="B1289" t="s">
        <v>201</v>
      </c>
      <c r="C1289" t="s">
        <v>202</v>
      </c>
      <c r="D1289" t="str">
        <f>HYPERLINK("http://service.sap.com/sap/support/notes/1534930","1534930")</f>
        <v>1534930</v>
      </c>
      <c r="E1289">
        <v>4</v>
      </c>
      <c r="F1289" t="s">
        <v>1835</v>
      </c>
    </row>
    <row r="1290" spans="1:6" x14ac:dyDescent="0.25">
      <c r="A1290" t="s">
        <v>1731</v>
      </c>
      <c r="B1290" t="s">
        <v>201</v>
      </c>
      <c r="C1290" t="s">
        <v>202</v>
      </c>
      <c r="D1290" t="str">
        <f>HYPERLINK("http://service.sap.com/sap/support/notes/1538566","1538566")</f>
        <v>1538566</v>
      </c>
      <c r="E1290">
        <v>1</v>
      </c>
      <c r="F1290" t="s">
        <v>1836</v>
      </c>
    </row>
    <row r="1291" spans="1:6" x14ac:dyDescent="0.25">
      <c r="A1291" t="s">
        <v>1731</v>
      </c>
      <c r="B1291" t="s">
        <v>201</v>
      </c>
      <c r="C1291" t="s">
        <v>202</v>
      </c>
      <c r="D1291" t="str">
        <f>HYPERLINK("http://service.sap.com/sap/support/notes/1538796","1538796")</f>
        <v>1538796</v>
      </c>
      <c r="E1291">
        <v>2</v>
      </c>
      <c r="F1291" t="s">
        <v>1837</v>
      </c>
    </row>
    <row r="1292" spans="1:6" x14ac:dyDescent="0.25">
      <c r="A1292" t="s">
        <v>1731</v>
      </c>
      <c r="B1292" t="s">
        <v>201</v>
      </c>
      <c r="C1292" t="s">
        <v>202</v>
      </c>
      <c r="D1292" t="str">
        <f>HYPERLINK("http://service.sap.com/sap/support/notes/1544233","1544233")</f>
        <v>1544233</v>
      </c>
      <c r="E1292">
        <v>2</v>
      </c>
      <c r="F1292" t="s">
        <v>1505</v>
      </c>
    </row>
    <row r="1293" spans="1:6" x14ac:dyDescent="0.25">
      <c r="A1293" t="s">
        <v>1731</v>
      </c>
      <c r="B1293" t="s">
        <v>964</v>
      </c>
      <c r="C1293" t="s">
        <v>299</v>
      </c>
      <c r="D1293" t="str">
        <f>HYPERLINK("http://service.sap.com/sap/support/notes/1525011","1525011")</f>
        <v>1525011</v>
      </c>
      <c r="E1293">
        <v>4</v>
      </c>
      <c r="F1293" t="s">
        <v>1838</v>
      </c>
    </row>
    <row r="1294" spans="1:6" x14ac:dyDescent="0.25">
      <c r="A1294" t="s">
        <v>1731</v>
      </c>
      <c r="B1294" t="s">
        <v>964</v>
      </c>
      <c r="C1294" t="s">
        <v>299</v>
      </c>
      <c r="D1294" t="str">
        <f>HYPERLINK("http://service.sap.com/sap/support/notes/1538657","1538657")</f>
        <v>1538657</v>
      </c>
      <c r="E1294">
        <v>1</v>
      </c>
      <c r="F1294" t="s">
        <v>1839</v>
      </c>
    </row>
    <row r="1295" spans="1:6" x14ac:dyDescent="0.25">
      <c r="A1295" t="s">
        <v>1731</v>
      </c>
      <c r="B1295" t="s">
        <v>964</v>
      </c>
      <c r="C1295" t="s">
        <v>299</v>
      </c>
      <c r="D1295" t="str">
        <f>HYPERLINK("http://service.sap.com/sap/support/notes/1541639","1541639")</f>
        <v>1541639</v>
      </c>
      <c r="E1295">
        <v>2</v>
      </c>
      <c r="F1295" t="s">
        <v>1840</v>
      </c>
    </row>
    <row r="1296" spans="1:6" x14ac:dyDescent="0.25">
      <c r="A1296" t="s">
        <v>1731</v>
      </c>
      <c r="B1296" t="s">
        <v>964</v>
      </c>
      <c r="C1296" t="s">
        <v>299</v>
      </c>
      <c r="D1296" t="str">
        <f>HYPERLINK("http://service.sap.com/sap/support/notes/1543006","1543006")</f>
        <v>1543006</v>
      </c>
      <c r="E1296">
        <v>1</v>
      </c>
      <c r="F1296" t="s">
        <v>1841</v>
      </c>
    </row>
    <row r="1297" spans="1:6" x14ac:dyDescent="0.25">
      <c r="A1297" t="s">
        <v>1731</v>
      </c>
      <c r="B1297" t="s">
        <v>207</v>
      </c>
      <c r="C1297" t="s">
        <v>208</v>
      </c>
      <c r="D1297" t="str">
        <f>HYPERLINK("http://service.sap.com/sap/support/notes/1513007","1513007")</f>
        <v>1513007</v>
      </c>
      <c r="E1297">
        <v>1</v>
      </c>
      <c r="F1297" t="s">
        <v>209</v>
      </c>
    </row>
    <row r="1298" spans="1:6" x14ac:dyDescent="0.25">
      <c r="A1298" t="s">
        <v>1731</v>
      </c>
      <c r="B1298" t="s">
        <v>207</v>
      </c>
      <c r="C1298" t="s">
        <v>208</v>
      </c>
      <c r="D1298" t="str">
        <f>HYPERLINK("http://service.sap.com/sap/support/notes/1517623","1517623")</f>
        <v>1517623</v>
      </c>
      <c r="E1298">
        <v>2</v>
      </c>
      <c r="F1298" t="s">
        <v>1842</v>
      </c>
    </row>
    <row r="1299" spans="1:6" x14ac:dyDescent="0.25">
      <c r="A1299" t="s">
        <v>1731</v>
      </c>
      <c r="B1299" t="s">
        <v>207</v>
      </c>
      <c r="C1299" t="s">
        <v>208</v>
      </c>
      <c r="D1299" t="str">
        <f>HYPERLINK("http://service.sap.com/sap/support/notes/1532774","1532774")</f>
        <v>1532774</v>
      </c>
      <c r="E1299">
        <v>3</v>
      </c>
      <c r="F1299" t="s">
        <v>1843</v>
      </c>
    </row>
    <row r="1300" spans="1:6" x14ac:dyDescent="0.25">
      <c r="A1300" t="s">
        <v>1731</v>
      </c>
      <c r="B1300" t="s">
        <v>207</v>
      </c>
      <c r="C1300" t="s">
        <v>208</v>
      </c>
      <c r="D1300" t="str">
        <f>HYPERLINK("http://service.sap.com/sap/support/notes/1537130","1537130")</f>
        <v>1537130</v>
      </c>
      <c r="E1300">
        <v>1</v>
      </c>
      <c r="F1300" t="s">
        <v>1844</v>
      </c>
    </row>
    <row r="1301" spans="1:6" x14ac:dyDescent="0.25">
      <c r="A1301" t="s">
        <v>1731</v>
      </c>
      <c r="B1301" t="s">
        <v>207</v>
      </c>
      <c r="C1301" t="s">
        <v>208</v>
      </c>
      <c r="D1301" t="str">
        <f>HYPERLINK("http://service.sap.com/sap/support/notes/1539249","1539249")</f>
        <v>1539249</v>
      </c>
      <c r="E1301">
        <v>2</v>
      </c>
      <c r="F1301" t="s">
        <v>1845</v>
      </c>
    </row>
    <row r="1302" spans="1:6" x14ac:dyDescent="0.25">
      <c r="A1302" t="s">
        <v>1731</v>
      </c>
      <c r="B1302" t="s">
        <v>207</v>
      </c>
      <c r="C1302" t="s">
        <v>208</v>
      </c>
      <c r="D1302" t="str">
        <f>HYPERLINK("http://service.sap.com/sap/support/notes/1539993","1539993")</f>
        <v>1539993</v>
      </c>
      <c r="E1302">
        <v>2</v>
      </c>
      <c r="F1302" t="s">
        <v>1846</v>
      </c>
    </row>
    <row r="1303" spans="1:6" x14ac:dyDescent="0.25">
      <c r="A1303" t="s">
        <v>1731</v>
      </c>
      <c r="B1303" t="s">
        <v>207</v>
      </c>
      <c r="C1303" t="s">
        <v>208</v>
      </c>
      <c r="D1303" t="str">
        <f>HYPERLINK("http://service.sap.com/sap/support/notes/1540740","1540740")</f>
        <v>1540740</v>
      </c>
      <c r="E1303">
        <v>2</v>
      </c>
      <c r="F1303" t="s">
        <v>1847</v>
      </c>
    </row>
    <row r="1304" spans="1:6" x14ac:dyDescent="0.25">
      <c r="A1304" t="s">
        <v>1731</v>
      </c>
      <c r="B1304" t="s">
        <v>213</v>
      </c>
      <c r="C1304" t="s">
        <v>214</v>
      </c>
      <c r="D1304" t="str">
        <f>HYPERLINK("http://service.sap.com/sap/support/notes/1515943","1515943")</f>
        <v>1515943</v>
      </c>
      <c r="E1304">
        <v>2</v>
      </c>
      <c r="F1304" t="s">
        <v>1848</v>
      </c>
    </row>
    <row r="1305" spans="1:6" x14ac:dyDescent="0.25">
      <c r="A1305" t="s">
        <v>1731</v>
      </c>
      <c r="B1305" t="s">
        <v>213</v>
      </c>
      <c r="C1305" t="s">
        <v>214</v>
      </c>
      <c r="D1305" t="str">
        <f>HYPERLINK("http://service.sap.com/sap/support/notes/1523488","1523488")</f>
        <v>1523488</v>
      </c>
      <c r="E1305">
        <v>3</v>
      </c>
      <c r="F1305" t="s">
        <v>1849</v>
      </c>
    </row>
    <row r="1306" spans="1:6" x14ac:dyDescent="0.25">
      <c r="A1306" t="s">
        <v>1731</v>
      </c>
      <c r="B1306" t="s">
        <v>213</v>
      </c>
      <c r="C1306" t="s">
        <v>214</v>
      </c>
      <c r="D1306" t="str">
        <f>HYPERLINK("http://service.sap.com/sap/support/notes/1523972","1523972")</f>
        <v>1523972</v>
      </c>
      <c r="E1306">
        <v>3</v>
      </c>
      <c r="F1306" t="s">
        <v>1850</v>
      </c>
    </row>
    <row r="1307" spans="1:6" x14ac:dyDescent="0.25">
      <c r="A1307" t="s">
        <v>1731</v>
      </c>
      <c r="B1307" t="s">
        <v>213</v>
      </c>
      <c r="C1307" t="s">
        <v>214</v>
      </c>
      <c r="D1307" t="str">
        <f>HYPERLINK("http://service.sap.com/sap/support/notes/1526243","1526243")</f>
        <v>1526243</v>
      </c>
      <c r="E1307">
        <v>2</v>
      </c>
      <c r="F1307" t="s">
        <v>1851</v>
      </c>
    </row>
    <row r="1308" spans="1:6" x14ac:dyDescent="0.25">
      <c r="A1308" t="s">
        <v>1731</v>
      </c>
      <c r="B1308" t="s">
        <v>213</v>
      </c>
      <c r="C1308" t="s">
        <v>214</v>
      </c>
      <c r="D1308" t="str">
        <f>HYPERLINK("http://service.sap.com/sap/support/notes/1532495","1532495")</f>
        <v>1532495</v>
      </c>
      <c r="E1308">
        <v>1</v>
      </c>
      <c r="F1308" t="s">
        <v>1852</v>
      </c>
    </row>
    <row r="1309" spans="1:6" x14ac:dyDescent="0.25">
      <c r="A1309" t="s">
        <v>1731</v>
      </c>
      <c r="B1309" t="s">
        <v>213</v>
      </c>
      <c r="C1309" t="s">
        <v>214</v>
      </c>
      <c r="D1309" t="str">
        <f>HYPERLINK("http://service.sap.com/sap/support/notes/1533121","1533121")</f>
        <v>1533121</v>
      </c>
      <c r="E1309">
        <v>2</v>
      </c>
      <c r="F1309" t="s">
        <v>1853</v>
      </c>
    </row>
    <row r="1310" spans="1:6" x14ac:dyDescent="0.25">
      <c r="A1310" t="s">
        <v>1731</v>
      </c>
      <c r="B1310" t="s">
        <v>213</v>
      </c>
      <c r="C1310" t="s">
        <v>214</v>
      </c>
      <c r="D1310" t="str">
        <f>HYPERLINK("http://service.sap.com/sap/support/notes/1535106","1535106")</f>
        <v>1535106</v>
      </c>
      <c r="E1310">
        <v>2</v>
      </c>
      <c r="F1310" t="s">
        <v>1854</v>
      </c>
    </row>
    <row r="1311" spans="1:6" x14ac:dyDescent="0.25">
      <c r="A1311" t="s">
        <v>1731</v>
      </c>
      <c r="B1311" t="s">
        <v>213</v>
      </c>
      <c r="C1311" t="s">
        <v>214</v>
      </c>
      <c r="D1311" t="str">
        <f>HYPERLINK("http://service.sap.com/sap/support/notes/1535336","1535336")</f>
        <v>1535336</v>
      </c>
      <c r="E1311">
        <v>5</v>
      </c>
      <c r="F1311" t="s">
        <v>1855</v>
      </c>
    </row>
    <row r="1312" spans="1:6" x14ac:dyDescent="0.25">
      <c r="A1312" t="s">
        <v>1731</v>
      </c>
      <c r="B1312" t="s">
        <v>213</v>
      </c>
      <c r="C1312" t="s">
        <v>214</v>
      </c>
      <c r="D1312" t="str">
        <f>HYPERLINK("http://service.sap.com/sap/support/notes/1535339","1535339")</f>
        <v>1535339</v>
      </c>
      <c r="E1312">
        <v>2</v>
      </c>
      <c r="F1312" t="s">
        <v>1856</v>
      </c>
    </row>
    <row r="1313" spans="1:6" x14ac:dyDescent="0.25">
      <c r="A1313" t="s">
        <v>1731</v>
      </c>
      <c r="B1313" t="s">
        <v>213</v>
      </c>
      <c r="C1313" t="s">
        <v>214</v>
      </c>
      <c r="D1313" t="str">
        <f>HYPERLINK("http://service.sap.com/sap/support/notes/1543946","1543946")</f>
        <v>1543946</v>
      </c>
      <c r="E1313">
        <v>1</v>
      </c>
      <c r="F1313" t="s">
        <v>1857</v>
      </c>
    </row>
    <row r="1314" spans="1:6" x14ac:dyDescent="0.25">
      <c r="A1314" t="s">
        <v>1731</v>
      </c>
      <c r="B1314" t="s">
        <v>223</v>
      </c>
      <c r="C1314" t="s">
        <v>49</v>
      </c>
      <c r="D1314" t="str">
        <f>HYPERLINK("http://service.sap.com/sap/support/notes/1459905","1459905")</f>
        <v>1459905</v>
      </c>
      <c r="E1314">
        <v>1</v>
      </c>
      <c r="F1314" t="s">
        <v>1858</v>
      </c>
    </row>
    <row r="1315" spans="1:6" x14ac:dyDescent="0.25">
      <c r="A1315" t="s">
        <v>1731</v>
      </c>
      <c r="B1315" t="s">
        <v>223</v>
      </c>
      <c r="C1315" t="s">
        <v>49</v>
      </c>
      <c r="D1315" t="str">
        <f>HYPERLINK("http://service.sap.com/sap/support/notes/1503354","1503354")</f>
        <v>1503354</v>
      </c>
      <c r="E1315">
        <v>1</v>
      </c>
      <c r="F1315" t="s">
        <v>224</v>
      </c>
    </row>
    <row r="1316" spans="1:6" x14ac:dyDescent="0.25">
      <c r="A1316" t="s">
        <v>1731</v>
      </c>
      <c r="B1316" t="s">
        <v>223</v>
      </c>
      <c r="C1316" t="s">
        <v>49</v>
      </c>
      <c r="D1316" t="str">
        <f>HYPERLINK("http://service.sap.com/sap/support/notes/1533841","1533841")</f>
        <v>1533841</v>
      </c>
      <c r="E1316">
        <v>1</v>
      </c>
      <c r="F1316" t="s">
        <v>1859</v>
      </c>
    </row>
    <row r="1317" spans="1:6" x14ac:dyDescent="0.25">
      <c r="A1317" t="s">
        <v>1731</v>
      </c>
      <c r="B1317" t="s">
        <v>223</v>
      </c>
      <c r="C1317" t="s">
        <v>49</v>
      </c>
      <c r="D1317" t="str">
        <f>HYPERLINK("http://service.sap.com/sap/support/notes/1533967","1533967")</f>
        <v>1533967</v>
      </c>
      <c r="E1317">
        <v>1</v>
      </c>
      <c r="F1317" t="s">
        <v>1860</v>
      </c>
    </row>
    <row r="1318" spans="1:6" x14ac:dyDescent="0.25">
      <c r="A1318" t="s">
        <v>1731</v>
      </c>
      <c r="B1318" t="s">
        <v>223</v>
      </c>
      <c r="C1318" t="s">
        <v>49</v>
      </c>
      <c r="D1318" t="str">
        <f>HYPERLINK("http://service.sap.com/sap/support/notes/1537099","1537099")</f>
        <v>1537099</v>
      </c>
      <c r="E1318">
        <v>1</v>
      </c>
      <c r="F1318" t="s">
        <v>1861</v>
      </c>
    </row>
    <row r="1319" spans="1:6" x14ac:dyDescent="0.25">
      <c r="A1319" t="s">
        <v>1731</v>
      </c>
      <c r="B1319" t="s">
        <v>223</v>
      </c>
      <c r="C1319" t="s">
        <v>49</v>
      </c>
      <c r="D1319" t="str">
        <f>HYPERLINK("http://service.sap.com/sap/support/notes/1538039","1538039")</f>
        <v>1538039</v>
      </c>
      <c r="E1319">
        <v>1</v>
      </c>
      <c r="F1319" t="s">
        <v>1862</v>
      </c>
    </row>
    <row r="1320" spans="1:6" x14ac:dyDescent="0.25">
      <c r="A1320" t="s">
        <v>1731</v>
      </c>
      <c r="B1320" t="s">
        <v>223</v>
      </c>
      <c r="C1320" t="s">
        <v>49</v>
      </c>
      <c r="D1320" t="str">
        <f>HYPERLINK("http://service.sap.com/sap/support/notes/1542154","1542154")</f>
        <v>1542154</v>
      </c>
      <c r="E1320">
        <v>1</v>
      </c>
      <c r="F1320" t="s">
        <v>1863</v>
      </c>
    </row>
    <row r="1321" spans="1:6" x14ac:dyDescent="0.25">
      <c r="A1321" t="s">
        <v>1731</v>
      </c>
      <c r="B1321" t="s">
        <v>223</v>
      </c>
      <c r="C1321" t="s">
        <v>49</v>
      </c>
      <c r="D1321" t="str">
        <f>HYPERLINK("http://service.sap.com/sap/support/notes/1544521","1544521")</f>
        <v>1544521</v>
      </c>
      <c r="E1321">
        <v>2</v>
      </c>
      <c r="F1321" t="s">
        <v>1864</v>
      </c>
    </row>
    <row r="1322" spans="1:6" x14ac:dyDescent="0.25">
      <c r="A1322" t="s">
        <v>1731</v>
      </c>
      <c r="B1322" t="s">
        <v>226</v>
      </c>
      <c r="C1322" t="s">
        <v>52</v>
      </c>
      <c r="D1322" t="str">
        <f>HYPERLINK("http://service.sap.com/sap/support/notes/1484882","1484882")</f>
        <v>1484882</v>
      </c>
      <c r="E1322">
        <v>1</v>
      </c>
      <c r="F1322" t="s">
        <v>1865</v>
      </c>
    </row>
    <row r="1323" spans="1:6" x14ac:dyDescent="0.25">
      <c r="A1323" t="s">
        <v>1731</v>
      </c>
      <c r="B1323" t="s">
        <v>226</v>
      </c>
      <c r="C1323" t="s">
        <v>52</v>
      </c>
      <c r="D1323" t="str">
        <f>HYPERLINK("http://service.sap.com/sap/support/notes/1540517","1540517")</f>
        <v>1540517</v>
      </c>
      <c r="E1323">
        <v>2</v>
      </c>
      <c r="F1323" t="s">
        <v>1866</v>
      </c>
    </row>
    <row r="1324" spans="1:6" x14ac:dyDescent="0.25">
      <c r="A1324" t="s">
        <v>1731</v>
      </c>
      <c r="B1324" t="s">
        <v>227</v>
      </c>
      <c r="C1324" t="s">
        <v>228</v>
      </c>
      <c r="D1324" t="str">
        <f>HYPERLINK("http://service.sap.com/sap/support/notes/1532775","1532775")</f>
        <v>1532775</v>
      </c>
      <c r="E1324">
        <v>1</v>
      </c>
      <c r="F1324" t="s">
        <v>1867</v>
      </c>
    </row>
    <row r="1325" spans="1:6" x14ac:dyDescent="0.25">
      <c r="A1325" t="s">
        <v>1731</v>
      </c>
      <c r="B1325" t="s">
        <v>227</v>
      </c>
      <c r="C1325" t="s">
        <v>228</v>
      </c>
      <c r="D1325" t="str">
        <f>HYPERLINK("http://service.sap.com/sap/support/notes/1537602","1537602")</f>
        <v>1537602</v>
      </c>
      <c r="E1325">
        <v>1</v>
      </c>
      <c r="F1325" t="s">
        <v>1868</v>
      </c>
    </row>
    <row r="1326" spans="1:6" x14ac:dyDescent="0.25">
      <c r="A1326" t="s">
        <v>1731</v>
      </c>
      <c r="B1326" t="s">
        <v>227</v>
      </c>
      <c r="C1326" t="s">
        <v>228</v>
      </c>
      <c r="D1326" t="str">
        <f>HYPERLINK("http://service.sap.com/sap/support/notes/1540322","1540322")</f>
        <v>1540322</v>
      </c>
      <c r="E1326">
        <v>1</v>
      </c>
      <c r="F1326" t="s">
        <v>1869</v>
      </c>
    </row>
    <row r="1327" spans="1:6" x14ac:dyDescent="0.25">
      <c r="A1327" t="s">
        <v>1731</v>
      </c>
      <c r="B1327" t="s">
        <v>235</v>
      </c>
      <c r="C1327" t="s">
        <v>236</v>
      </c>
    </row>
    <row r="1328" spans="1:6" x14ac:dyDescent="0.25">
      <c r="A1328" t="s">
        <v>1731</v>
      </c>
      <c r="B1328" t="s">
        <v>237</v>
      </c>
      <c r="C1328" t="s">
        <v>238</v>
      </c>
      <c r="D1328" t="str">
        <f>HYPERLINK("http://service.sap.com/sap/support/notes/1535273","1535273")</f>
        <v>1535273</v>
      </c>
      <c r="E1328">
        <v>1</v>
      </c>
      <c r="F1328" t="s">
        <v>1870</v>
      </c>
    </row>
    <row r="1329" spans="1:6" x14ac:dyDescent="0.25">
      <c r="A1329" t="s">
        <v>1731</v>
      </c>
      <c r="B1329" t="s">
        <v>237</v>
      </c>
      <c r="C1329" t="s">
        <v>238</v>
      </c>
      <c r="D1329" t="str">
        <f>HYPERLINK("http://service.sap.com/sap/support/notes/1536606","1536606")</f>
        <v>1536606</v>
      </c>
      <c r="E1329">
        <v>2</v>
      </c>
      <c r="F1329" t="s">
        <v>1871</v>
      </c>
    </row>
    <row r="1330" spans="1:6" x14ac:dyDescent="0.25">
      <c r="A1330" t="s">
        <v>1731</v>
      </c>
      <c r="B1330" t="s">
        <v>237</v>
      </c>
      <c r="C1330" t="s">
        <v>238</v>
      </c>
      <c r="D1330" t="str">
        <f>HYPERLINK("http://service.sap.com/sap/support/notes/1538970","1538970")</f>
        <v>1538970</v>
      </c>
      <c r="E1330">
        <v>1</v>
      </c>
      <c r="F1330" t="s">
        <v>1872</v>
      </c>
    </row>
    <row r="1331" spans="1:6" x14ac:dyDescent="0.25">
      <c r="A1331" t="s">
        <v>1731</v>
      </c>
      <c r="B1331" t="s">
        <v>237</v>
      </c>
      <c r="C1331" t="s">
        <v>238</v>
      </c>
      <c r="D1331" t="str">
        <f>HYPERLINK("http://service.sap.com/sap/support/notes/1540330","1540330")</f>
        <v>1540330</v>
      </c>
      <c r="E1331">
        <v>2</v>
      </c>
      <c r="F1331" t="s">
        <v>1873</v>
      </c>
    </row>
    <row r="1332" spans="1:6" x14ac:dyDescent="0.25">
      <c r="A1332" t="s">
        <v>1731</v>
      </c>
      <c r="B1332" t="s">
        <v>237</v>
      </c>
      <c r="C1332" t="s">
        <v>238</v>
      </c>
      <c r="D1332" t="str">
        <f>HYPERLINK("http://service.sap.com/sap/support/notes/1540988","1540988")</f>
        <v>1540988</v>
      </c>
      <c r="E1332">
        <v>2</v>
      </c>
      <c r="F1332" t="s">
        <v>1874</v>
      </c>
    </row>
    <row r="1333" spans="1:6" x14ac:dyDescent="0.25">
      <c r="A1333" t="s">
        <v>1731</v>
      </c>
      <c r="B1333" t="s">
        <v>242</v>
      </c>
      <c r="C1333" t="s">
        <v>243</v>
      </c>
      <c r="D1333" t="str">
        <f>HYPERLINK("http://service.sap.com/sap/support/notes/1534449","1534449")</f>
        <v>1534449</v>
      </c>
      <c r="E1333">
        <v>1</v>
      </c>
      <c r="F1333" t="s">
        <v>1875</v>
      </c>
    </row>
    <row r="1334" spans="1:6" x14ac:dyDescent="0.25">
      <c r="A1334" t="s">
        <v>1731</v>
      </c>
      <c r="B1334" t="s">
        <v>242</v>
      </c>
      <c r="C1334" t="s">
        <v>243</v>
      </c>
      <c r="D1334" t="str">
        <f>HYPERLINK("http://service.sap.com/sap/support/notes/1539341","1539341")</f>
        <v>1539341</v>
      </c>
      <c r="E1334">
        <v>1</v>
      </c>
      <c r="F1334" t="s">
        <v>1876</v>
      </c>
    </row>
    <row r="1335" spans="1:6" x14ac:dyDescent="0.25">
      <c r="A1335" t="s">
        <v>1731</v>
      </c>
      <c r="B1335" t="s">
        <v>242</v>
      </c>
      <c r="C1335" t="s">
        <v>243</v>
      </c>
      <c r="D1335" t="str">
        <f>HYPERLINK("http://service.sap.com/sap/support/notes/1542296","1542296")</f>
        <v>1542296</v>
      </c>
      <c r="E1335">
        <v>1</v>
      </c>
      <c r="F1335" t="s">
        <v>1877</v>
      </c>
    </row>
    <row r="1336" spans="1:6" x14ac:dyDescent="0.25">
      <c r="A1336" t="s">
        <v>1731</v>
      </c>
      <c r="B1336" t="s">
        <v>246</v>
      </c>
      <c r="C1336" t="s">
        <v>247</v>
      </c>
      <c r="D1336" t="str">
        <f>HYPERLINK("http://service.sap.com/sap/support/notes/1540486","1540486")</f>
        <v>1540486</v>
      </c>
      <c r="E1336">
        <v>1</v>
      </c>
      <c r="F1336" t="s">
        <v>1878</v>
      </c>
    </row>
    <row r="1337" spans="1:6" x14ac:dyDescent="0.25">
      <c r="A1337" t="s">
        <v>1731</v>
      </c>
      <c r="B1337" t="s">
        <v>1009</v>
      </c>
      <c r="C1337" t="s">
        <v>1010</v>
      </c>
      <c r="D1337" t="str">
        <f>HYPERLINK("http://service.sap.com/sap/support/notes/1536163","1536163")</f>
        <v>1536163</v>
      </c>
      <c r="E1337">
        <v>3</v>
      </c>
      <c r="F1337" t="s">
        <v>1879</v>
      </c>
    </row>
    <row r="1338" spans="1:6" x14ac:dyDescent="0.25">
      <c r="A1338" t="s">
        <v>1731</v>
      </c>
      <c r="B1338" t="s">
        <v>1009</v>
      </c>
      <c r="C1338" t="s">
        <v>1010</v>
      </c>
      <c r="D1338" t="str">
        <f>HYPERLINK("http://service.sap.com/sap/support/notes/1539624","1539624")</f>
        <v>1539624</v>
      </c>
      <c r="E1338">
        <v>2</v>
      </c>
      <c r="F1338" t="s">
        <v>1880</v>
      </c>
    </row>
    <row r="1339" spans="1:6" x14ac:dyDescent="0.25">
      <c r="A1339" t="s">
        <v>1731</v>
      </c>
      <c r="B1339" t="s">
        <v>250</v>
      </c>
      <c r="C1339" t="s">
        <v>251</v>
      </c>
    </row>
    <row r="1340" spans="1:6" x14ac:dyDescent="0.25">
      <c r="A1340" t="s">
        <v>1731</v>
      </c>
      <c r="B1340" t="s">
        <v>252</v>
      </c>
      <c r="C1340" t="s">
        <v>253</v>
      </c>
      <c r="D1340" t="str">
        <f>HYPERLINK("http://service.sap.com/sap/support/notes/1537557","1537557")</f>
        <v>1537557</v>
      </c>
      <c r="E1340">
        <v>1</v>
      </c>
      <c r="F1340" t="s">
        <v>1881</v>
      </c>
    </row>
    <row r="1341" spans="1:6" x14ac:dyDescent="0.25">
      <c r="A1341" t="s">
        <v>1731</v>
      </c>
      <c r="B1341" t="s">
        <v>252</v>
      </c>
      <c r="C1341" t="s">
        <v>253</v>
      </c>
      <c r="D1341" t="str">
        <f>HYPERLINK("http://service.sap.com/sap/support/notes/1539162","1539162")</f>
        <v>1539162</v>
      </c>
      <c r="E1341">
        <v>1</v>
      </c>
      <c r="F1341" t="s">
        <v>1882</v>
      </c>
    </row>
    <row r="1342" spans="1:6" x14ac:dyDescent="0.25">
      <c r="A1342" t="s">
        <v>1731</v>
      </c>
      <c r="B1342" t="s">
        <v>258</v>
      </c>
      <c r="C1342" t="s">
        <v>259</v>
      </c>
      <c r="D1342" t="str">
        <f>HYPERLINK("http://service.sap.com/sap/support/notes/1539313","1539313")</f>
        <v>1539313</v>
      </c>
      <c r="E1342">
        <v>1</v>
      </c>
      <c r="F1342" t="s">
        <v>1883</v>
      </c>
    </row>
    <row r="1343" spans="1:6" x14ac:dyDescent="0.25">
      <c r="A1343" t="s">
        <v>1731</v>
      </c>
      <c r="B1343" t="s">
        <v>258</v>
      </c>
      <c r="C1343" t="s">
        <v>259</v>
      </c>
      <c r="D1343" t="str">
        <f>HYPERLINK("http://service.sap.com/sap/support/notes/1540055","1540055")</f>
        <v>1540055</v>
      </c>
      <c r="E1343">
        <v>2</v>
      </c>
      <c r="F1343" t="s">
        <v>1884</v>
      </c>
    </row>
    <row r="1344" spans="1:6" x14ac:dyDescent="0.25">
      <c r="A1344" t="s">
        <v>1731</v>
      </c>
      <c r="B1344" t="s">
        <v>258</v>
      </c>
      <c r="C1344" t="s">
        <v>259</v>
      </c>
      <c r="D1344" t="str">
        <f>HYPERLINK("http://service.sap.com/sap/support/notes/1541349","1541349")</f>
        <v>1541349</v>
      </c>
      <c r="E1344">
        <v>1</v>
      </c>
      <c r="F1344" t="s">
        <v>1885</v>
      </c>
    </row>
    <row r="1345" spans="1:6" x14ac:dyDescent="0.25">
      <c r="A1345" t="s">
        <v>1731</v>
      </c>
      <c r="B1345" t="s">
        <v>258</v>
      </c>
      <c r="C1345" t="s">
        <v>259</v>
      </c>
      <c r="D1345" t="str">
        <f>HYPERLINK("http://service.sap.com/sap/support/notes/1542237","1542237")</f>
        <v>1542237</v>
      </c>
      <c r="E1345">
        <v>1</v>
      </c>
      <c r="F1345" t="s">
        <v>1886</v>
      </c>
    </row>
    <row r="1346" spans="1:6" x14ac:dyDescent="0.25">
      <c r="A1346" t="s">
        <v>1731</v>
      </c>
      <c r="B1346" t="s">
        <v>258</v>
      </c>
      <c r="C1346" t="s">
        <v>259</v>
      </c>
      <c r="D1346" t="str">
        <f>HYPERLINK("http://service.sap.com/sap/support/notes/1542668","1542668")</f>
        <v>1542668</v>
      </c>
      <c r="E1346">
        <v>1</v>
      </c>
      <c r="F1346" t="s">
        <v>1887</v>
      </c>
    </row>
    <row r="1347" spans="1:6" x14ac:dyDescent="0.25">
      <c r="A1347" t="s">
        <v>1731</v>
      </c>
      <c r="B1347" t="s">
        <v>258</v>
      </c>
      <c r="C1347" t="s">
        <v>259</v>
      </c>
      <c r="D1347" t="str">
        <f>HYPERLINK("http://service.sap.com/sap/support/notes/1543347","1543347")</f>
        <v>1543347</v>
      </c>
      <c r="E1347">
        <v>1</v>
      </c>
      <c r="F1347" t="s">
        <v>1888</v>
      </c>
    </row>
    <row r="1348" spans="1:6" x14ac:dyDescent="0.25">
      <c r="A1348" t="s">
        <v>1731</v>
      </c>
      <c r="B1348" t="s">
        <v>264</v>
      </c>
      <c r="C1348" t="s">
        <v>265</v>
      </c>
      <c r="D1348" t="str">
        <f>HYPERLINK("http://service.sap.com/sap/support/notes/1532723","1532723")</f>
        <v>1532723</v>
      </c>
      <c r="E1348">
        <v>1</v>
      </c>
      <c r="F1348" t="s">
        <v>1889</v>
      </c>
    </row>
    <row r="1349" spans="1:6" x14ac:dyDescent="0.25">
      <c r="A1349" t="s">
        <v>1731</v>
      </c>
      <c r="B1349" t="s">
        <v>264</v>
      </c>
      <c r="C1349" t="s">
        <v>265</v>
      </c>
      <c r="D1349" t="str">
        <f>HYPERLINK("http://service.sap.com/sap/support/notes/1541224","1541224")</f>
        <v>1541224</v>
      </c>
      <c r="E1349">
        <v>1</v>
      </c>
      <c r="F1349" t="s">
        <v>1890</v>
      </c>
    </row>
    <row r="1350" spans="1:6" x14ac:dyDescent="0.25">
      <c r="A1350" t="s">
        <v>1731</v>
      </c>
      <c r="B1350" t="s">
        <v>273</v>
      </c>
      <c r="C1350" t="s">
        <v>153</v>
      </c>
      <c r="D1350" t="str">
        <f>HYPERLINK("http://service.sap.com/sap/support/notes/1535391","1535391")</f>
        <v>1535391</v>
      </c>
      <c r="E1350">
        <v>1</v>
      </c>
      <c r="F1350" t="s">
        <v>1891</v>
      </c>
    </row>
    <row r="1351" spans="1:6" x14ac:dyDescent="0.25">
      <c r="A1351" t="s">
        <v>1731</v>
      </c>
      <c r="B1351" t="s">
        <v>273</v>
      </c>
      <c r="C1351" t="s">
        <v>153</v>
      </c>
      <c r="D1351" t="str">
        <f>HYPERLINK("http://service.sap.com/sap/support/notes/1535683","1535683")</f>
        <v>1535683</v>
      </c>
      <c r="E1351">
        <v>1</v>
      </c>
      <c r="F1351" t="s">
        <v>1892</v>
      </c>
    </row>
    <row r="1352" spans="1:6" x14ac:dyDescent="0.25">
      <c r="A1352" t="s">
        <v>1731</v>
      </c>
      <c r="B1352" t="s">
        <v>273</v>
      </c>
      <c r="C1352" t="s">
        <v>153</v>
      </c>
      <c r="D1352" t="str">
        <f>HYPERLINK("http://service.sap.com/sap/support/notes/1535705","1535705")</f>
        <v>1535705</v>
      </c>
      <c r="E1352">
        <v>2</v>
      </c>
      <c r="F1352" t="s">
        <v>1893</v>
      </c>
    </row>
    <row r="1353" spans="1:6" x14ac:dyDescent="0.25">
      <c r="A1353" t="s">
        <v>1731</v>
      </c>
      <c r="B1353" t="s">
        <v>273</v>
      </c>
      <c r="C1353" t="s">
        <v>153</v>
      </c>
      <c r="D1353" t="str">
        <f>HYPERLINK("http://service.sap.com/sap/support/notes/1536129","1536129")</f>
        <v>1536129</v>
      </c>
      <c r="E1353">
        <v>1</v>
      </c>
      <c r="F1353" t="s">
        <v>1894</v>
      </c>
    </row>
    <row r="1354" spans="1:6" x14ac:dyDescent="0.25">
      <c r="A1354" t="s">
        <v>1731</v>
      </c>
      <c r="B1354" t="s">
        <v>273</v>
      </c>
      <c r="C1354" t="s">
        <v>153</v>
      </c>
      <c r="D1354" t="str">
        <f>HYPERLINK("http://service.sap.com/sap/support/notes/1537126","1537126")</f>
        <v>1537126</v>
      </c>
      <c r="E1354">
        <v>1</v>
      </c>
      <c r="F1354" t="s">
        <v>1895</v>
      </c>
    </row>
    <row r="1355" spans="1:6" x14ac:dyDescent="0.25">
      <c r="A1355" t="s">
        <v>1731</v>
      </c>
      <c r="B1355" t="s">
        <v>273</v>
      </c>
      <c r="C1355" t="s">
        <v>153</v>
      </c>
      <c r="D1355" t="str">
        <f>HYPERLINK("http://service.sap.com/sap/support/notes/1537367","1537367")</f>
        <v>1537367</v>
      </c>
      <c r="E1355">
        <v>2</v>
      </c>
      <c r="F1355" t="s">
        <v>1896</v>
      </c>
    </row>
    <row r="1356" spans="1:6" x14ac:dyDescent="0.25">
      <c r="A1356" t="s">
        <v>1731</v>
      </c>
      <c r="B1356" t="s">
        <v>273</v>
      </c>
      <c r="C1356" t="s">
        <v>153</v>
      </c>
      <c r="D1356" t="str">
        <f>HYPERLINK("http://service.sap.com/sap/support/notes/1539143","1539143")</f>
        <v>1539143</v>
      </c>
      <c r="E1356">
        <v>1</v>
      </c>
      <c r="F1356" t="s">
        <v>1897</v>
      </c>
    </row>
    <row r="1357" spans="1:6" x14ac:dyDescent="0.25">
      <c r="A1357" t="s">
        <v>1731</v>
      </c>
      <c r="B1357" t="s">
        <v>273</v>
      </c>
      <c r="C1357" t="s">
        <v>153</v>
      </c>
      <c r="D1357" t="str">
        <f>HYPERLINK("http://service.sap.com/sap/support/notes/1539878","1539878")</f>
        <v>1539878</v>
      </c>
      <c r="E1357">
        <v>1</v>
      </c>
      <c r="F1357" t="s">
        <v>1898</v>
      </c>
    </row>
    <row r="1358" spans="1:6" x14ac:dyDescent="0.25">
      <c r="A1358" t="s">
        <v>1731</v>
      </c>
      <c r="B1358" t="s">
        <v>273</v>
      </c>
      <c r="C1358" t="s">
        <v>153</v>
      </c>
      <c r="D1358" t="str">
        <f>HYPERLINK("http://service.sap.com/sap/support/notes/1540511","1540511")</f>
        <v>1540511</v>
      </c>
      <c r="E1358">
        <v>2</v>
      </c>
      <c r="F1358" t="s">
        <v>1899</v>
      </c>
    </row>
    <row r="1359" spans="1:6" x14ac:dyDescent="0.25">
      <c r="A1359" t="s">
        <v>1731</v>
      </c>
      <c r="B1359" t="s">
        <v>273</v>
      </c>
      <c r="C1359" t="s">
        <v>153</v>
      </c>
      <c r="D1359" t="str">
        <f>HYPERLINK("http://service.sap.com/sap/support/notes/1541411","1541411")</f>
        <v>1541411</v>
      </c>
      <c r="E1359">
        <v>1</v>
      </c>
      <c r="F1359" t="s">
        <v>1900</v>
      </c>
    </row>
    <row r="1360" spans="1:6" x14ac:dyDescent="0.25">
      <c r="A1360" t="s">
        <v>1731</v>
      </c>
      <c r="B1360" t="s">
        <v>273</v>
      </c>
      <c r="C1360" t="s">
        <v>153</v>
      </c>
      <c r="D1360" t="str">
        <f>HYPERLINK("http://service.sap.com/sap/support/notes/1542448","1542448")</f>
        <v>1542448</v>
      </c>
      <c r="E1360">
        <v>4</v>
      </c>
      <c r="F1360" t="s">
        <v>1901</v>
      </c>
    </row>
    <row r="1361" spans="1:6" x14ac:dyDescent="0.25">
      <c r="A1361" t="s">
        <v>1731</v>
      </c>
      <c r="B1361" t="s">
        <v>281</v>
      </c>
      <c r="C1361" t="s">
        <v>282</v>
      </c>
      <c r="D1361" t="str">
        <f>HYPERLINK("http://service.sap.com/sap/support/notes/1532539","1532539")</f>
        <v>1532539</v>
      </c>
      <c r="E1361">
        <v>1</v>
      </c>
      <c r="F1361" t="s">
        <v>1902</v>
      </c>
    </row>
    <row r="1362" spans="1:6" x14ac:dyDescent="0.25">
      <c r="A1362" t="s">
        <v>1731</v>
      </c>
      <c r="B1362" t="s">
        <v>281</v>
      </c>
      <c r="C1362" t="s">
        <v>282</v>
      </c>
      <c r="D1362" t="str">
        <f>HYPERLINK("http://service.sap.com/sap/support/notes/1532631","1532631")</f>
        <v>1532631</v>
      </c>
      <c r="E1362">
        <v>2</v>
      </c>
      <c r="F1362" t="s">
        <v>1903</v>
      </c>
    </row>
    <row r="1363" spans="1:6" x14ac:dyDescent="0.25">
      <c r="A1363" t="s">
        <v>1731</v>
      </c>
      <c r="B1363" t="s">
        <v>281</v>
      </c>
      <c r="C1363" t="s">
        <v>282</v>
      </c>
      <c r="D1363" t="str">
        <f>HYPERLINK("http://service.sap.com/sap/support/notes/1532709","1532709")</f>
        <v>1532709</v>
      </c>
      <c r="E1363">
        <v>1</v>
      </c>
      <c r="F1363" t="s">
        <v>1904</v>
      </c>
    </row>
    <row r="1364" spans="1:6" x14ac:dyDescent="0.25">
      <c r="A1364" t="s">
        <v>1731</v>
      </c>
      <c r="B1364" t="s">
        <v>281</v>
      </c>
      <c r="C1364" t="s">
        <v>282</v>
      </c>
      <c r="D1364" t="str">
        <f>HYPERLINK("http://service.sap.com/sap/support/notes/1537236","1537236")</f>
        <v>1537236</v>
      </c>
      <c r="E1364">
        <v>1</v>
      </c>
      <c r="F1364" t="s">
        <v>1905</v>
      </c>
    </row>
    <row r="1365" spans="1:6" x14ac:dyDescent="0.25">
      <c r="A1365" t="s">
        <v>1731</v>
      </c>
      <c r="B1365" t="s">
        <v>281</v>
      </c>
      <c r="C1365" t="s">
        <v>282</v>
      </c>
      <c r="D1365" t="str">
        <f>HYPERLINK("http://service.sap.com/sap/support/notes/1540908","1540908")</f>
        <v>1540908</v>
      </c>
      <c r="E1365">
        <v>2</v>
      </c>
      <c r="F1365" t="s">
        <v>1906</v>
      </c>
    </row>
    <row r="1366" spans="1:6" x14ac:dyDescent="0.25">
      <c r="A1366" t="s">
        <v>1731</v>
      </c>
      <c r="B1366" t="s">
        <v>281</v>
      </c>
      <c r="C1366" t="s">
        <v>282</v>
      </c>
      <c r="D1366" t="str">
        <f>HYPERLINK("http://service.sap.com/sap/support/notes/1541023","1541023")</f>
        <v>1541023</v>
      </c>
      <c r="E1366">
        <v>1</v>
      </c>
      <c r="F1366" t="s">
        <v>1907</v>
      </c>
    </row>
    <row r="1367" spans="1:6" x14ac:dyDescent="0.25">
      <c r="A1367" t="s">
        <v>1731</v>
      </c>
      <c r="B1367" t="s">
        <v>284</v>
      </c>
      <c r="C1367" t="s">
        <v>285</v>
      </c>
      <c r="D1367" t="str">
        <f>HYPERLINK("http://service.sap.com/sap/support/notes/1462871","1462871")</f>
        <v>1462871</v>
      </c>
      <c r="E1367">
        <v>2</v>
      </c>
      <c r="F1367" t="s">
        <v>1908</v>
      </c>
    </row>
    <row r="1368" spans="1:6" x14ac:dyDescent="0.25">
      <c r="A1368" t="s">
        <v>1731</v>
      </c>
      <c r="B1368" t="s">
        <v>284</v>
      </c>
      <c r="C1368" t="s">
        <v>285</v>
      </c>
      <c r="D1368" t="str">
        <f>HYPERLINK("http://service.sap.com/sap/support/notes/1517737","1517737")</f>
        <v>1517737</v>
      </c>
      <c r="E1368">
        <v>1</v>
      </c>
      <c r="F1368" t="s">
        <v>1909</v>
      </c>
    </row>
    <row r="1369" spans="1:6" x14ac:dyDescent="0.25">
      <c r="A1369" t="s">
        <v>1731</v>
      </c>
      <c r="B1369" t="s">
        <v>284</v>
      </c>
      <c r="C1369" t="s">
        <v>285</v>
      </c>
      <c r="D1369" t="str">
        <f>HYPERLINK("http://service.sap.com/sap/support/notes/1532310","1532310")</f>
        <v>1532310</v>
      </c>
      <c r="E1369">
        <v>1</v>
      </c>
      <c r="F1369" t="s">
        <v>1910</v>
      </c>
    </row>
    <row r="1370" spans="1:6" x14ac:dyDescent="0.25">
      <c r="A1370" t="s">
        <v>1731</v>
      </c>
      <c r="B1370" t="s">
        <v>284</v>
      </c>
      <c r="C1370" t="s">
        <v>285</v>
      </c>
      <c r="D1370" t="str">
        <f>HYPERLINK("http://service.sap.com/sap/support/notes/1532540","1532540")</f>
        <v>1532540</v>
      </c>
      <c r="E1370">
        <v>2</v>
      </c>
      <c r="F1370" t="s">
        <v>1911</v>
      </c>
    </row>
    <row r="1371" spans="1:6" x14ac:dyDescent="0.25">
      <c r="A1371" t="s">
        <v>1731</v>
      </c>
      <c r="B1371" t="s">
        <v>284</v>
      </c>
      <c r="C1371" t="s">
        <v>285</v>
      </c>
      <c r="D1371" t="str">
        <f>HYPERLINK("http://service.sap.com/sap/support/notes/1532589","1532589")</f>
        <v>1532589</v>
      </c>
      <c r="E1371">
        <v>3</v>
      </c>
      <c r="F1371" t="s">
        <v>1912</v>
      </c>
    </row>
    <row r="1372" spans="1:6" x14ac:dyDescent="0.25">
      <c r="A1372" t="s">
        <v>1731</v>
      </c>
      <c r="B1372" t="s">
        <v>284</v>
      </c>
      <c r="C1372" t="s">
        <v>285</v>
      </c>
      <c r="D1372" t="str">
        <f>HYPERLINK("http://service.sap.com/sap/support/notes/1532735","1532735")</f>
        <v>1532735</v>
      </c>
      <c r="E1372">
        <v>2</v>
      </c>
      <c r="F1372" t="s">
        <v>1913</v>
      </c>
    </row>
    <row r="1373" spans="1:6" x14ac:dyDescent="0.25">
      <c r="A1373" t="s">
        <v>1731</v>
      </c>
      <c r="B1373" t="s">
        <v>284</v>
      </c>
      <c r="C1373" t="s">
        <v>285</v>
      </c>
      <c r="D1373" t="str">
        <f>HYPERLINK("http://service.sap.com/sap/support/notes/1533049","1533049")</f>
        <v>1533049</v>
      </c>
      <c r="E1373">
        <v>1</v>
      </c>
      <c r="F1373" t="s">
        <v>1914</v>
      </c>
    </row>
    <row r="1374" spans="1:6" x14ac:dyDescent="0.25">
      <c r="A1374" t="s">
        <v>1731</v>
      </c>
      <c r="B1374" t="s">
        <v>284</v>
      </c>
      <c r="C1374" t="s">
        <v>285</v>
      </c>
      <c r="D1374" t="str">
        <f>HYPERLINK("http://service.sap.com/sap/support/notes/1533128","1533128")</f>
        <v>1533128</v>
      </c>
      <c r="E1374">
        <v>1</v>
      </c>
      <c r="F1374" t="s">
        <v>1915</v>
      </c>
    </row>
    <row r="1375" spans="1:6" x14ac:dyDescent="0.25">
      <c r="A1375" t="s">
        <v>1731</v>
      </c>
      <c r="B1375" t="s">
        <v>284</v>
      </c>
      <c r="C1375" t="s">
        <v>285</v>
      </c>
      <c r="D1375" t="str">
        <f>HYPERLINK("http://service.sap.com/sap/support/notes/1533417","1533417")</f>
        <v>1533417</v>
      </c>
      <c r="E1375">
        <v>1</v>
      </c>
      <c r="F1375" t="s">
        <v>1916</v>
      </c>
    </row>
    <row r="1376" spans="1:6" x14ac:dyDescent="0.25">
      <c r="A1376" t="s">
        <v>1731</v>
      </c>
      <c r="B1376" t="s">
        <v>284</v>
      </c>
      <c r="C1376" t="s">
        <v>285</v>
      </c>
      <c r="D1376" t="str">
        <f>HYPERLINK("http://service.sap.com/sap/support/notes/1534660","1534660")</f>
        <v>1534660</v>
      </c>
      <c r="E1376">
        <v>1</v>
      </c>
      <c r="F1376" t="s">
        <v>1917</v>
      </c>
    </row>
    <row r="1377" spans="1:6" x14ac:dyDescent="0.25">
      <c r="A1377" t="s">
        <v>1731</v>
      </c>
      <c r="B1377" t="s">
        <v>284</v>
      </c>
      <c r="C1377" t="s">
        <v>285</v>
      </c>
      <c r="D1377" t="str">
        <f>HYPERLINK("http://service.sap.com/sap/support/notes/1534676","1534676")</f>
        <v>1534676</v>
      </c>
      <c r="E1377">
        <v>2</v>
      </c>
      <c r="F1377" t="s">
        <v>1918</v>
      </c>
    </row>
    <row r="1378" spans="1:6" x14ac:dyDescent="0.25">
      <c r="A1378" t="s">
        <v>1731</v>
      </c>
      <c r="B1378" t="s">
        <v>284</v>
      </c>
      <c r="C1378" t="s">
        <v>285</v>
      </c>
      <c r="D1378" t="str">
        <f>HYPERLINK("http://service.sap.com/sap/support/notes/1535414","1535414")</f>
        <v>1535414</v>
      </c>
      <c r="E1378">
        <v>1</v>
      </c>
      <c r="F1378" t="s">
        <v>1919</v>
      </c>
    </row>
    <row r="1379" spans="1:6" x14ac:dyDescent="0.25">
      <c r="A1379" t="s">
        <v>1731</v>
      </c>
      <c r="B1379" t="s">
        <v>284</v>
      </c>
      <c r="C1379" t="s">
        <v>285</v>
      </c>
      <c r="D1379" t="str">
        <f>HYPERLINK("http://service.sap.com/sap/support/notes/1535468","1535468")</f>
        <v>1535468</v>
      </c>
      <c r="E1379">
        <v>2</v>
      </c>
      <c r="F1379" t="s">
        <v>1920</v>
      </c>
    </row>
    <row r="1380" spans="1:6" x14ac:dyDescent="0.25">
      <c r="A1380" t="s">
        <v>1731</v>
      </c>
      <c r="B1380" t="s">
        <v>284</v>
      </c>
      <c r="C1380" t="s">
        <v>285</v>
      </c>
      <c r="D1380" t="str">
        <f>HYPERLINK("http://service.sap.com/sap/support/notes/1537127","1537127")</f>
        <v>1537127</v>
      </c>
      <c r="E1380">
        <v>1</v>
      </c>
      <c r="F1380" t="s">
        <v>1921</v>
      </c>
    </row>
    <row r="1381" spans="1:6" x14ac:dyDescent="0.25">
      <c r="A1381" t="s">
        <v>1731</v>
      </c>
      <c r="B1381" t="s">
        <v>284</v>
      </c>
      <c r="C1381" t="s">
        <v>285</v>
      </c>
      <c r="D1381" t="str">
        <f>HYPERLINK("http://service.sap.com/sap/support/notes/1537163","1537163")</f>
        <v>1537163</v>
      </c>
      <c r="E1381">
        <v>1</v>
      </c>
      <c r="F1381" t="s">
        <v>1922</v>
      </c>
    </row>
    <row r="1382" spans="1:6" x14ac:dyDescent="0.25">
      <c r="A1382" t="s">
        <v>1731</v>
      </c>
      <c r="B1382" t="s">
        <v>284</v>
      </c>
      <c r="C1382" t="s">
        <v>285</v>
      </c>
      <c r="D1382" t="str">
        <f>HYPERLINK("http://service.sap.com/sap/support/notes/1538785","1538785")</f>
        <v>1538785</v>
      </c>
      <c r="E1382">
        <v>1</v>
      </c>
      <c r="F1382" t="s">
        <v>1923</v>
      </c>
    </row>
    <row r="1383" spans="1:6" x14ac:dyDescent="0.25">
      <c r="A1383" t="s">
        <v>1731</v>
      </c>
      <c r="B1383" t="s">
        <v>284</v>
      </c>
      <c r="C1383" t="s">
        <v>285</v>
      </c>
      <c r="D1383" t="str">
        <f>HYPERLINK("http://service.sap.com/sap/support/notes/1539106","1539106")</f>
        <v>1539106</v>
      </c>
      <c r="E1383">
        <v>1</v>
      </c>
      <c r="F1383" t="s">
        <v>1924</v>
      </c>
    </row>
    <row r="1384" spans="1:6" x14ac:dyDescent="0.25">
      <c r="A1384" t="s">
        <v>1731</v>
      </c>
      <c r="B1384" t="s">
        <v>284</v>
      </c>
      <c r="C1384" t="s">
        <v>285</v>
      </c>
      <c r="D1384" t="str">
        <f>HYPERLINK("http://service.sap.com/sap/support/notes/1539149","1539149")</f>
        <v>1539149</v>
      </c>
      <c r="E1384">
        <v>1</v>
      </c>
      <c r="F1384" t="s">
        <v>1925</v>
      </c>
    </row>
    <row r="1385" spans="1:6" x14ac:dyDescent="0.25">
      <c r="A1385" t="s">
        <v>1731</v>
      </c>
      <c r="B1385" t="s">
        <v>284</v>
      </c>
      <c r="C1385" t="s">
        <v>285</v>
      </c>
      <c r="D1385" t="str">
        <f>HYPERLINK("http://service.sap.com/sap/support/notes/1539822","1539822")</f>
        <v>1539822</v>
      </c>
      <c r="E1385">
        <v>2</v>
      </c>
      <c r="F1385" t="s">
        <v>1926</v>
      </c>
    </row>
    <row r="1386" spans="1:6" x14ac:dyDescent="0.25">
      <c r="A1386" t="s">
        <v>1731</v>
      </c>
      <c r="B1386" t="s">
        <v>284</v>
      </c>
      <c r="C1386" t="s">
        <v>285</v>
      </c>
      <c r="D1386" t="str">
        <f>HYPERLINK("http://service.sap.com/sap/support/notes/1541167","1541167")</f>
        <v>1541167</v>
      </c>
      <c r="E1386">
        <v>1</v>
      </c>
      <c r="F1386" t="s">
        <v>1927</v>
      </c>
    </row>
    <row r="1387" spans="1:6" x14ac:dyDescent="0.25">
      <c r="A1387" t="s">
        <v>1731</v>
      </c>
      <c r="B1387" t="s">
        <v>284</v>
      </c>
      <c r="C1387" t="s">
        <v>285</v>
      </c>
      <c r="D1387" t="str">
        <f>HYPERLINK("http://service.sap.com/sap/support/notes/1541262","1541262")</f>
        <v>1541262</v>
      </c>
      <c r="E1387">
        <v>1</v>
      </c>
      <c r="F1387" t="s">
        <v>1928</v>
      </c>
    </row>
    <row r="1388" spans="1:6" x14ac:dyDescent="0.25">
      <c r="A1388" t="s">
        <v>1731</v>
      </c>
      <c r="B1388" t="s">
        <v>293</v>
      </c>
      <c r="C1388" t="s">
        <v>294</v>
      </c>
      <c r="D1388" t="str">
        <f>HYPERLINK("http://service.sap.com/sap/support/notes/1538347","1538347")</f>
        <v>1538347</v>
      </c>
      <c r="E1388">
        <v>2</v>
      </c>
      <c r="F1388" t="s">
        <v>1929</v>
      </c>
    </row>
    <row r="1389" spans="1:6" x14ac:dyDescent="0.25">
      <c r="A1389" t="s">
        <v>1731</v>
      </c>
      <c r="B1389" t="s">
        <v>293</v>
      </c>
      <c r="C1389" t="s">
        <v>294</v>
      </c>
      <c r="D1389" t="str">
        <f>HYPERLINK("http://service.sap.com/sap/support/notes/1540429","1540429")</f>
        <v>1540429</v>
      </c>
      <c r="E1389">
        <v>3</v>
      </c>
      <c r="F1389" t="s">
        <v>1930</v>
      </c>
    </row>
    <row r="1390" spans="1:6" x14ac:dyDescent="0.25">
      <c r="A1390" t="s">
        <v>1731</v>
      </c>
      <c r="B1390" t="s">
        <v>298</v>
      </c>
      <c r="C1390" t="s">
        <v>299</v>
      </c>
    </row>
    <row r="1391" spans="1:6" x14ac:dyDescent="0.25">
      <c r="A1391" t="s">
        <v>1731</v>
      </c>
      <c r="B1391" t="s">
        <v>1063</v>
      </c>
      <c r="C1391" t="s">
        <v>1565</v>
      </c>
      <c r="D1391" t="str">
        <f>HYPERLINK("http://service.sap.com/sap/support/notes/1538924","1538924")</f>
        <v>1538924</v>
      </c>
      <c r="E1391">
        <v>2</v>
      </c>
      <c r="F1391" t="s">
        <v>1931</v>
      </c>
    </row>
    <row r="1392" spans="1:6" x14ac:dyDescent="0.25">
      <c r="A1392" t="s">
        <v>1731</v>
      </c>
      <c r="B1392" t="s">
        <v>300</v>
      </c>
      <c r="C1392" t="s">
        <v>301</v>
      </c>
      <c r="D1392" t="str">
        <f>HYPERLINK("http://service.sap.com/sap/support/notes/1533090","1533090")</f>
        <v>1533090</v>
      </c>
      <c r="E1392">
        <v>2</v>
      </c>
      <c r="F1392" t="s">
        <v>1932</v>
      </c>
    </row>
    <row r="1393" spans="1:6" x14ac:dyDescent="0.25">
      <c r="A1393" t="s">
        <v>1731</v>
      </c>
      <c r="B1393" t="s">
        <v>304</v>
      </c>
      <c r="C1393" t="s">
        <v>305</v>
      </c>
      <c r="D1393" t="str">
        <f>HYPERLINK("http://service.sap.com/sap/support/notes/1017716","1017716")</f>
        <v>1017716</v>
      </c>
      <c r="E1393">
        <v>1</v>
      </c>
      <c r="F1393" t="s">
        <v>1074</v>
      </c>
    </row>
    <row r="1394" spans="1:6" x14ac:dyDescent="0.25">
      <c r="A1394" t="s">
        <v>1731</v>
      </c>
      <c r="B1394" t="s">
        <v>304</v>
      </c>
      <c r="C1394" t="s">
        <v>305</v>
      </c>
      <c r="D1394" t="str">
        <f>HYPERLINK("http://service.sap.com/sap/support/notes/1493127","1493127")</f>
        <v>1493127</v>
      </c>
      <c r="E1394">
        <v>3</v>
      </c>
      <c r="F1394" t="s">
        <v>1933</v>
      </c>
    </row>
    <row r="1395" spans="1:6" x14ac:dyDescent="0.25">
      <c r="A1395" t="s">
        <v>1731</v>
      </c>
      <c r="B1395" t="s">
        <v>304</v>
      </c>
      <c r="C1395" t="s">
        <v>305</v>
      </c>
      <c r="D1395" t="str">
        <f>HYPERLINK("http://service.sap.com/sap/support/notes/1498494","1498494")</f>
        <v>1498494</v>
      </c>
      <c r="E1395">
        <v>5</v>
      </c>
      <c r="F1395" t="s">
        <v>1934</v>
      </c>
    </row>
    <row r="1396" spans="1:6" x14ac:dyDescent="0.25">
      <c r="A1396" t="s">
        <v>1731</v>
      </c>
      <c r="B1396" t="s">
        <v>304</v>
      </c>
      <c r="C1396" t="s">
        <v>305</v>
      </c>
      <c r="D1396" t="str">
        <f>HYPERLINK("http://service.sap.com/sap/support/notes/1501961","1501961")</f>
        <v>1501961</v>
      </c>
      <c r="E1396">
        <v>2</v>
      </c>
      <c r="F1396" t="s">
        <v>1935</v>
      </c>
    </row>
    <row r="1397" spans="1:6" x14ac:dyDescent="0.25">
      <c r="A1397" t="s">
        <v>1731</v>
      </c>
      <c r="B1397" t="s">
        <v>304</v>
      </c>
      <c r="C1397" t="s">
        <v>305</v>
      </c>
      <c r="D1397" t="str">
        <f>HYPERLINK("http://service.sap.com/sap/support/notes/1509615","1509615")</f>
        <v>1509615</v>
      </c>
      <c r="E1397">
        <v>5</v>
      </c>
      <c r="F1397" t="s">
        <v>1936</v>
      </c>
    </row>
    <row r="1398" spans="1:6" x14ac:dyDescent="0.25">
      <c r="A1398" t="s">
        <v>1731</v>
      </c>
      <c r="B1398" t="s">
        <v>304</v>
      </c>
      <c r="C1398" t="s">
        <v>305</v>
      </c>
      <c r="D1398" t="str">
        <f>HYPERLINK("http://service.sap.com/sap/support/notes/1512230","1512230")</f>
        <v>1512230</v>
      </c>
      <c r="E1398">
        <v>6</v>
      </c>
      <c r="F1398" t="s">
        <v>1937</v>
      </c>
    </row>
    <row r="1399" spans="1:6" x14ac:dyDescent="0.25">
      <c r="A1399" t="s">
        <v>1731</v>
      </c>
      <c r="B1399" t="s">
        <v>304</v>
      </c>
      <c r="C1399" t="s">
        <v>305</v>
      </c>
      <c r="D1399" t="str">
        <f>HYPERLINK("http://service.sap.com/sap/support/notes/1512257","1512257")</f>
        <v>1512257</v>
      </c>
      <c r="E1399">
        <v>1</v>
      </c>
      <c r="F1399" t="s">
        <v>1938</v>
      </c>
    </row>
    <row r="1400" spans="1:6" x14ac:dyDescent="0.25">
      <c r="A1400" t="s">
        <v>1731</v>
      </c>
      <c r="B1400" t="s">
        <v>304</v>
      </c>
      <c r="C1400" t="s">
        <v>305</v>
      </c>
      <c r="D1400" t="str">
        <f>HYPERLINK("http://service.sap.com/sap/support/notes/1512698","1512698")</f>
        <v>1512698</v>
      </c>
      <c r="E1400">
        <v>3</v>
      </c>
      <c r="F1400" t="s">
        <v>1939</v>
      </c>
    </row>
    <row r="1401" spans="1:6" x14ac:dyDescent="0.25">
      <c r="A1401" t="s">
        <v>1731</v>
      </c>
      <c r="B1401" t="s">
        <v>304</v>
      </c>
      <c r="C1401" t="s">
        <v>305</v>
      </c>
      <c r="D1401" t="str">
        <f>HYPERLINK("http://service.sap.com/sap/support/notes/1514941","1514941")</f>
        <v>1514941</v>
      </c>
      <c r="E1401">
        <v>3</v>
      </c>
      <c r="F1401" t="s">
        <v>1940</v>
      </c>
    </row>
    <row r="1402" spans="1:6" x14ac:dyDescent="0.25">
      <c r="A1402" t="s">
        <v>1731</v>
      </c>
      <c r="B1402" t="s">
        <v>304</v>
      </c>
      <c r="C1402" t="s">
        <v>305</v>
      </c>
      <c r="D1402" t="str">
        <f>HYPERLINK("http://service.sap.com/sap/support/notes/1517005","1517005")</f>
        <v>1517005</v>
      </c>
      <c r="E1402">
        <v>1</v>
      </c>
      <c r="F1402" t="s">
        <v>1941</v>
      </c>
    </row>
    <row r="1403" spans="1:6" x14ac:dyDescent="0.25">
      <c r="A1403" t="s">
        <v>1731</v>
      </c>
      <c r="B1403" t="s">
        <v>304</v>
      </c>
      <c r="C1403" t="s">
        <v>305</v>
      </c>
      <c r="D1403" t="str">
        <f>HYPERLINK("http://service.sap.com/sap/support/notes/1517043","1517043")</f>
        <v>1517043</v>
      </c>
      <c r="E1403">
        <v>2</v>
      </c>
      <c r="F1403" t="s">
        <v>1942</v>
      </c>
    </row>
    <row r="1404" spans="1:6" x14ac:dyDescent="0.25">
      <c r="A1404" t="s">
        <v>1731</v>
      </c>
      <c r="B1404" t="s">
        <v>304</v>
      </c>
      <c r="C1404" t="s">
        <v>305</v>
      </c>
      <c r="D1404" t="str">
        <f>HYPERLINK("http://service.sap.com/sap/support/notes/1517044","1517044")</f>
        <v>1517044</v>
      </c>
      <c r="E1404">
        <v>2</v>
      </c>
      <c r="F1404" t="s">
        <v>1943</v>
      </c>
    </row>
    <row r="1405" spans="1:6" x14ac:dyDescent="0.25">
      <c r="A1405" t="s">
        <v>1731</v>
      </c>
      <c r="B1405" t="s">
        <v>304</v>
      </c>
      <c r="C1405" t="s">
        <v>305</v>
      </c>
      <c r="D1405" t="str">
        <f>HYPERLINK("http://service.sap.com/sap/support/notes/1519890","1519890")</f>
        <v>1519890</v>
      </c>
      <c r="E1405">
        <v>1</v>
      </c>
      <c r="F1405" t="s">
        <v>1944</v>
      </c>
    </row>
    <row r="1406" spans="1:6" x14ac:dyDescent="0.25">
      <c r="A1406" t="s">
        <v>1731</v>
      </c>
      <c r="B1406" t="s">
        <v>304</v>
      </c>
      <c r="C1406" t="s">
        <v>305</v>
      </c>
      <c r="D1406" t="str">
        <f>HYPERLINK("http://service.sap.com/sap/support/notes/1521128","1521128")</f>
        <v>1521128</v>
      </c>
      <c r="E1406">
        <v>4</v>
      </c>
      <c r="F1406" t="s">
        <v>1945</v>
      </c>
    </row>
    <row r="1407" spans="1:6" x14ac:dyDescent="0.25">
      <c r="A1407" t="s">
        <v>1731</v>
      </c>
      <c r="B1407" t="s">
        <v>304</v>
      </c>
      <c r="C1407" t="s">
        <v>305</v>
      </c>
      <c r="D1407" t="str">
        <f>HYPERLINK("http://service.sap.com/sap/support/notes/1522817","1522817")</f>
        <v>1522817</v>
      </c>
      <c r="E1407">
        <v>2</v>
      </c>
      <c r="F1407" t="s">
        <v>1946</v>
      </c>
    </row>
    <row r="1408" spans="1:6" x14ac:dyDescent="0.25">
      <c r="A1408" t="s">
        <v>1731</v>
      </c>
      <c r="B1408" t="s">
        <v>304</v>
      </c>
      <c r="C1408" t="s">
        <v>305</v>
      </c>
      <c r="D1408" t="str">
        <f>HYPERLINK("http://service.sap.com/sap/support/notes/1524208","1524208")</f>
        <v>1524208</v>
      </c>
      <c r="E1408">
        <v>2</v>
      </c>
      <c r="F1408" t="s">
        <v>1947</v>
      </c>
    </row>
    <row r="1409" spans="1:6" x14ac:dyDescent="0.25">
      <c r="A1409" t="s">
        <v>1731</v>
      </c>
      <c r="B1409" t="s">
        <v>304</v>
      </c>
      <c r="C1409" t="s">
        <v>305</v>
      </c>
      <c r="D1409" t="str">
        <f>HYPERLINK("http://service.sap.com/sap/support/notes/1525227","1525227")</f>
        <v>1525227</v>
      </c>
      <c r="E1409">
        <v>4</v>
      </c>
      <c r="F1409" t="s">
        <v>1948</v>
      </c>
    </row>
    <row r="1410" spans="1:6" x14ac:dyDescent="0.25">
      <c r="A1410" t="s">
        <v>1731</v>
      </c>
      <c r="B1410" t="s">
        <v>304</v>
      </c>
      <c r="C1410" t="s">
        <v>305</v>
      </c>
      <c r="D1410" t="str">
        <f>HYPERLINK("http://service.sap.com/sap/support/notes/1525437","1525437")</f>
        <v>1525437</v>
      </c>
      <c r="E1410">
        <v>3</v>
      </c>
      <c r="F1410" t="s">
        <v>1949</v>
      </c>
    </row>
    <row r="1411" spans="1:6" x14ac:dyDescent="0.25">
      <c r="A1411" t="s">
        <v>1731</v>
      </c>
      <c r="B1411" t="s">
        <v>304</v>
      </c>
      <c r="C1411" t="s">
        <v>305</v>
      </c>
      <c r="D1411" t="str">
        <f>HYPERLINK("http://service.sap.com/sap/support/notes/1525750","1525750")</f>
        <v>1525750</v>
      </c>
      <c r="E1411">
        <v>4</v>
      </c>
      <c r="F1411" t="s">
        <v>1950</v>
      </c>
    </row>
    <row r="1412" spans="1:6" x14ac:dyDescent="0.25">
      <c r="A1412" t="s">
        <v>1731</v>
      </c>
      <c r="B1412" t="s">
        <v>304</v>
      </c>
      <c r="C1412" t="s">
        <v>305</v>
      </c>
      <c r="D1412" t="str">
        <f>HYPERLINK("http://service.sap.com/sap/support/notes/1525809","1525809")</f>
        <v>1525809</v>
      </c>
      <c r="E1412">
        <v>4</v>
      </c>
      <c r="F1412" t="s">
        <v>1951</v>
      </c>
    </row>
    <row r="1413" spans="1:6" x14ac:dyDescent="0.25">
      <c r="A1413" t="s">
        <v>1731</v>
      </c>
      <c r="B1413" t="s">
        <v>304</v>
      </c>
      <c r="C1413" t="s">
        <v>305</v>
      </c>
      <c r="D1413" t="str">
        <f>HYPERLINK("http://service.sap.com/sap/support/notes/1526188","1526188")</f>
        <v>1526188</v>
      </c>
      <c r="E1413">
        <v>3</v>
      </c>
      <c r="F1413" t="s">
        <v>1952</v>
      </c>
    </row>
    <row r="1414" spans="1:6" x14ac:dyDescent="0.25">
      <c r="A1414" t="s">
        <v>1731</v>
      </c>
      <c r="B1414" t="s">
        <v>304</v>
      </c>
      <c r="C1414" t="s">
        <v>305</v>
      </c>
      <c r="D1414" t="str">
        <f>HYPERLINK("http://service.sap.com/sap/support/notes/1526891","1526891")</f>
        <v>1526891</v>
      </c>
      <c r="E1414">
        <v>4</v>
      </c>
      <c r="F1414" t="s">
        <v>1953</v>
      </c>
    </row>
    <row r="1415" spans="1:6" x14ac:dyDescent="0.25">
      <c r="A1415" t="s">
        <v>1731</v>
      </c>
      <c r="B1415" t="s">
        <v>304</v>
      </c>
      <c r="C1415" t="s">
        <v>305</v>
      </c>
      <c r="D1415" t="str">
        <f>HYPERLINK("http://service.sap.com/sap/support/notes/1528467","1528467")</f>
        <v>1528467</v>
      </c>
      <c r="E1415">
        <v>4</v>
      </c>
      <c r="F1415" t="s">
        <v>1954</v>
      </c>
    </row>
    <row r="1416" spans="1:6" x14ac:dyDescent="0.25">
      <c r="A1416" t="s">
        <v>1731</v>
      </c>
      <c r="B1416" t="s">
        <v>304</v>
      </c>
      <c r="C1416" t="s">
        <v>305</v>
      </c>
      <c r="D1416" t="str">
        <f>HYPERLINK("http://service.sap.com/sap/support/notes/1530011","1530011")</f>
        <v>1530011</v>
      </c>
      <c r="E1416">
        <v>1</v>
      </c>
      <c r="F1416" t="s">
        <v>1955</v>
      </c>
    </row>
    <row r="1417" spans="1:6" x14ac:dyDescent="0.25">
      <c r="A1417" t="s">
        <v>1731</v>
      </c>
      <c r="B1417" t="s">
        <v>304</v>
      </c>
      <c r="C1417" t="s">
        <v>305</v>
      </c>
      <c r="D1417" t="str">
        <f>HYPERLINK("http://service.sap.com/sap/support/notes/1530949","1530949")</f>
        <v>1530949</v>
      </c>
      <c r="E1417">
        <v>2</v>
      </c>
      <c r="F1417" t="s">
        <v>1956</v>
      </c>
    </row>
    <row r="1418" spans="1:6" x14ac:dyDescent="0.25">
      <c r="A1418" t="s">
        <v>1731</v>
      </c>
      <c r="B1418" t="s">
        <v>304</v>
      </c>
      <c r="C1418" t="s">
        <v>305</v>
      </c>
      <c r="D1418" t="str">
        <f>HYPERLINK("http://service.sap.com/sap/support/notes/1531321","1531321")</f>
        <v>1531321</v>
      </c>
      <c r="E1418">
        <v>7</v>
      </c>
      <c r="F1418" t="s">
        <v>1957</v>
      </c>
    </row>
    <row r="1419" spans="1:6" x14ac:dyDescent="0.25">
      <c r="A1419" t="s">
        <v>1731</v>
      </c>
      <c r="B1419" t="s">
        <v>304</v>
      </c>
      <c r="C1419" t="s">
        <v>305</v>
      </c>
      <c r="D1419" t="str">
        <f>HYPERLINK("http://service.sap.com/sap/support/notes/1531432","1531432")</f>
        <v>1531432</v>
      </c>
      <c r="E1419">
        <v>1</v>
      </c>
      <c r="F1419" t="s">
        <v>1958</v>
      </c>
    </row>
    <row r="1420" spans="1:6" x14ac:dyDescent="0.25">
      <c r="A1420" t="s">
        <v>1731</v>
      </c>
      <c r="B1420" t="s">
        <v>304</v>
      </c>
      <c r="C1420" t="s">
        <v>305</v>
      </c>
      <c r="D1420" t="str">
        <f>HYPERLINK("http://service.sap.com/sap/support/notes/1531953","1531953")</f>
        <v>1531953</v>
      </c>
      <c r="E1420">
        <v>1</v>
      </c>
      <c r="F1420" t="s">
        <v>1959</v>
      </c>
    </row>
    <row r="1421" spans="1:6" x14ac:dyDescent="0.25">
      <c r="A1421" t="s">
        <v>1731</v>
      </c>
      <c r="B1421" t="s">
        <v>304</v>
      </c>
      <c r="C1421" t="s">
        <v>305</v>
      </c>
      <c r="D1421" t="str">
        <f>HYPERLINK("http://service.sap.com/sap/support/notes/1531978","1531978")</f>
        <v>1531978</v>
      </c>
      <c r="E1421">
        <v>5</v>
      </c>
      <c r="F1421" t="s">
        <v>1960</v>
      </c>
    </row>
    <row r="1422" spans="1:6" x14ac:dyDescent="0.25">
      <c r="A1422" t="s">
        <v>1731</v>
      </c>
      <c r="B1422" t="s">
        <v>304</v>
      </c>
      <c r="C1422" t="s">
        <v>305</v>
      </c>
      <c r="D1422" t="str">
        <f>HYPERLINK("http://service.sap.com/sap/support/notes/1532305","1532305")</f>
        <v>1532305</v>
      </c>
      <c r="E1422">
        <v>3</v>
      </c>
      <c r="F1422" t="s">
        <v>1961</v>
      </c>
    </row>
    <row r="1423" spans="1:6" x14ac:dyDescent="0.25">
      <c r="A1423" t="s">
        <v>1731</v>
      </c>
      <c r="B1423" t="s">
        <v>304</v>
      </c>
      <c r="C1423" t="s">
        <v>305</v>
      </c>
      <c r="D1423" t="str">
        <f>HYPERLINK("http://service.sap.com/sap/support/notes/1532471","1532471")</f>
        <v>1532471</v>
      </c>
      <c r="E1423">
        <v>2</v>
      </c>
      <c r="F1423" t="s">
        <v>1962</v>
      </c>
    </row>
    <row r="1424" spans="1:6" x14ac:dyDescent="0.25">
      <c r="A1424" t="s">
        <v>1731</v>
      </c>
      <c r="B1424" t="s">
        <v>304</v>
      </c>
      <c r="C1424" t="s">
        <v>305</v>
      </c>
      <c r="D1424" t="str">
        <f>HYPERLINK("http://service.sap.com/sap/support/notes/1532918","1532918")</f>
        <v>1532918</v>
      </c>
      <c r="E1424">
        <v>2</v>
      </c>
      <c r="F1424" t="s">
        <v>1963</v>
      </c>
    </row>
    <row r="1425" spans="1:6" x14ac:dyDescent="0.25">
      <c r="A1425" t="s">
        <v>1731</v>
      </c>
      <c r="B1425" t="s">
        <v>304</v>
      </c>
      <c r="C1425" t="s">
        <v>305</v>
      </c>
      <c r="D1425" t="str">
        <f>HYPERLINK("http://service.sap.com/sap/support/notes/1532921","1532921")</f>
        <v>1532921</v>
      </c>
      <c r="E1425">
        <v>1</v>
      </c>
      <c r="F1425" t="s">
        <v>1964</v>
      </c>
    </row>
    <row r="1426" spans="1:6" x14ac:dyDescent="0.25">
      <c r="A1426" t="s">
        <v>1731</v>
      </c>
      <c r="B1426" t="s">
        <v>304</v>
      </c>
      <c r="C1426" t="s">
        <v>305</v>
      </c>
      <c r="D1426" t="str">
        <f>HYPERLINK("http://service.sap.com/sap/support/notes/1533343","1533343")</f>
        <v>1533343</v>
      </c>
      <c r="E1426">
        <v>1</v>
      </c>
      <c r="F1426" t="s">
        <v>1965</v>
      </c>
    </row>
    <row r="1427" spans="1:6" x14ac:dyDescent="0.25">
      <c r="A1427" t="s">
        <v>1731</v>
      </c>
      <c r="B1427" t="s">
        <v>304</v>
      </c>
      <c r="C1427" t="s">
        <v>305</v>
      </c>
      <c r="D1427" t="str">
        <f>HYPERLINK("http://service.sap.com/sap/support/notes/1534347","1534347")</f>
        <v>1534347</v>
      </c>
      <c r="E1427">
        <v>2</v>
      </c>
      <c r="F1427" t="s">
        <v>1966</v>
      </c>
    </row>
    <row r="1428" spans="1:6" x14ac:dyDescent="0.25">
      <c r="A1428" t="s">
        <v>1731</v>
      </c>
      <c r="B1428" t="s">
        <v>304</v>
      </c>
      <c r="C1428" t="s">
        <v>305</v>
      </c>
      <c r="D1428" t="str">
        <f>HYPERLINK("http://service.sap.com/sap/support/notes/1534559","1534559")</f>
        <v>1534559</v>
      </c>
      <c r="E1428">
        <v>2</v>
      </c>
      <c r="F1428" t="s">
        <v>1967</v>
      </c>
    </row>
    <row r="1429" spans="1:6" x14ac:dyDescent="0.25">
      <c r="A1429" t="s">
        <v>1731</v>
      </c>
      <c r="B1429" t="s">
        <v>304</v>
      </c>
      <c r="C1429" t="s">
        <v>305</v>
      </c>
      <c r="D1429" t="str">
        <f>HYPERLINK("http://service.sap.com/sap/support/notes/1534767","1534767")</f>
        <v>1534767</v>
      </c>
      <c r="E1429">
        <v>3</v>
      </c>
      <c r="F1429" t="s">
        <v>1968</v>
      </c>
    </row>
    <row r="1430" spans="1:6" x14ac:dyDescent="0.25">
      <c r="A1430" t="s">
        <v>1731</v>
      </c>
      <c r="B1430" t="s">
        <v>304</v>
      </c>
      <c r="C1430" t="s">
        <v>305</v>
      </c>
      <c r="D1430" t="str">
        <f>HYPERLINK("http://service.sap.com/sap/support/notes/1535276","1535276")</f>
        <v>1535276</v>
      </c>
      <c r="E1430">
        <v>1</v>
      </c>
      <c r="F1430" t="s">
        <v>1969</v>
      </c>
    </row>
    <row r="1431" spans="1:6" x14ac:dyDescent="0.25">
      <c r="A1431" t="s">
        <v>1731</v>
      </c>
      <c r="B1431" t="s">
        <v>304</v>
      </c>
      <c r="C1431" t="s">
        <v>305</v>
      </c>
      <c r="D1431" t="str">
        <f>HYPERLINK("http://service.sap.com/sap/support/notes/1535315","1535315")</f>
        <v>1535315</v>
      </c>
      <c r="E1431">
        <v>2</v>
      </c>
      <c r="F1431" t="s">
        <v>1970</v>
      </c>
    </row>
    <row r="1432" spans="1:6" x14ac:dyDescent="0.25">
      <c r="A1432" t="s">
        <v>1731</v>
      </c>
      <c r="B1432" t="s">
        <v>304</v>
      </c>
      <c r="C1432" t="s">
        <v>305</v>
      </c>
      <c r="D1432" t="str">
        <f>HYPERLINK("http://service.sap.com/sap/support/notes/1535627","1535627")</f>
        <v>1535627</v>
      </c>
      <c r="E1432">
        <v>2</v>
      </c>
      <c r="F1432" t="s">
        <v>1971</v>
      </c>
    </row>
    <row r="1433" spans="1:6" x14ac:dyDescent="0.25">
      <c r="A1433" t="s">
        <v>1731</v>
      </c>
      <c r="B1433" t="s">
        <v>304</v>
      </c>
      <c r="C1433" t="s">
        <v>305</v>
      </c>
      <c r="D1433" t="str">
        <f>HYPERLINK("http://service.sap.com/sap/support/notes/1536209","1536209")</f>
        <v>1536209</v>
      </c>
      <c r="E1433">
        <v>2</v>
      </c>
      <c r="F1433" t="s">
        <v>1972</v>
      </c>
    </row>
    <row r="1434" spans="1:6" x14ac:dyDescent="0.25">
      <c r="A1434" t="s">
        <v>1731</v>
      </c>
      <c r="B1434" t="s">
        <v>304</v>
      </c>
      <c r="C1434" t="s">
        <v>305</v>
      </c>
      <c r="D1434" t="str">
        <f>HYPERLINK("http://service.sap.com/sap/support/notes/1536872","1536872")</f>
        <v>1536872</v>
      </c>
      <c r="E1434">
        <v>1</v>
      </c>
      <c r="F1434" t="s">
        <v>1973</v>
      </c>
    </row>
    <row r="1435" spans="1:6" x14ac:dyDescent="0.25">
      <c r="A1435" t="s">
        <v>1731</v>
      </c>
      <c r="B1435" t="s">
        <v>304</v>
      </c>
      <c r="C1435" t="s">
        <v>305</v>
      </c>
      <c r="D1435" t="str">
        <f>HYPERLINK("http://service.sap.com/sap/support/notes/1539526","1539526")</f>
        <v>1539526</v>
      </c>
      <c r="E1435">
        <v>2</v>
      </c>
      <c r="F1435" t="s">
        <v>1974</v>
      </c>
    </row>
    <row r="1436" spans="1:6" x14ac:dyDescent="0.25">
      <c r="A1436" t="s">
        <v>1731</v>
      </c>
      <c r="B1436" t="s">
        <v>304</v>
      </c>
      <c r="C1436" t="s">
        <v>305</v>
      </c>
      <c r="D1436" t="str">
        <f>HYPERLINK("http://service.sap.com/sap/support/notes/1540059","1540059")</f>
        <v>1540059</v>
      </c>
      <c r="E1436">
        <v>3</v>
      </c>
      <c r="F1436" t="s">
        <v>1975</v>
      </c>
    </row>
    <row r="1437" spans="1:6" x14ac:dyDescent="0.25">
      <c r="A1437" t="s">
        <v>1731</v>
      </c>
      <c r="B1437" t="s">
        <v>304</v>
      </c>
      <c r="C1437" t="s">
        <v>305</v>
      </c>
      <c r="D1437" t="str">
        <f>HYPERLINK("http://service.sap.com/sap/support/notes/1542403","1542403")</f>
        <v>1542403</v>
      </c>
      <c r="E1437">
        <v>1</v>
      </c>
      <c r="F1437" t="s">
        <v>1976</v>
      </c>
    </row>
    <row r="1438" spans="1:6" x14ac:dyDescent="0.25">
      <c r="A1438" t="s">
        <v>1731</v>
      </c>
      <c r="B1438" t="s">
        <v>304</v>
      </c>
      <c r="C1438" t="s">
        <v>305</v>
      </c>
      <c r="D1438" t="str">
        <f>HYPERLINK("http://service.sap.com/sap/support/notes/1542918","1542918")</f>
        <v>1542918</v>
      </c>
      <c r="E1438">
        <v>2</v>
      </c>
      <c r="F1438" t="s">
        <v>1977</v>
      </c>
    </row>
    <row r="1439" spans="1:6" x14ac:dyDescent="0.25">
      <c r="A1439" t="s">
        <v>1731</v>
      </c>
      <c r="B1439" t="s">
        <v>304</v>
      </c>
      <c r="C1439" t="s">
        <v>305</v>
      </c>
      <c r="D1439" t="str">
        <f>HYPERLINK("http://service.sap.com/sap/support/notes/1543737","1543737")</f>
        <v>1543737</v>
      </c>
      <c r="E1439">
        <v>3</v>
      </c>
      <c r="F1439" t="s">
        <v>1978</v>
      </c>
    </row>
    <row r="1440" spans="1:6" x14ac:dyDescent="0.25">
      <c r="A1440" t="s">
        <v>1731</v>
      </c>
      <c r="B1440" t="s">
        <v>324</v>
      </c>
      <c r="C1440" t="s">
        <v>55</v>
      </c>
      <c r="D1440" t="str">
        <f>HYPERLINK("http://service.sap.com/sap/support/notes/1517819","1517819")</f>
        <v>1517819</v>
      </c>
      <c r="E1440">
        <v>1</v>
      </c>
      <c r="F1440" t="s">
        <v>1979</v>
      </c>
    </row>
    <row r="1441" spans="1:6" x14ac:dyDescent="0.25">
      <c r="A1441" t="s">
        <v>1731</v>
      </c>
      <c r="B1441" t="s">
        <v>324</v>
      </c>
      <c r="C1441" t="s">
        <v>55</v>
      </c>
      <c r="D1441" t="str">
        <f>HYPERLINK("http://service.sap.com/sap/support/notes/1532109","1532109")</f>
        <v>1532109</v>
      </c>
      <c r="E1441">
        <v>1</v>
      </c>
      <c r="F1441" t="s">
        <v>1980</v>
      </c>
    </row>
    <row r="1442" spans="1:6" x14ac:dyDescent="0.25">
      <c r="A1442" t="s">
        <v>1731</v>
      </c>
      <c r="B1442" t="s">
        <v>324</v>
      </c>
      <c r="C1442" t="s">
        <v>55</v>
      </c>
      <c r="D1442" t="str">
        <f>HYPERLINK("http://service.sap.com/sap/support/notes/1533540","1533540")</f>
        <v>1533540</v>
      </c>
      <c r="E1442">
        <v>1</v>
      </c>
      <c r="F1442" t="s">
        <v>1981</v>
      </c>
    </row>
    <row r="1443" spans="1:6" x14ac:dyDescent="0.25">
      <c r="A1443" t="s">
        <v>1731</v>
      </c>
      <c r="B1443" t="s">
        <v>324</v>
      </c>
      <c r="C1443" t="s">
        <v>55</v>
      </c>
      <c r="D1443" t="str">
        <f>HYPERLINK("http://service.sap.com/sap/support/notes/1542647","1542647")</f>
        <v>1542647</v>
      </c>
      <c r="E1443">
        <v>1</v>
      </c>
      <c r="F1443" t="s">
        <v>1982</v>
      </c>
    </row>
    <row r="1444" spans="1:6" x14ac:dyDescent="0.25">
      <c r="A1444" t="s">
        <v>1731</v>
      </c>
      <c r="B1444" t="s">
        <v>324</v>
      </c>
      <c r="C1444" t="s">
        <v>55</v>
      </c>
      <c r="D1444" t="str">
        <f>HYPERLINK("http://service.sap.com/sap/support/notes/1543110","1543110")</f>
        <v>1543110</v>
      </c>
      <c r="E1444">
        <v>1</v>
      </c>
      <c r="F1444" t="s">
        <v>1983</v>
      </c>
    </row>
    <row r="1445" spans="1:6" x14ac:dyDescent="0.25">
      <c r="A1445" t="s">
        <v>1731</v>
      </c>
      <c r="B1445" t="s">
        <v>324</v>
      </c>
      <c r="C1445" t="s">
        <v>55</v>
      </c>
      <c r="D1445" t="str">
        <f>HYPERLINK("http://service.sap.com/sap/support/notes/1544168","1544168")</f>
        <v>1544168</v>
      </c>
      <c r="E1445">
        <v>1</v>
      </c>
      <c r="F1445" t="s">
        <v>1984</v>
      </c>
    </row>
    <row r="1446" spans="1:6" x14ac:dyDescent="0.25">
      <c r="A1446" t="s">
        <v>1731</v>
      </c>
      <c r="B1446" t="s">
        <v>328</v>
      </c>
      <c r="C1446" t="s">
        <v>58</v>
      </c>
      <c r="D1446" t="str">
        <f>HYPERLINK("http://service.sap.com/sap/support/notes/1479484","1479484")</f>
        <v>1479484</v>
      </c>
      <c r="E1446">
        <v>12</v>
      </c>
      <c r="F1446" t="s">
        <v>330</v>
      </c>
    </row>
    <row r="1447" spans="1:6" x14ac:dyDescent="0.25">
      <c r="A1447" t="s">
        <v>1731</v>
      </c>
      <c r="B1447" t="s">
        <v>328</v>
      </c>
      <c r="C1447" t="s">
        <v>58</v>
      </c>
      <c r="D1447" t="str">
        <f>HYPERLINK("http://service.sap.com/sap/support/notes/1524193","1524193")</f>
        <v>1524193</v>
      </c>
      <c r="E1447">
        <v>2</v>
      </c>
      <c r="F1447" t="s">
        <v>1985</v>
      </c>
    </row>
    <row r="1448" spans="1:6" x14ac:dyDescent="0.25">
      <c r="A1448" t="s">
        <v>1731</v>
      </c>
      <c r="B1448" t="s">
        <v>328</v>
      </c>
      <c r="C1448" t="s">
        <v>58</v>
      </c>
      <c r="D1448" t="str">
        <f>HYPERLINK("http://service.sap.com/sap/support/notes/1525361","1525361")</f>
        <v>1525361</v>
      </c>
      <c r="E1448">
        <v>4</v>
      </c>
      <c r="F1448" t="s">
        <v>1986</v>
      </c>
    </row>
    <row r="1449" spans="1:6" x14ac:dyDescent="0.25">
      <c r="A1449" t="s">
        <v>1731</v>
      </c>
      <c r="B1449" t="s">
        <v>328</v>
      </c>
      <c r="C1449" t="s">
        <v>58</v>
      </c>
      <c r="D1449" t="str">
        <f>HYPERLINK("http://service.sap.com/sap/support/notes/1528413","1528413")</f>
        <v>1528413</v>
      </c>
      <c r="E1449">
        <v>3</v>
      </c>
      <c r="F1449" t="s">
        <v>1987</v>
      </c>
    </row>
    <row r="1450" spans="1:6" x14ac:dyDescent="0.25">
      <c r="A1450" t="s">
        <v>1731</v>
      </c>
      <c r="B1450" t="s">
        <v>328</v>
      </c>
      <c r="C1450" t="s">
        <v>58</v>
      </c>
      <c r="D1450" t="str">
        <f>HYPERLINK("http://service.sap.com/sap/support/notes/1529712","1529712")</f>
        <v>1529712</v>
      </c>
      <c r="E1450">
        <v>1</v>
      </c>
      <c r="F1450" t="s">
        <v>1109</v>
      </c>
    </row>
    <row r="1451" spans="1:6" x14ac:dyDescent="0.25">
      <c r="A1451" t="s">
        <v>1731</v>
      </c>
      <c r="B1451" t="s">
        <v>328</v>
      </c>
      <c r="C1451" t="s">
        <v>58</v>
      </c>
      <c r="D1451" t="str">
        <f>HYPERLINK("http://service.sap.com/sap/support/notes/1531347","1531347")</f>
        <v>1531347</v>
      </c>
      <c r="E1451">
        <v>3</v>
      </c>
      <c r="F1451" t="s">
        <v>1988</v>
      </c>
    </row>
    <row r="1452" spans="1:6" x14ac:dyDescent="0.25">
      <c r="A1452" t="s">
        <v>1731</v>
      </c>
      <c r="B1452" t="s">
        <v>328</v>
      </c>
      <c r="C1452" t="s">
        <v>58</v>
      </c>
      <c r="D1452" t="str">
        <f>HYPERLINK("http://service.sap.com/sap/support/notes/1531354","1531354")</f>
        <v>1531354</v>
      </c>
      <c r="E1452">
        <v>2</v>
      </c>
      <c r="F1452" t="s">
        <v>1112</v>
      </c>
    </row>
    <row r="1453" spans="1:6" x14ac:dyDescent="0.25">
      <c r="A1453" t="s">
        <v>1731</v>
      </c>
      <c r="B1453" t="s">
        <v>328</v>
      </c>
      <c r="C1453" t="s">
        <v>58</v>
      </c>
      <c r="D1453" t="str">
        <f>HYPERLINK("http://service.sap.com/sap/support/notes/1531790","1531790")</f>
        <v>1531790</v>
      </c>
      <c r="E1453">
        <v>3</v>
      </c>
      <c r="F1453" t="s">
        <v>1989</v>
      </c>
    </row>
    <row r="1454" spans="1:6" x14ac:dyDescent="0.25">
      <c r="A1454" t="s">
        <v>1731</v>
      </c>
      <c r="B1454" t="s">
        <v>328</v>
      </c>
      <c r="C1454" t="s">
        <v>58</v>
      </c>
      <c r="D1454" t="str">
        <f>HYPERLINK("http://service.sap.com/sap/support/notes/1532080","1532080")</f>
        <v>1532080</v>
      </c>
      <c r="E1454">
        <v>3</v>
      </c>
      <c r="F1454" t="s">
        <v>1597</v>
      </c>
    </row>
    <row r="1455" spans="1:6" x14ac:dyDescent="0.25">
      <c r="A1455" t="s">
        <v>1731</v>
      </c>
      <c r="B1455" t="s">
        <v>328</v>
      </c>
      <c r="C1455" t="s">
        <v>58</v>
      </c>
      <c r="D1455" t="str">
        <f>HYPERLINK("http://service.sap.com/sap/support/notes/1532410","1532410")</f>
        <v>1532410</v>
      </c>
      <c r="E1455">
        <v>2</v>
      </c>
      <c r="F1455" t="s">
        <v>1990</v>
      </c>
    </row>
    <row r="1456" spans="1:6" x14ac:dyDescent="0.25">
      <c r="A1456" t="s">
        <v>1731</v>
      </c>
      <c r="B1456" t="s">
        <v>328</v>
      </c>
      <c r="C1456" t="s">
        <v>58</v>
      </c>
      <c r="D1456" t="str">
        <f>HYPERLINK("http://service.sap.com/sap/support/notes/1532679","1532679")</f>
        <v>1532679</v>
      </c>
      <c r="E1456">
        <v>10</v>
      </c>
      <c r="F1456" t="s">
        <v>1991</v>
      </c>
    </row>
    <row r="1457" spans="1:6" x14ac:dyDescent="0.25">
      <c r="A1457" t="s">
        <v>1731</v>
      </c>
      <c r="B1457" t="s">
        <v>328</v>
      </c>
      <c r="C1457" t="s">
        <v>58</v>
      </c>
      <c r="D1457" t="str">
        <f>HYPERLINK("http://service.sap.com/sap/support/notes/1533113","1533113")</f>
        <v>1533113</v>
      </c>
      <c r="E1457">
        <v>1</v>
      </c>
      <c r="F1457" t="s">
        <v>1992</v>
      </c>
    </row>
    <row r="1458" spans="1:6" x14ac:dyDescent="0.25">
      <c r="A1458" t="s">
        <v>1731</v>
      </c>
      <c r="B1458" t="s">
        <v>328</v>
      </c>
      <c r="C1458" t="s">
        <v>58</v>
      </c>
      <c r="D1458" t="str">
        <f>HYPERLINK("http://service.sap.com/sap/support/notes/1533252","1533252")</f>
        <v>1533252</v>
      </c>
      <c r="E1458">
        <v>1</v>
      </c>
      <c r="F1458" t="s">
        <v>1993</v>
      </c>
    </row>
    <row r="1459" spans="1:6" x14ac:dyDescent="0.25">
      <c r="A1459" t="s">
        <v>1731</v>
      </c>
      <c r="B1459" t="s">
        <v>328</v>
      </c>
      <c r="C1459" t="s">
        <v>58</v>
      </c>
      <c r="D1459" t="str">
        <f>HYPERLINK("http://service.sap.com/sap/support/notes/1533779","1533779")</f>
        <v>1533779</v>
      </c>
      <c r="E1459">
        <v>1</v>
      </c>
      <c r="F1459" t="s">
        <v>1994</v>
      </c>
    </row>
    <row r="1460" spans="1:6" x14ac:dyDescent="0.25">
      <c r="A1460" t="s">
        <v>1731</v>
      </c>
      <c r="B1460" t="s">
        <v>328</v>
      </c>
      <c r="C1460" t="s">
        <v>58</v>
      </c>
      <c r="D1460" t="str">
        <f>HYPERLINK("http://service.sap.com/sap/support/notes/1534471","1534471")</f>
        <v>1534471</v>
      </c>
      <c r="E1460">
        <v>1</v>
      </c>
      <c r="F1460" t="s">
        <v>1995</v>
      </c>
    </row>
    <row r="1461" spans="1:6" x14ac:dyDescent="0.25">
      <c r="A1461" t="s">
        <v>1731</v>
      </c>
      <c r="B1461" t="s">
        <v>328</v>
      </c>
      <c r="C1461" t="s">
        <v>58</v>
      </c>
      <c r="D1461" t="str">
        <f>HYPERLINK("http://service.sap.com/sap/support/notes/1535171","1535171")</f>
        <v>1535171</v>
      </c>
      <c r="E1461">
        <v>2</v>
      </c>
      <c r="F1461" t="s">
        <v>1996</v>
      </c>
    </row>
    <row r="1462" spans="1:6" x14ac:dyDescent="0.25">
      <c r="A1462" t="s">
        <v>1731</v>
      </c>
      <c r="B1462" t="s">
        <v>328</v>
      </c>
      <c r="C1462" t="s">
        <v>58</v>
      </c>
      <c r="D1462" t="str">
        <f>HYPERLINK("http://service.sap.com/sap/support/notes/1535272","1535272")</f>
        <v>1535272</v>
      </c>
      <c r="E1462">
        <v>6</v>
      </c>
      <c r="F1462" t="s">
        <v>1598</v>
      </c>
    </row>
    <row r="1463" spans="1:6" x14ac:dyDescent="0.25">
      <c r="A1463" t="s">
        <v>1731</v>
      </c>
      <c r="B1463" t="s">
        <v>328</v>
      </c>
      <c r="C1463" t="s">
        <v>58</v>
      </c>
      <c r="D1463" t="str">
        <f>HYPERLINK("http://service.sap.com/sap/support/notes/1535680","1535680")</f>
        <v>1535680</v>
      </c>
      <c r="E1463">
        <v>1</v>
      </c>
      <c r="F1463" t="s">
        <v>1997</v>
      </c>
    </row>
    <row r="1464" spans="1:6" x14ac:dyDescent="0.25">
      <c r="A1464" t="s">
        <v>1731</v>
      </c>
      <c r="B1464" t="s">
        <v>328</v>
      </c>
      <c r="C1464" t="s">
        <v>58</v>
      </c>
      <c r="D1464" t="str">
        <f>HYPERLINK("http://service.sap.com/sap/support/notes/1537269","1537269")</f>
        <v>1537269</v>
      </c>
      <c r="E1464">
        <v>2</v>
      </c>
      <c r="F1464" t="s">
        <v>1998</v>
      </c>
    </row>
    <row r="1465" spans="1:6" x14ac:dyDescent="0.25">
      <c r="A1465" t="s">
        <v>1731</v>
      </c>
      <c r="B1465" t="s">
        <v>328</v>
      </c>
      <c r="C1465" t="s">
        <v>58</v>
      </c>
      <c r="D1465" t="str">
        <f>HYPERLINK("http://service.sap.com/sap/support/notes/1538269","1538269")</f>
        <v>1538269</v>
      </c>
      <c r="E1465">
        <v>1</v>
      </c>
      <c r="F1465" t="s">
        <v>1999</v>
      </c>
    </row>
    <row r="1466" spans="1:6" x14ac:dyDescent="0.25">
      <c r="A1466" t="s">
        <v>1731</v>
      </c>
      <c r="B1466" t="s">
        <v>328</v>
      </c>
      <c r="C1466" t="s">
        <v>58</v>
      </c>
      <c r="D1466" t="str">
        <f>HYPERLINK("http://service.sap.com/sap/support/notes/1538874","1538874")</f>
        <v>1538874</v>
      </c>
      <c r="E1466">
        <v>1</v>
      </c>
      <c r="F1466" t="s">
        <v>2000</v>
      </c>
    </row>
    <row r="1467" spans="1:6" x14ac:dyDescent="0.25">
      <c r="A1467" t="s">
        <v>1731</v>
      </c>
      <c r="B1467" t="s">
        <v>328</v>
      </c>
      <c r="C1467" t="s">
        <v>58</v>
      </c>
      <c r="D1467" t="str">
        <f>HYPERLINK("http://service.sap.com/sap/support/notes/1538983","1538983")</f>
        <v>1538983</v>
      </c>
      <c r="E1467">
        <v>1</v>
      </c>
      <c r="F1467" t="s">
        <v>2001</v>
      </c>
    </row>
    <row r="1468" spans="1:6" x14ac:dyDescent="0.25">
      <c r="A1468" t="s">
        <v>1731</v>
      </c>
      <c r="B1468" t="s">
        <v>328</v>
      </c>
      <c r="C1468" t="s">
        <v>58</v>
      </c>
      <c r="D1468" t="str">
        <f>HYPERLINK("http://service.sap.com/sap/support/notes/1539433","1539433")</f>
        <v>1539433</v>
      </c>
      <c r="E1468">
        <v>3</v>
      </c>
      <c r="F1468" t="s">
        <v>2002</v>
      </c>
    </row>
    <row r="1469" spans="1:6" x14ac:dyDescent="0.25">
      <c r="A1469" t="s">
        <v>1731</v>
      </c>
      <c r="B1469" t="s">
        <v>328</v>
      </c>
      <c r="C1469" t="s">
        <v>58</v>
      </c>
      <c r="D1469" t="str">
        <f>HYPERLINK("http://service.sap.com/sap/support/notes/1539939","1539939")</f>
        <v>1539939</v>
      </c>
      <c r="E1469">
        <v>3</v>
      </c>
      <c r="F1469" t="s">
        <v>2003</v>
      </c>
    </row>
    <row r="1470" spans="1:6" x14ac:dyDescent="0.25">
      <c r="A1470" t="s">
        <v>1731</v>
      </c>
      <c r="B1470" t="s">
        <v>328</v>
      </c>
      <c r="C1470" t="s">
        <v>58</v>
      </c>
      <c r="D1470" t="str">
        <f>HYPERLINK("http://service.sap.com/sap/support/notes/1539995","1539995")</f>
        <v>1539995</v>
      </c>
      <c r="E1470">
        <v>2</v>
      </c>
      <c r="F1470" t="s">
        <v>2004</v>
      </c>
    </row>
    <row r="1471" spans="1:6" x14ac:dyDescent="0.25">
      <c r="A1471" t="s">
        <v>1731</v>
      </c>
      <c r="B1471" t="s">
        <v>328</v>
      </c>
      <c r="C1471" t="s">
        <v>58</v>
      </c>
      <c r="D1471" t="str">
        <f>HYPERLINK("http://service.sap.com/sap/support/notes/1540669","1540669")</f>
        <v>1540669</v>
      </c>
      <c r="E1471">
        <v>1</v>
      </c>
      <c r="F1471" t="s">
        <v>2005</v>
      </c>
    </row>
    <row r="1472" spans="1:6" x14ac:dyDescent="0.25">
      <c r="A1472" t="s">
        <v>1731</v>
      </c>
      <c r="B1472" t="s">
        <v>328</v>
      </c>
      <c r="C1472" t="s">
        <v>58</v>
      </c>
      <c r="D1472" t="str">
        <f>HYPERLINK("http://service.sap.com/sap/support/notes/1541297","1541297")</f>
        <v>1541297</v>
      </c>
      <c r="E1472">
        <v>2</v>
      </c>
      <c r="F1472" t="s">
        <v>2006</v>
      </c>
    </row>
    <row r="1473" spans="1:6" x14ac:dyDescent="0.25">
      <c r="A1473" t="s">
        <v>1731</v>
      </c>
      <c r="B1473" t="s">
        <v>328</v>
      </c>
      <c r="C1473" t="s">
        <v>58</v>
      </c>
      <c r="D1473" t="str">
        <f>HYPERLINK("http://service.sap.com/sap/support/notes/1541508","1541508")</f>
        <v>1541508</v>
      </c>
      <c r="E1473">
        <v>3</v>
      </c>
      <c r="F1473" t="s">
        <v>2007</v>
      </c>
    </row>
    <row r="1474" spans="1:6" x14ac:dyDescent="0.25">
      <c r="A1474" t="s">
        <v>1731</v>
      </c>
      <c r="B1474" t="s">
        <v>328</v>
      </c>
      <c r="C1474" t="s">
        <v>58</v>
      </c>
      <c r="D1474" t="str">
        <f>HYPERLINK("http://service.sap.com/sap/support/notes/1541807","1541807")</f>
        <v>1541807</v>
      </c>
      <c r="E1474">
        <v>1</v>
      </c>
      <c r="F1474" t="s">
        <v>2008</v>
      </c>
    </row>
    <row r="1475" spans="1:6" x14ac:dyDescent="0.25">
      <c r="A1475" t="s">
        <v>1731</v>
      </c>
      <c r="B1475" t="s">
        <v>328</v>
      </c>
      <c r="C1475" t="s">
        <v>58</v>
      </c>
      <c r="D1475" t="str">
        <f>HYPERLINK("http://service.sap.com/sap/support/notes/1542405","1542405")</f>
        <v>1542405</v>
      </c>
      <c r="E1475">
        <v>1</v>
      </c>
      <c r="F1475" t="s">
        <v>2009</v>
      </c>
    </row>
    <row r="1476" spans="1:6" x14ac:dyDescent="0.25">
      <c r="A1476" t="s">
        <v>1731</v>
      </c>
      <c r="B1476" t="s">
        <v>328</v>
      </c>
      <c r="C1476" t="s">
        <v>58</v>
      </c>
      <c r="D1476" t="str">
        <f>HYPERLINK("http://service.sap.com/sap/support/notes/1543386","1543386")</f>
        <v>1543386</v>
      </c>
      <c r="E1476">
        <v>2</v>
      </c>
      <c r="F1476" t="s">
        <v>2010</v>
      </c>
    </row>
    <row r="1477" spans="1:6" x14ac:dyDescent="0.25">
      <c r="A1477" t="s">
        <v>1731</v>
      </c>
      <c r="B1477" t="s">
        <v>343</v>
      </c>
      <c r="C1477" t="s">
        <v>344</v>
      </c>
      <c r="D1477" t="str">
        <f>HYPERLINK("http://service.sap.com/sap/support/notes/1129168","1129168")</f>
        <v>1129168</v>
      </c>
      <c r="E1477">
        <v>1</v>
      </c>
      <c r="F1477" t="s">
        <v>345</v>
      </c>
    </row>
    <row r="1478" spans="1:6" x14ac:dyDescent="0.25">
      <c r="A1478" t="s">
        <v>1731</v>
      </c>
      <c r="B1478" t="s">
        <v>343</v>
      </c>
      <c r="C1478" t="s">
        <v>344</v>
      </c>
      <c r="D1478" t="str">
        <f>HYPERLINK("http://service.sap.com/sap/support/notes/1403150","1403150")</f>
        <v>1403150</v>
      </c>
      <c r="E1478">
        <v>1</v>
      </c>
      <c r="F1478" t="s">
        <v>2011</v>
      </c>
    </row>
    <row r="1479" spans="1:6" x14ac:dyDescent="0.25">
      <c r="A1479" t="s">
        <v>1731</v>
      </c>
      <c r="B1479" t="s">
        <v>343</v>
      </c>
      <c r="C1479" t="s">
        <v>344</v>
      </c>
      <c r="D1479" t="str">
        <f>HYPERLINK("http://service.sap.com/sap/support/notes/1508045","1508045")</f>
        <v>1508045</v>
      </c>
      <c r="E1479">
        <v>1</v>
      </c>
      <c r="F1479" t="s">
        <v>2012</v>
      </c>
    </row>
    <row r="1480" spans="1:6" x14ac:dyDescent="0.25">
      <c r="A1480" t="s">
        <v>1731</v>
      </c>
      <c r="B1480" t="s">
        <v>343</v>
      </c>
      <c r="C1480" t="s">
        <v>344</v>
      </c>
      <c r="D1480" t="str">
        <f>HYPERLINK("http://service.sap.com/sap/support/notes/1508593","1508593")</f>
        <v>1508593</v>
      </c>
      <c r="E1480">
        <v>1</v>
      </c>
      <c r="F1480" t="s">
        <v>2013</v>
      </c>
    </row>
    <row r="1481" spans="1:6" x14ac:dyDescent="0.25">
      <c r="A1481" t="s">
        <v>1731</v>
      </c>
      <c r="B1481" t="s">
        <v>343</v>
      </c>
      <c r="C1481" t="s">
        <v>344</v>
      </c>
      <c r="D1481" t="str">
        <f>HYPERLINK("http://service.sap.com/sap/support/notes/1534067","1534067")</f>
        <v>1534067</v>
      </c>
      <c r="E1481">
        <v>1</v>
      </c>
      <c r="F1481" t="s">
        <v>2014</v>
      </c>
    </row>
    <row r="1482" spans="1:6" x14ac:dyDescent="0.25">
      <c r="A1482" t="s">
        <v>1731</v>
      </c>
      <c r="B1482" t="s">
        <v>343</v>
      </c>
      <c r="C1482" t="s">
        <v>344</v>
      </c>
      <c r="D1482" t="str">
        <f>HYPERLINK("http://service.sap.com/sap/support/notes/1535453","1535453")</f>
        <v>1535453</v>
      </c>
      <c r="E1482">
        <v>1</v>
      </c>
      <c r="F1482" t="s">
        <v>2015</v>
      </c>
    </row>
    <row r="1483" spans="1:6" x14ac:dyDescent="0.25">
      <c r="A1483" t="s">
        <v>1731</v>
      </c>
      <c r="B1483" t="s">
        <v>343</v>
      </c>
      <c r="C1483" t="s">
        <v>344</v>
      </c>
      <c r="D1483" t="str">
        <f>HYPERLINK("http://service.sap.com/sap/support/notes/1540582","1540582")</f>
        <v>1540582</v>
      </c>
      <c r="E1483">
        <v>2</v>
      </c>
      <c r="F1483" t="s">
        <v>2016</v>
      </c>
    </row>
    <row r="1484" spans="1:6" x14ac:dyDescent="0.25">
      <c r="A1484" t="s">
        <v>1731</v>
      </c>
      <c r="B1484" t="s">
        <v>343</v>
      </c>
      <c r="C1484" t="s">
        <v>344</v>
      </c>
      <c r="D1484" t="str">
        <f>HYPERLINK("http://service.sap.com/sap/support/notes/1542868","1542868")</f>
        <v>1542868</v>
      </c>
      <c r="E1484">
        <v>1</v>
      </c>
      <c r="F1484" t="s">
        <v>2017</v>
      </c>
    </row>
    <row r="1485" spans="1:6" x14ac:dyDescent="0.25">
      <c r="A1485" t="s">
        <v>1731</v>
      </c>
      <c r="B1485" t="s">
        <v>343</v>
      </c>
      <c r="C1485" t="s">
        <v>344</v>
      </c>
      <c r="D1485" t="str">
        <f>HYPERLINK("http://service.sap.com/sap/support/notes/1542869","1542869")</f>
        <v>1542869</v>
      </c>
      <c r="E1485">
        <v>1</v>
      </c>
      <c r="F1485" t="s">
        <v>2018</v>
      </c>
    </row>
    <row r="1486" spans="1:6" x14ac:dyDescent="0.25">
      <c r="A1486" t="s">
        <v>1731</v>
      </c>
      <c r="B1486" t="s">
        <v>343</v>
      </c>
      <c r="C1486" t="s">
        <v>344</v>
      </c>
      <c r="D1486" t="str">
        <f>HYPERLINK("http://service.sap.com/sap/support/notes/1542870","1542870")</f>
        <v>1542870</v>
      </c>
      <c r="E1486">
        <v>1</v>
      </c>
      <c r="F1486" t="s">
        <v>2019</v>
      </c>
    </row>
    <row r="1487" spans="1:6" x14ac:dyDescent="0.25">
      <c r="A1487" t="s">
        <v>1731</v>
      </c>
      <c r="B1487" t="s">
        <v>343</v>
      </c>
      <c r="C1487" t="s">
        <v>344</v>
      </c>
      <c r="D1487" t="str">
        <f>HYPERLINK("http://service.sap.com/sap/support/notes/1542871","1542871")</f>
        <v>1542871</v>
      </c>
      <c r="E1487">
        <v>1</v>
      </c>
      <c r="F1487" t="s">
        <v>2020</v>
      </c>
    </row>
    <row r="1488" spans="1:6" x14ac:dyDescent="0.25">
      <c r="A1488" t="s">
        <v>1731</v>
      </c>
      <c r="B1488" t="s">
        <v>2021</v>
      </c>
      <c r="C1488" t="s">
        <v>1010</v>
      </c>
    </row>
    <row r="1489" spans="1:6" x14ac:dyDescent="0.25">
      <c r="A1489" t="s">
        <v>1731</v>
      </c>
      <c r="B1489" t="s">
        <v>2022</v>
      </c>
      <c r="C1489" t="s">
        <v>2023</v>
      </c>
      <c r="D1489" t="str">
        <f>HYPERLINK("http://service.sap.com/sap/support/notes/1505826","1505826")</f>
        <v>1505826</v>
      </c>
      <c r="E1489">
        <v>1</v>
      </c>
      <c r="F1489" t="s">
        <v>2024</v>
      </c>
    </row>
    <row r="1490" spans="1:6" x14ac:dyDescent="0.25">
      <c r="A1490" t="s">
        <v>1731</v>
      </c>
      <c r="B1490" t="s">
        <v>2022</v>
      </c>
      <c r="C1490" t="s">
        <v>2023</v>
      </c>
      <c r="D1490" t="str">
        <f>HYPERLINK("http://service.sap.com/sap/support/notes/1507833","1507833")</f>
        <v>1507833</v>
      </c>
      <c r="E1490">
        <v>1</v>
      </c>
      <c r="F1490" t="s">
        <v>2025</v>
      </c>
    </row>
    <row r="1491" spans="1:6" x14ac:dyDescent="0.25">
      <c r="A1491" t="s">
        <v>1731</v>
      </c>
      <c r="B1491" t="s">
        <v>2022</v>
      </c>
      <c r="C1491" t="s">
        <v>2023</v>
      </c>
      <c r="D1491" t="str">
        <f>HYPERLINK("http://service.sap.com/sap/support/notes/1532979","1532979")</f>
        <v>1532979</v>
      </c>
      <c r="E1491">
        <v>1</v>
      </c>
      <c r="F1491" t="s">
        <v>2026</v>
      </c>
    </row>
    <row r="1492" spans="1:6" x14ac:dyDescent="0.25">
      <c r="A1492" t="s">
        <v>1731</v>
      </c>
      <c r="B1492" t="s">
        <v>347</v>
      </c>
      <c r="C1492" t="s">
        <v>153</v>
      </c>
      <c r="D1492" t="str">
        <f>HYPERLINK("http://service.sap.com/sap/support/notes/1534614","1534614")</f>
        <v>1534614</v>
      </c>
      <c r="E1492">
        <v>1</v>
      </c>
      <c r="F1492" t="s">
        <v>2027</v>
      </c>
    </row>
    <row r="1493" spans="1:6" x14ac:dyDescent="0.25">
      <c r="A1493" t="s">
        <v>1731</v>
      </c>
      <c r="B1493" t="s">
        <v>349</v>
      </c>
      <c r="C1493" t="s">
        <v>299</v>
      </c>
    </row>
    <row r="1494" spans="1:6" x14ac:dyDescent="0.25">
      <c r="A1494" t="s">
        <v>1731</v>
      </c>
      <c r="B1494" t="s">
        <v>350</v>
      </c>
      <c r="C1494" t="s">
        <v>351</v>
      </c>
      <c r="D1494" t="str">
        <f>HYPERLINK("http://service.sap.com/sap/support/notes/1527273","1527273")</f>
        <v>1527273</v>
      </c>
      <c r="E1494">
        <v>1</v>
      </c>
      <c r="F1494" t="s">
        <v>2028</v>
      </c>
    </row>
    <row r="1495" spans="1:6" x14ac:dyDescent="0.25">
      <c r="A1495" t="s">
        <v>1731</v>
      </c>
      <c r="B1495" t="s">
        <v>350</v>
      </c>
      <c r="C1495" t="s">
        <v>351</v>
      </c>
      <c r="D1495" t="str">
        <f>HYPERLINK("http://service.sap.com/sap/support/notes/1535051","1535051")</f>
        <v>1535051</v>
      </c>
      <c r="E1495">
        <v>1</v>
      </c>
      <c r="F1495" t="s">
        <v>2029</v>
      </c>
    </row>
    <row r="1496" spans="1:6" x14ac:dyDescent="0.25">
      <c r="A1496" t="s">
        <v>1731</v>
      </c>
      <c r="B1496" t="s">
        <v>350</v>
      </c>
      <c r="C1496" t="s">
        <v>351</v>
      </c>
      <c r="D1496" t="str">
        <f>HYPERLINK("http://service.sap.com/sap/support/notes/1535585","1535585")</f>
        <v>1535585</v>
      </c>
      <c r="E1496">
        <v>1</v>
      </c>
      <c r="F1496" t="s">
        <v>2030</v>
      </c>
    </row>
    <row r="1497" spans="1:6" x14ac:dyDescent="0.25">
      <c r="A1497" t="s">
        <v>1731</v>
      </c>
      <c r="B1497" t="s">
        <v>350</v>
      </c>
      <c r="C1497" t="s">
        <v>351</v>
      </c>
      <c r="D1497" t="str">
        <f>HYPERLINK("http://service.sap.com/sap/support/notes/1542866","1542866")</f>
        <v>1542866</v>
      </c>
      <c r="E1497">
        <v>1</v>
      </c>
      <c r="F1497" t="s">
        <v>2031</v>
      </c>
    </row>
    <row r="1498" spans="1:6" x14ac:dyDescent="0.25">
      <c r="A1498" t="s">
        <v>1731</v>
      </c>
      <c r="B1498" t="s">
        <v>353</v>
      </c>
      <c r="C1498" t="s">
        <v>354</v>
      </c>
      <c r="D1498" t="str">
        <f>HYPERLINK("http://service.sap.com/sap/support/notes/1533879","1533879")</f>
        <v>1533879</v>
      </c>
      <c r="E1498">
        <v>2</v>
      </c>
      <c r="F1498" t="s">
        <v>2032</v>
      </c>
    </row>
    <row r="1499" spans="1:6" x14ac:dyDescent="0.25">
      <c r="A1499" t="s">
        <v>1731</v>
      </c>
      <c r="B1499" t="s">
        <v>358</v>
      </c>
      <c r="C1499" t="s">
        <v>359</v>
      </c>
      <c r="D1499" t="str">
        <f>HYPERLINK("http://service.sap.com/sap/support/notes/1533089","1533089")</f>
        <v>1533089</v>
      </c>
      <c r="E1499">
        <v>1</v>
      </c>
      <c r="F1499" t="s">
        <v>2033</v>
      </c>
    </row>
    <row r="1500" spans="1:6" x14ac:dyDescent="0.25">
      <c r="A1500" t="s">
        <v>1731</v>
      </c>
      <c r="B1500" t="s">
        <v>358</v>
      </c>
      <c r="C1500" t="s">
        <v>359</v>
      </c>
      <c r="D1500" t="str">
        <f>HYPERLINK("http://service.sap.com/sap/support/notes/1537009","1537009")</f>
        <v>1537009</v>
      </c>
      <c r="E1500">
        <v>1</v>
      </c>
      <c r="F1500" t="s">
        <v>2034</v>
      </c>
    </row>
    <row r="1501" spans="1:6" x14ac:dyDescent="0.25">
      <c r="A1501" t="s">
        <v>1731</v>
      </c>
      <c r="B1501" t="s">
        <v>358</v>
      </c>
      <c r="C1501" t="s">
        <v>359</v>
      </c>
      <c r="D1501" t="str">
        <f>HYPERLINK("http://service.sap.com/sap/support/notes/1541095","1541095")</f>
        <v>1541095</v>
      </c>
      <c r="E1501">
        <v>2</v>
      </c>
      <c r="F1501" t="s">
        <v>2035</v>
      </c>
    </row>
    <row r="1502" spans="1:6" x14ac:dyDescent="0.25">
      <c r="A1502" t="s">
        <v>1731</v>
      </c>
      <c r="B1502" t="s">
        <v>358</v>
      </c>
      <c r="C1502" t="s">
        <v>359</v>
      </c>
      <c r="D1502" t="str">
        <f>HYPERLINK("http://service.sap.com/sap/support/notes/1541162","1541162")</f>
        <v>1541162</v>
      </c>
      <c r="E1502">
        <v>2</v>
      </c>
      <c r="F1502" t="s">
        <v>2036</v>
      </c>
    </row>
    <row r="1503" spans="1:6" x14ac:dyDescent="0.25">
      <c r="A1503" t="s">
        <v>1731</v>
      </c>
      <c r="B1503" t="s">
        <v>358</v>
      </c>
      <c r="C1503" t="s">
        <v>359</v>
      </c>
      <c r="D1503" t="str">
        <f>HYPERLINK("http://service.sap.com/sap/support/notes/1541421","1541421")</f>
        <v>1541421</v>
      </c>
      <c r="E1503">
        <v>1</v>
      </c>
      <c r="F1503" t="s">
        <v>2037</v>
      </c>
    </row>
    <row r="1504" spans="1:6" x14ac:dyDescent="0.25">
      <c r="A1504" t="s">
        <v>1731</v>
      </c>
      <c r="B1504" t="s">
        <v>358</v>
      </c>
      <c r="C1504" t="s">
        <v>359</v>
      </c>
      <c r="D1504" t="str">
        <f>HYPERLINK("http://service.sap.com/sap/support/notes/1541459","1541459")</f>
        <v>1541459</v>
      </c>
      <c r="E1504">
        <v>1</v>
      </c>
      <c r="F1504" t="s">
        <v>2038</v>
      </c>
    </row>
    <row r="1505" spans="1:6" x14ac:dyDescent="0.25">
      <c r="A1505" t="s">
        <v>1731</v>
      </c>
      <c r="B1505" t="s">
        <v>358</v>
      </c>
      <c r="C1505" t="s">
        <v>359</v>
      </c>
      <c r="D1505" t="str">
        <f>HYPERLINK("http://service.sap.com/sap/support/notes/1541803","1541803")</f>
        <v>1541803</v>
      </c>
      <c r="E1505">
        <v>1</v>
      </c>
      <c r="F1505" t="s">
        <v>2039</v>
      </c>
    </row>
    <row r="1506" spans="1:6" x14ac:dyDescent="0.25">
      <c r="A1506" t="s">
        <v>1731</v>
      </c>
      <c r="B1506" t="s">
        <v>358</v>
      </c>
      <c r="C1506" t="s">
        <v>359</v>
      </c>
      <c r="D1506" t="str">
        <f>HYPERLINK("http://service.sap.com/sap/support/notes/1542127","1542127")</f>
        <v>1542127</v>
      </c>
      <c r="E1506">
        <v>1</v>
      </c>
      <c r="F1506" t="s">
        <v>2040</v>
      </c>
    </row>
    <row r="1507" spans="1:6" x14ac:dyDescent="0.25">
      <c r="A1507" t="s">
        <v>1731</v>
      </c>
      <c r="B1507" t="s">
        <v>363</v>
      </c>
      <c r="C1507" t="s">
        <v>74</v>
      </c>
      <c r="D1507" t="str">
        <f>HYPERLINK("http://service.sap.com/sap/support/notes/1379621","1379621")</f>
        <v>1379621</v>
      </c>
      <c r="E1507">
        <v>1</v>
      </c>
      <c r="F1507" t="s">
        <v>2041</v>
      </c>
    </row>
    <row r="1508" spans="1:6" x14ac:dyDescent="0.25">
      <c r="A1508" t="s">
        <v>1731</v>
      </c>
      <c r="B1508" t="s">
        <v>363</v>
      </c>
      <c r="C1508" t="s">
        <v>74</v>
      </c>
      <c r="D1508" t="str">
        <f>HYPERLINK("http://service.sap.com/sap/support/notes/1465862","1465862")</f>
        <v>1465862</v>
      </c>
      <c r="E1508">
        <v>5</v>
      </c>
      <c r="F1508" t="s">
        <v>2042</v>
      </c>
    </row>
    <row r="1509" spans="1:6" x14ac:dyDescent="0.25">
      <c r="A1509" t="s">
        <v>1731</v>
      </c>
      <c r="B1509" t="s">
        <v>363</v>
      </c>
      <c r="C1509" t="s">
        <v>74</v>
      </c>
      <c r="D1509" t="str">
        <f>HYPERLINK("http://service.sap.com/sap/support/notes/1467337","1467337")</f>
        <v>1467337</v>
      </c>
      <c r="E1509">
        <v>4</v>
      </c>
      <c r="F1509" t="s">
        <v>2043</v>
      </c>
    </row>
    <row r="1510" spans="1:6" x14ac:dyDescent="0.25">
      <c r="A1510" t="s">
        <v>1731</v>
      </c>
      <c r="B1510" t="s">
        <v>363</v>
      </c>
      <c r="C1510" t="s">
        <v>74</v>
      </c>
      <c r="D1510" t="str">
        <f>HYPERLINK("http://service.sap.com/sap/support/notes/1473417","1473417")</f>
        <v>1473417</v>
      </c>
      <c r="E1510">
        <v>2</v>
      </c>
      <c r="F1510" t="s">
        <v>2044</v>
      </c>
    </row>
    <row r="1511" spans="1:6" x14ac:dyDescent="0.25">
      <c r="A1511" t="s">
        <v>1731</v>
      </c>
      <c r="B1511" t="s">
        <v>363</v>
      </c>
      <c r="C1511" t="s">
        <v>74</v>
      </c>
      <c r="D1511" t="str">
        <f>HYPERLINK("http://service.sap.com/sap/support/notes/1476982","1476982")</f>
        <v>1476982</v>
      </c>
      <c r="E1511">
        <v>3</v>
      </c>
      <c r="F1511" t="s">
        <v>2045</v>
      </c>
    </row>
    <row r="1512" spans="1:6" x14ac:dyDescent="0.25">
      <c r="A1512" t="s">
        <v>1731</v>
      </c>
      <c r="B1512" t="s">
        <v>363</v>
      </c>
      <c r="C1512" t="s">
        <v>74</v>
      </c>
      <c r="D1512" t="str">
        <f>HYPERLINK("http://service.sap.com/sap/support/notes/1482003","1482003")</f>
        <v>1482003</v>
      </c>
      <c r="E1512">
        <v>1</v>
      </c>
      <c r="F1512" t="s">
        <v>2046</v>
      </c>
    </row>
    <row r="1513" spans="1:6" x14ac:dyDescent="0.25">
      <c r="A1513" t="s">
        <v>1731</v>
      </c>
      <c r="B1513" t="s">
        <v>363</v>
      </c>
      <c r="C1513" t="s">
        <v>74</v>
      </c>
      <c r="D1513" t="str">
        <f>HYPERLINK("http://service.sap.com/sap/support/notes/1484791","1484791")</f>
        <v>1484791</v>
      </c>
      <c r="E1513">
        <v>1</v>
      </c>
      <c r="F1513" t="s">
        <v>2047</v>
      </c>
    </row>
    <row r="1514" spans="1:6" x14ac:dyDescent="0.25">
      <c r="A1514" t="s">
        <v>1731</v>
      </c>
      <c r="B1514" t="s">
        <v>363</v>
      </c>
      <c r="C1514" t="s">
        <v>74</v>
      </c>
      <c r="D1514" t="str">
        <f>HYPERLINK("http://service.sap.com/sap/support/notes/1489845","1489845")</f>
        <v>1489845</v>
      </c>
      <c r="E1514">
        <v>2</v>
      </c>
      <c r="F1514" t="s">
        <v>2048</v>
      </c>
    </row>
    <row r="1515" spans="1:6" x14ac:dyDescent="0.25">
      <c r="A1515" t="s">
        <v>1731</v>
      </c>
      <c r="B1515" t="s">
        <v>363</v>
      </c>
      <c r="C1515" t="s">
        <v>74</v>
      </c>
      <c r="D1515" t="str">
        <f>HYPERLINK("http://service.sap.com/sap/support/notes/1495121","1495121")</f>
        <v>1495121</v>
      </c>
      <c r="E1515">
        <v>3</v>
      </c>
      <c r="F1515" t="s">
        <v>2049</v>
      </c>
    </row>
    <row r="1516" spans="1:6" x14ac:dyDescent="0.25">
      <c r="A1516" t="s">
        <v>1731</v>
      </c>
      <c r="B1516" t="s">
        <v>363</v>
      </c>
      <c r="C1516" t="s">
        <v>74</v>
      </c>
      <c r="D1516" t="str">
        <f>HYPERLINK("http://service.sap.com/sap/support/notes/1503160","1503160")</f>
        <v>1503160</v>
      </c>
      <c r="E1516">
        <v>2</v>
      </c>
      <c r="F1516" t="s">
        <v>2050</v>
      </c>
    </row>
    <row r="1517" spans="1:6" x14ac:dyDescent="0.25">
      <c r="A1517" t="s">
        <v>1731</v>
      </c>
      <c r="B1517" t="s">
        <v>363</v>
      </c>
      <c r="C1517" t="s">
        <v>74</v>
      </c>
      <c r="D1517" t="str">
        <f>HYPERLINK("http://service.sap.com/sap/support/notes/1506801","1506801")</f>
        <v>1506801</v>
      </c>
      <c r="E1517">
        <v>1</v>
      </c>
      <c r="F1517" t="s">
        <v>2051</v>
      </c>
    </row>
    <row r="1518" spans="1:6" x14ac:dyDescent="0.25">
      <c r="A1518" t="s">
        <v>1731</v>
      </c>
      <c r="B1518" t="s">
        <v>363</v>
      </c>
      <c r="C1518" t="s">
        <v>74</v>
      </c>
      <c r="D1518" t="str">
        <f>HYPERLINK("http://service.sap.com/sap/support/notes/1507092","1507092")</f>
        <v>1507092</v>
      </c>
      <c r="E1518">
        <v>2</v>
      </c>
      <c r="F1518" t="s">
        <v>2052</v>
      </c>
    </row>
    <row r="1519" spans="1:6" x14ac:dyDescent="0.25">
      <c r="A1519" t="s">
        <v>1731</v>
      </c>
      <c r="B1519" t="s">
        <v>363</v>
      </c>
      <c r="C1519" t="s">
        <v>74</v>
      </c>
      <c r="D1519" t="str">
        <f>HYPERLINK("http://service.sap.com/sap/support/notes/1513331","1513331")</f>
        <v>1513331</v>
      </c>
      <c r="E1519">
        <v>1</v>
      </c>
      <c r="F1519" t="s">
        <v>2053</v>
      </c>
    </row>
    <row r="1520" spans="1:6" x14ac:dyDescent="0.25">
      <c r="A1520" t="s">
        <v>1731</v>
      </c>
      <c r="B1520" t="s">
        <v>363</v>
      </c>
      <c r="C1520" t="s">
        <v>74</v>
      </c>
      <c r="D1520" t="str">
        <f>HYPERLINK("http://service.sap.com/sap/support/notes/1521217","1521217")</f>
        <v>1521217</v>
      </c>
      <c r="E1520">
        <v>2</v>
      </c>
      <c r="F1520" t="s">
        <v>2054</v>
      </c>
    </row>
    <row r="1521" spans="1:6" x14ac:dyDescent="0.25">
      <c r="A1521" t="s">
        <v>1731</v>
      </c>
      <c r="B1521" t="s">
        <v>363</v>
      </c>
      <c r="C1521" t="s">
        <v>74</v>
      </c>
      <c r="D1521" t="str">
        <f>HYPERLINK("http://service.sap.com/sap/support/notes/1527245","1527245")</f>
        <v>1527245</v>
      </c>
      <c r="E1521">
        <v>2</v>
      </c>
      <c r="F1521" t="s">
        <v>2055</v>
      </c>
    </row>
    <row r="1522" spans="1:6" x14ac:dyDescent="0.25">
      <c r="A1522" t="s">
        <v>1731</v>
      </c>
      <c r="B1522" t="s">
        <v>363</v>
      </c>
      <c r="C1522" t="s">
        <v>74</v>
      </c>
      <c r="D1522" t="str">
        <f>HYPERLINK("http://service.sap.com/sap/support/notes/1528165","1528165")</f>
        <v>1528165</v>
      </c>
      <c r="E1522">
        <v>1</v>
      </c>
      <c r="F1522" t="s">
        <v>1161</v>
      </c>
    </row>
    <row r="1523" spans="1:6" x14ac:dyDescent="0.25">
      <c r="A1523" t="s">
        <v>1731</v>
      </c>
      <c r="B1523" t="s">
        <v>363</v>
      </c>
      <c r="C1523" t="s">
        <v>74</v>
      </c>
      <c r="D1523" t="str">
        <f>HYPERLINK("http://service.sap.com/sap/support/notes/1528192","1528192")</f>
        <v>1528192</v>
      </c>
      <c r="E1523">
        <v>1</v>
      </c>
      <c r="F1523" t="s">
        <v>2056</v>
      </c>
    </row>
    <row r="1524" spans="1:6" x14ac:dyDescent="0.25">
      <c r="A1524" t="s">
        <v>1731</v>
      </c>
      <c r="B1524" t="s">
        <v>363</v>
      </c>
      <c r="C1524" t="s">
        <v>74</v>
      </c>
      <c r="D1524" t="str">
        <f>HYPERLINK("http://service.sap.com/sap/support/notes/1529052","1529052")</f>
        <v>1529052</v>
      </c>
      <c r="E1524">
        <v>2</v>
      </c>
      <c r="F1524" t="s">
        <v>2057</v>
      </c>
    </row>
    <row r="1525" spans="1:6" x14ac:dyDescent="0.25">
      <c r="A1525" t="s">
        <v>1731</v>
      </c>
      <c r="B1525" t="s">
        <v>363</v>
      </c>
      <c r="C1525" t="s">
        <v>74</v>
      </c>
      <c r="D1525" t="str">
        <f>HYPERLINK("http://service.sap.com/sap/support/notes/1532701","1532701")</f>
        <v>1532701</v>
      </c>
      <c r="E1525">
        <v>1</v>
      </c>
      <c r="F1525" t="s">
        <v>2058</v>
      </c>
    </row>
    <row r="1526" spans="1:6" x14ac:dyDescent="0.25">
      <c r="A1526" t="s">
        <v>1731</v>
      </c>
      <c r="B1526" t="s">
        <v>363</v>
      </c>
      <c r="C1526" t="s">
        <v>74</v>
      </c>
      <c r="D1526" t="str">
        <f>HYPERLINK("http://service.sap.com/sap/support/notes/1536422","1536422")</f>
        <v>1536422</v>
      </c>
      <c r="E1526">
        <v>2</v>
      </c>
      <c r="F1526" t="s">
        <v>2059</v>
      </c>
    </row>
    <row r="1527" spans="1:6" x14ac:dyDescent="0.25">
      <c r="A1527" t="s">
        <v>1731</v>
      </c>
      <c r="B1527" t="s">
        <v>363</v>
      </c>
      <c r="C1527" t="s">
        <v>74</v>
      </c>
      <c r="D1527" t="str">
        <f>HYPERLINK("http://service.sap.com/sap/support/notes/1537097","1537097")</f>
        <v>1537097</v>
      </c>
      <c r="E1527">
        <v>2</v>
      </c>
      <c r="F1527" t="s">
        <v>2060</v>
      </c>
    </row>
    <row r="1528" spans="1:6" x14ac:dyDescent="0.25">
      <c r="A1528" t="s">
        <v>1731</v>
      </c>
      <c r="B1528" t="s">
        <v>363</v>
      </c>
      <c r="C1528" t="s">
        <v>74</v>
      </c>
      <c r="D1528" t="str">
        <f>HYPERLINK("http://service.sap.com/sap/support/notes/1538077","1538077")</f>
        <v>1538077</v>
      </c>
      <c r="E1528">
        <v>2</v>
      </c>
      <c r="F1528" t="s">
        <v>2061</v>
      </c>
    </row>
    <row r="1529" spans="1:6" x14ac:dyDescent="0.25">
      <c r="A1529" t="s">
        <v>1731</v>
      </c>
      <c r="B1529" t="s">
        <v>363</v>
      </c>
      <c r="C1529" t="s">
        <v>74</v>
      </c>
      <c r="D1529" t="str">
        <f>HYPERLINK("http://service.sap.com/sap/support/notes/1540679","1540679")</f>
        <v>1540679</v>
      </c>
      <c r="E1529">
        <v>2</v>
      </c>
      <c r="F1529" t="s">
        <v>2062</v>
      </c>
    </row>
    <row r="1530" spans="1:6" x14ac:dyDescent="0.25">
      <c r="A1530" t="s">
        <v>1731</v>
      </c>
      <c r="B1530" t="s">
        <v>363</v>
      </c>
      <c r="C1530" t="s">
        <v>74</v>
      </c>
      <c r="D1530" t="str">
        <f>HYPERLINK("http://service.sap.com/sap/support/notes/1541134","1541134")</f>
        <v>1541134</v>
      </c>
      <c r="E1530">
        <v>2</v>
      </c>
      <c r="F1530" t="s">
        <v>2063</v>
      </c>
    </row>
    <row r="1531" spans="1:6" x14ac:dyDescent="0.25">
      <c r="A1531" t="s">
        <v>1731</v>
      </c>
      <c r="B1531" t="s">
        <v>363</v>
      </c>
      <c r="C1531" t="s">
        <v>74</v>
      </c>
      <c r="D1531" t="str">
        <f>HYPERLINK("http://service.sap.com/sap/support/notes/1541736","1541736")</f>
        <v>1541736</v>
      </c>
      <c r="E1531">
        <v>2</v>
      </c>
      <c r="F1531" t="s">
        <v>2064</v>
      </c>
    </row>
    <row r="1532" spans="1:6" x14ac:dyDescent="0.25">
      <c r="A1532" t="s">
        <v>1731</v>
      </c>
      <c r="B1532" t="s">
        <v>363</v>
      </c>
      <c r="C1532" t="s">
        <v>74</v>
      </c>
      <c r="D1532" t="str">
        <f>HYPERLINK("http://service.sap.com/sap/support/notes/1542122","1542122")</f>
        <v>1542122</v>
      </c>
      <c r="E1532">
        <v>2</v>
      </c>
      <c r="F1532" t="s">
        <v>2065</v>
      </c>
    </row>
    <row r="1533" spans="1:6" x14ac:dyDescent="0.25">
      <c r="A1533" t="s">
        <v>1731</v>
      </c>
      <c r="B1533" t="s">
        <v>363</v>
      </c>
      <c r="C1533" t="s">
        <v>74</v>
      </c>
      <c r="D1533" t="str">
        <f>HYPERLINK("http://service.sap.com/sap/support/notes/1546243","1546243")</f>
        <v>1546243</v>
      </c>
      <c r="E1533">
        <v>1</v>
      </c>
      <c r="F1533" t="s">
        <v>1623</v>
      </c>
    </row>
    <row r="1534" spans="1:6" x14ac:dyDescent="0.25">
      <c r="A1534" t="s">
        <v>1731</v>
      </c>
      <c r="B1534" t="s">
        <v>379</v>
      </c>
      <c r="C1534" t="s">
        <v>80</v>
      </c>
      <c r="D1534" t="str">
        <f>HYPERLINK("http://service.sap.com/sap/support/notes/1533908","1533908")</f>
        <v>1533908</v>
      </c>
      <c r="E1534">
        <v>1</v>
      </c>
      <c r="F1534" t="s">
        <v>2066</v>
      </c>
    </row>
    <row r="1535" spans="1:6" x14ac:dyDescent="0.25">
      <c r="A1535" t="s">
        <v>1731</v>
      </c>
      <c r="B1535" t="s">
        <v>379</v>
      </c>
      <c r="C1535" t="s">
        <v>80</v>
      </c>
      <c r="D1535" t="str">
        <f>HYPERLINK("http://service.sap.com/sap/support/notes/1534003","1534003")</f>
        <v>1534003</v>
      </c>
      <c r="E1535">
        <v>1</v>
      </c>
      <c r="F1535" t="s">
        <v>2067</v>
      </c>
    </row>
    <row r="1536" spans="1:6" x14ac:dyDescent="0.25">
      <c r="A1536" t="s">
        <v>1731</v>
      </c>
      <c r="B1536" t="s">
        <v>379</v>
      </c>
      <c r="C1536" t="s">
        <v>80</v>
      </c>
      <c r="D1536" t="str">
        <f>HYPERLINK("http://service.sap.com/sap/support/notes/1538492","1538492")</f>
        <v>1538492</v>
      </c>
      <c r="E1536">
        <v>1</v>
      </c>
      <c r="F1536" t="s">
        <v>2068</v>
      </c>
    </row>
    <row r="1537" spans="1:6" x14ac:dyDescent="0.25">
      <c r="A1537" t="s">
        <v>1731</v>
      </c>
      <c r="B1537" t="s">
        <v>379</v>
      </c>
      <c r="C1537" t="s">
        <v>80</v>
      </c>
      <c r="D1537" t="str">
        <f>HYPERLINK("http://service.sap.com/sap/support/notes/1540157","1540157")</f>
        <v>1540157</v>
      </c>
      <c r="E1537">
        <v>1</v>
      </c>
      <c r="F1537" t="s">
        <v>2069</v>
      </c>
    </row>
    <row r="1538" spans="1:6" x14ac:dyDescent="0.25">
      <c r="A1538" t="s">
        <v>1731</v>
      </c>
      <c r="B1538" t="s">
        <v>379</v>
      </c>
      <c r="C1538" t="s">
        <v>80</v>
      </c>
      <c r="D1538" t="str">
        <f>HYPERLINK("http://service.sap.com/sap/support/notes/1542193","1542193")</f>
        <v>1542193</v>
      </c>
      <c r="E1538">
        <v>1</v>
      </c>
      <c r="F1538" t="s">
        <v>2070</v>
      </c>
    </row>
    <row r="1539" spans="1:6" x14ac:dyDescent="0.25">
      <c r="A1539" t="s">
        <v>1731</v>
      </c>
      <c r="B1539" t="s">
        <v>379</v>
      </c>
      <c r="C1539" t="s">
        <v>80</v>
      </c>
      <c r="D1539" t="str">
        <f>HYPERLINK("http://service.sap.com/sap/support/notes/1542255","1542255")</f>
        <v>1542255</v>
      </c>
      <c r="E1539">
        <v>2</v>
      </c>
      <c r="F1539" t="s">
        <v>2071</v>
      </c>
    </row>
    <row r="1540" spans="1:6" x14ac:dyDescent="0.25">
      <c r="A1540" t="s">
        <v>1731</v>
      </c>
      <c r="B1540" t="s">
        <v>388</v>
      </c>
      <c r="C1540" t="s">
        <v>87</v>
      </c>
      <c r="D1540" t="str">
        <f>HYPERLINK("http://service.sap.com/sap/support/notes/1224058","1224058")</f>
        <v>1224058</v>
      </c>
      <c r="E1540">
        <v>1</v>
      </c>
      <c r="F1540" t="s">
        <v>389</v>
      </c>
    </row>
    <row r="1541" spans="1:6" x14ac:dyDescent="0.25">
      <c r="A1541" t="s">
        <v>1731</v>
      </c>
      <c r="B1541" t="s">
        <v>388</v>
      </c>
      <c r="C1541" t="s">
        <v>87</v>
      </c>
      <c r="D1541" t="str">
        <f>HYPERLINK("http://service.sap.com/sap/support/notes/1536031","1536031")</f>
        <v>1536031</v>
      </c>
      <c r="E1541">
        <v>2</v>
      </c>
      <c r="F1541" t="s">
        <v>2072</v>
      </c>
    </row>
    <row r="1542" spans="1:6" x14ac:dyDescent="0.25">
      <c r="A1542" t="s">
        <v>1731</v>
      </c>
      <c r="B1542" t="s">
        <v>388</v>
      </c>
      <c r="C1542" t="s">
        <v>87</v>
      </c>
      <c r="D1542" t="str">
        <f>HYPERLINK("http://service.sap.com/sap/support/notes/1539086","1539086")</f>
        <v>1539086</v>
      </c>
      <c r="E1542">
        <v>2</v>
      </c>
      <c r="F1542" t="s">
        <v>2073</v>
      </c>
    </row>
    <row r="1543" spans="1:6" x14ac:dyDescent="0.25">
      <c r="A1543" t="s">
        <v>1731</v>
      </c>
      <c r="B1543" t="s">
        <v>388</v>
      </c>
      <c r="C1543" t="s">
        <v>87</v>
      </c>
      <c r="D1543" t="str">
        <f>HYPERLINK("http://service.sap.com/sap/support/notes/1539088","1539088")</f>
        <v>1539088</v>
      </c>
      <c r="E1543">
        <v>3</v>
      </c>
      <c r="F1543" t="s">
        <v>2074</v>
      </c>
    </row>
    <row r="1544" spans="1:6" x14ac:dyDescent="0.25">
      <c r="A1544" t="s">
        <v>1731</v>
      </c>
      <c r="B1544" t="s">
        <v>388</v>
      </c>
      <c r="C1544" t="s">
        <v>87</v>
      </c>
      <c r="D1544" t="str">
        <f>HYPERLINK("http://service.sap.com/sap/support/notes/1541229","1541229")</f>
        <v>1541229</v>
      </c>
      <c r="E1544">
        <v>5</v>
      </c>
      <c r="F1544" t="s">
        <v>2075</v>
      </c>
    </row>
    <row r="1545" spans="1:6" x14ac:dyDescent="0.25">
      <c r="A1545" t="s">
        <v>1731</v>
      </c>
      <c r="B1545" t="s">
        <v>388</v>
      </c>
      <c r="C1545" t="s">
        <v>87</v>
      </c>
      <c r="D1545" t="str">
        <f>HYPERLINK("http://service.sap.com/sap/support/notes/1542114","1542114")</f>
        <v>1542114</v>
      </c>
      <c r="E1545">
        <v>3</v>
      </c>
      <c r="F1545" t="s">
        <v>2076</v>
      </c>
    </row>
    <row r="1546" spans="1:6" x14ac:dyDescent="0.25">
      <c r="A1546" t="s">
        <v>1731</v>
      </c>
      <c r="B1546" t="s">
        <v>388</v>
      </c>
      <c r="C1546" t="s">
        <v>87</v>
      </c>
      <c r="D1546" t="str">
        <f>HYPERLINK("http://service.sap.com/sap/support/notes/1542128","1542128")</f>
        <v>1542128</v>
      </c>
      <c r="E1546">
        <v>6</v>
      </c>
      <c r="F1546" t="s">
        <v>2077</v>
      </c>
    </row>
    <row r="1547" spans="1:6" x14ac:dyDescent="0.25">
      <c r="A1547" t="s">
        <v>1731</v>
      </c>
      <c r="B1547" t="s">
        <v>388</v>
      </c>
      <c r="C1547" t="s">
        <v>87</v>
      </c>
      <c r="D1547" t="str">
        <f>HYPERLINK("http://service.sap.com/sap/support/notes/1542950","1542950")</f>
        <v>1542950</v>
      </c>
      <c r="E1547">
        <v>2</v>
      </c>
      <c r="F1547" t="s">
        <v>2078</v>
      </c>
    </row>
    <row r="1548" spans="1:6" x14ac:dyDescent="0.25">
      <c r="A1548" t="s">
        <v>1731</v>
      </c>
      <c r="B1548" t="s">
        <v>396</v>
      </c>
      <c r="C1548" t="s">
        <v>397</v>
      </c>
      <c r="D1548" t="str">
        <f>HYPERLINK("http://service.sap.com/sap/support/notes/1517460","1517460")</f>
        <v>1517460</v>
      </c>
      <c r="E1548">
        <v>2</v>
      </c>
      <c r="F1548" t="s">
        <v>2079</v>
      </c>
    </row>
    <row r="1549" spans="1:6" x14ac:dyDescent="0.25">
      <c r="A1549" t="s">
        <v>1731</v>
      </c>
      <c r="B1549" t="s">
        <v>396</v>
      </c>
      <c r="C1549" t="s">
        <v>397</v>
      </c>
      <c r="D1549" t="str">
        <f>HYPERLINK("http://service.sap.com/sap/support/notes/1523489","1523489")</f>
        <v>1523489</v>
      </c>
      <c r="E1549">
        <v>4</v>
      </c>
      <c r="F1549" t="s">
        <v>2080</v>
      </c>
    </row>
    <row r="1550" spans="1:6" x14ac:dyDescent="0.25">
      <c r="A1550" t="s">
        <v>1731</v>
      </c>
      <c r="B1550" t="s">
        <v>396</v>
      </c>
      <c r="C1550" t="s">
        <v>397</v>
      </c>
      <c r="D1550" t="str">
        <f>HYPERLINK("http://service.sap.com/sap/support/notes/1541588","1541588")</f>
        <v>1541588</v>
      </c>
      <c r="E1550">
        <v>3</v>
      </c>
      <c r="F1550" t="s">
        <v>2081</v>
      </c>
    </row>
    <row r="1551" spans="1:6" x14ac:dyDescent="0.25">
      <c r="A1551" t="s">
        <v>1731</v>
      </c>
      <c r="B1551" t="s">
        <v>405</v>
      </c>
      <c r="C1551" t="s">
        <v>90</v>
      </c>
      <c r="D1551" t="str">
        <f>HYPERLINK("http://service.sap.com/sap/support/notes/1446917","1446917")</f>
        <v>1446917</v>
      </c>
      <c r="E1551">
        <v>1</v>
      </c>
      <c r="F1551" t="s">
        <v>2082</v>
      </c>
    </row>
    <row r="1552" spans="1:6" x14ac:dyDescent="0.25">
      <c r="A1552" t="s">
        <v>1731</v>
      </c>
      <c r="B1552" t="s">
        <v>405</v>
      </c>
      <c r="C1552" t="s">
        <v>90</v>
      </c>
      <c r="D1552" t="str">
        <f>HYPERLINK("http://service.sap.com/sap/support/notes/1525215","1525215")</f>
        <v>1525215</v>
      </c>
      <c r="E1552">
        <v>2</v>
      </c>
      <c r="F1552" t="s">
        <v>2083</v>
      </c>
    </row>
    <row r="1553" spans="1:6" x14ac:dyDescent="0.25">
      <c r="A1553" t="s">
        <v>1731</v>
      </c>
      <c r="B1553" t="s">
        <v>405</v>
      </c>
      <c r="C1553" t="s">
        <v>90</v>
      </c>
      <c r="D1553" t="str">
        <f>HYPERLINK("http://service.sap.com/sap/support/notes/1532639","1532639")</f>
        <v>1532639</v>
      </c>
      <c r="E1553">
        <v>1</v>
      </c>
      <c r="F1553" t="s">
        <v>2084</v>
      </c>
    </row>
    <row r="1554" spans="1:6" x14ac:dyDescent="0.25">
      <c r="A1554" t="s">
        <v>1731</v>
      </c>
      <c r="B1554" t="s">
        <v>405</v>
      </c>
      <c r="C1554" t="s">
        <v>90</v>
      </c>
      <c r="D1554" t="str">
        <f>HYPERLINK("http://service.sap.com/sap/support/notes/1532653","1532653")</f>
        <v>1532653</v>
      </c>
      <c r="E1554">
        <v>2</v>
      </c>
      <c r="F1554" t="s">
        <v>2085</v>
      </c>
    </row>
    <row r="1555" spans="1:6" x14ac:dyDescent="0.25">
      <c r="A1555" t="s">
        <v>1731</v>
      </c>
      <c r="B1555" t="s">
        <v>405</v>
      </c>
      <c r="C1555" t="s">
        <v>90</v>
      </c>
      <c r="D1555" t="str">
        <f>HYPERLINK("http://service.sap.com/sap/support/notes/1535396","1535396")</f>
        <v>1535396</v>
      </c>
      <c r="E1555">
        <v>1</v>
      </c>
      <c r="F1555" t="s">
        <v>2086</v>
      </c>
    </row>
    <row r="1556" spans="1:6" x14ac:dyDescent="0.25">
      <c r="A1556" t="s">
        <v>1731</v>
      </c>
      <c r="B1556" t="s">
        <v>405</v>
      </c>
      <c r="C1556" t="s">
        <v>90</v>
      </c>
      <c r="D1556" t="str">
        <f>HYPERLINK("http://service.sap.com/sap/support/notes/1536081","1536081")</f>
        <v>1536081</v>
      </c>
      <c r="E1556">
        <v>2</v>
      </c>
      <c r="F1556" t="s">
        <v>2087</v>
      </c>
    </row>
    <row r="1557" spans="1:6" x14ac:dyDescent="0.25">
      <c r="A1557" t="s">
        <v>1731</v>
      </c>
      <c r="B1557" t="s">
        <v>405</v>
      </c>
      <c r="C1557" t="s">
        <v>90</v>
      </c>
      <c r="D1557" t="str">
        <f>HYPERLINK("http://service.sap.com/sap/support/notes/1544188","1544188")</f>
        <v>1544188</v>
      </c>
      <c r="E1557">
        <v>1</v>
      </c>
      <c r="F1557" t="s">
        <v>2088</v>
      </c>
    </row>
    <row r="1558" spans="1:6" x14ac:dyDescent="0.25">
      <c r="A1558" t="s">
        <v>1731</v>
      </c>
      <c r="B1558" t="s">
        <v>411</v>
      </c>
      <c r="C1558" t="s">
        <v>412</v>
      </c>
      <c r="D1558" t="str">
        <f>HYPERLINK("http://service.sap.com/sap/support/notes/1508964","1508964")</f>
        <v>1508964</v>
      </c>
      <c r="E1558">
        <v>2</v>
      </c>
      <c r="F1558" t="s">
        <v>2089</v>
      </c>
    </row>
    <row r="1559" spans="1:6" x14ac:dyDescent="0.25">
      <c r="A1559" t="s">
        <v>1731</v>
      </c>
      <c r="B1559" t="s">
        <v>411</v>
      </c>
      <c r="C1559" t="s">
        <v>412</v>
      </c>
      <c r="D1559" t="str">
        <f>HYPERLINK("http://service.sap.com/sap/support/notes/1538759","1538759")</f>
        <v>1538759</v>
      </c>
      <c r="E1559">
        <v>1</v>
      </c>
      <c r="F1559" t="s">
        <v>2090</v>
      </c>
    </row>
    <row r="1560" spans="1:6" x14ac:dyDescent="0.25">
      <c r="A1560" t="s">
        <v>1731</v>
      </c>
      <c r="B1560" t="s">
        <v>411</v>
      </c>
      <c r="C1560" t="s">
        <v>412</v>
      </c>
      <c r="D1560" t="str">
        <f>HYPERLINK("http://service.sap.com/sap/support/notes/1539354","1539354")</f>
        <v>1539354</v>
      </c>
      <c r="E1560">
        <v>1</v>
      </c>
      <c r="F1560" t="s">
        <v>2091</v>
      </c>
    </row>
    <row r="1561" spans="1:6" x14ac:dyDescent="0.25">
      <c r="A1561" t="s">
        <v>1731</v>
      </c>
      <c r="B1561" t="s">
        <v>415</v>
      </c>
      <c r="C1561" t="s">
        <v>416</v>
      </c>
      <c r="D1561" t="str">
        <f>HYPERLINK("http://service.sap.com/sap/support/notes/1531052","1531052")</f>
        <v>1531052</v>
      </c>
      <c r="E1561">
        <v>1</v>
      </c>
      <c r="F1561" t="s">
        <v>2092</v>
      </c>
    </row>
    <row r="1562" spans="1:6" x14ac:dyDescent="0.25">
      <c r="A1562" t="s">
        <v>1731</v>
      </c>
      <c r="B1562" t="s">
        <v>415</v>
      </c>
      <c r="C1562" t="s">
        <v>416</v>
      </c>
      <c r="D1562" t="str">
        <f>HYPERLINK("http://service.sap.com/sap/support/notes/1532090","1532090")</f>
        <v>1532090</v>
      </c>
      <c r="E1562">
        <v>4</v>
      </c>
      <c r="F1562" t="s">
        <v>2093</v>
      </c>
    </row>
    <row r="1563" spans="1:6" x14ac:dyDescent="0.25">
      <c r="A1563" t="s">
        <v>1731</v>
      </c>
      <c r="B1563" t="s">
        <v>415</v>
      </c>
      <c r="C1563" t="s">
        <v>416</v>
      </c>
      <c r="D1563" t="str">
        <f>HYPERLINK("http://service.sap.com/sap/support/notes/1533909","1533909")</f>
        <v>1533909</v>
      </c>
      <c r="E1563">
        <v>1</v>
      </c>
      <c r="F1563" t="s">
        <v>2094</v>
      </c>
    </row>
    <row r="1564" spans="1:6" x14ac:dyDescent="0.25">
      <c r="A1564" t="s">
        <v>1731</v>
      </c>
      <c r="B1564" t="s">
        <v>415</v>
      </c>
      <c r="C1564" t="s">
        <v>416</v>
      </c>
      <c r="D1564" t="str">
        <f>HYPERLINK("http://service.sap.com/sap/support/notes/1538094","1538094")</f>
        <v>1538094</v>
      </c>
      <c r="E1564">
        <v>1</v>
      </c>
      <c r="F1564" t="s">
        <v>2095</v>
      </c>
    </row>
    <row r="1565" spans="1:6" x14ac:dyDescent="0.25">
      <c r="A1565" t="s">
        <v>1731</v>
      </c>
      <c r="B1565" t="s">
        <v>415</v>
      </c>
      <c r="C1565" t="s">
        <v>416</v>
      </c>
      <c r="D1565" t="str">
        <f>HYPERLINK("http://service.sap.com/sap/support/notes/1541082","1541082")</f>
        <v>1541082</v>
      </c>
      <c r="E1565">
        <v>2</v>
      </c>
      <c r="F1565" t="s">
        <v>2096</v>
      </c>
    </row>
    <row r="1566" spans="1:6" x14ac:dyDescent="0.25">
      <c r="A1566" t="s">
        <v>1731</v>
      </c>
      <c r="B1566" t="s">
        <v>415</v>
      </c>
      <c r="C1566" t="s">
        <v>416</v>
      </c>
      <c r="D1566" t="str">
        <f>HYPERLINK("http://service.sap.com/sap/support/notes/1543585","1543585")</f>
        <v>1543585</v>
      </c>
      <c r="E1566">
        <v>1</v>
      </c>
      <c r="F1566" t="s">
        <v>2097</v>
      </c>
    </row>
    <row r="1567" spans="1:6" x14ac:dyDescent="0.25">
      <c r="A1567" t="s">
        <v>1731</v>
      </c>
      <c r="B1567" t="s">
        <v>425</v>
      </c>
      <c r="C1567" t="s">
        <v>426</v>
      </c>
      <c r="D1567" t="str">
        <f>HYPERLINK("http://service.sap.com/sap/support/notes/1488474","1488474")</f>
        <v>1488474</v>
      </c>
      <c r="E1567">
        <v>1</v>
      </c>
      <c r="F1567" t="s">
        <v>427</v>
      </c>
    </row>
    <row r="1568" spans="1:6" x14ac:dyDescent="0.25">
      <c r="A1568" t="s">
        <v>1731</v>
      </c>
      <c r="B1568" t="s">
        <v>425</v>
      </c>
      <c r="C1568" t="s">
        <v>426</v>
      </c>
      <c r="D1568" t="str">
        <f>HYPERLINK("http://service.sap.com/sap/support/notes/1514859","1514859")</f>
        <v>1514859</v>
      </c>
      <c r="E1568">
        <v>1</v>
      </c>
      <c r="F1568" t="s">
        <v>2098</v>
      </c>
    </row>
    <row r="1569" spans="1:6" x14ac:dyDescent="0.25">
      <c r="A1569" t="s">
        <v>1731</v>
      </c>
      <c r="B1569" t="s">
        <v>425</v>
      </c>
      <c r="C1569" t="s">
        <v>426</v>
      </c>
      <c r="D1569" t="str">
        <f>HYPERLINK("http://service.sap.com/sap/support/notes/1537549","1537549")</f>
        <v>1537549</v>
      </c>
      <c r="E1569">
        <v>1</v>
      </c>
      <c r="F1569" t="s">
        <v>2099</v>
      </c>
    </row>
    <row r="1570" spans="1:6" x14ac:dyDescent="0.25">
      <c r="A1570" t="s">
        <v>1731</v>
      </c>
      <c r="B1570" t="s">
        <v>425</v>
      </c>
      <c r="C1570" t="s">
        <v>426</v>
      </c>
      <c r="D1570" t="str">
        <f>HYPERLINK("http://service.sap.com/sap/support/notes/1540767","1540767")</f>
        <v>1540767</v>
      </c>
      <c r="E1570">
        <v>1</v>
      </c>
      <c r="F1570" t="s">
        <v>2100</v>
      </c>
    </row>
    <row r="1571" spans="1:6" x14ac:dyDescent="0.25">
      <c r="A1571" t="s">
        <v>1731</v>
      </c>
      <c r="B1571" t="s">
        <v>431</v>
      </c>
      <c r="C1571" t="s">
        <v>432</v>
      </c>
      <c r="D1571" t="str">
        <f>HYPERLINK("http://service.sap.com/sap/support/notes/1516268","1516268")</f>
        <v>1516268</v>
      </c>
      <c r="E1571">
        <v>1</v>
      </c>
      <c r="F1571" t="s">
        <v>2101</v>
      </c>
    </row>
    <row r="1572" spans="1:6" x14ac:dyDescent="0.25">
      <c r="A1572" t="s">
        <v>1731</v>
      </c>
      <c r="B1572" t="s">
        <v>431</v>
      </c>
      <c r="C1572" t="s">
        <v>432</v>
      </c>
      <c r="D1572" t="str">
        <f>HYPERLINK("http://service.sap.com/sap/support/notes/1532698","1532698")</f>
        <v>1532698</v>
      </c>
      <c r="E1572">
        <v>1</v>
      </c>
      <c r="F1572" t="s">
        <v>2102</v>
      </c>
    </row>
    <row r="1573" spans="1:6" x14ac:dyDescent="0.25">
      <c r="A1573" t="s">
        <v>1731</v>
      </c>
      <c r="B1573" t="s">
        <v>436</v>
      </c>
      <c r="C1573" t="s">
        <v>437</v>
      </c>
      <c r="D1573" t="str">
        <f>HYPERLINK("http://service.sap.com/sap/support/notes/1515146","1515146")</f>
        <v>1515146</v>
      </c>
      <c r="E1573">
        <v>1</v>
      </c>
      <c r="F1573" t="s">
        <v>2103</v>
      </c>
    </row>
    <row r="1574" spans="1:6" x14ac:dyDescent="0.25">
      <c r="A1574" t="s">
        <v>1731</v>
      </c>
      <c r="B1574" t="s">
        <v>440</v>
      </c>
      <c r="C1574" t="s">
        <v>441</v>
      </c>
      <c r="D1574" t="str">
        <f>HYPERLINK("http://service.sap.com/sap/support/notes/1060820","1060820")</f>
        <v>1060820</v>
      </c>
      <c r="E1574">
        <v>1</v>
      </c>
      <c r="F1574" t="s">
        <v>2104</v>
      </c>
    </row>
    <row r="1575" spans="1:6" x14ac:dyDescent="0.25">
      <c r="A1575" t="s">
        <v>1731</v>
      </c>
      <c r="B1575" t="s">
        <v>440</v>
      </c>
      <c r="C1575" t="s">
        <v>441</v>
      </c>
      <c r="D1575" t="str">
        <f>HYPERLINK("http://service.sap.com/sap/support/notes/1526019","1526019")</f>
        <v>1526019</v>
      </c>
      <c r="E1575">
        <v>3</v>
      </c>
      <c r="F1575" t="s">
        <v>2105</v>
      </c>
    </row>
    <row r="1576" spans="1:6" x14ac:dyDescent="0.25">
      <c r="A1576" t="s">
        <v>1731</v>
      </c>
      <c r="B1576" t="s">
        <v>440</v>
      </c>
      <c r="C1576" t="s">
        <v>441</v>
      </c>
      <c r="D1576" t="str">
        <f>HYPERLINK("http://service.sap.com/sap/support/notes/1534792","1534792")</f>
        <v>1534792</v>
      </c>
      <c r="E1576">
        <v>2</v>
      </c>
      <c r="F1576" t="s">
        <v>2106</v>
      </c>
    </row>
    <row r="1577" spans="1:6" x14ac:dyDescent="0.25">
      <c r="A1577" t="s">
        <v>1731</v>
      </c>
      <c r="B1577" t="s">
        <v>440</v>
      </c>
      <c r="C1577" t="s">
        <v>441</v>
      </c>
      <c r="D1577" t="str">
        <f>HYPERLINK("http://service.sap.com/sap/support/notes/1535784","1535784")</f>
        <v>1535784</v>
      </c>
      <c r="E1577">
        <v>6</v>
      </c>
      <c r="F1577" t="s">
        <v>2107</v>
      </c>
    </row>
    <row r="1578" spans="1:6" x14ac:dyDescent="0.25">
      <c r="A1578" t="s">
        <v>1731</v>
      </c>
      <c r="B1578" t="s">
        <v>440</v>
      </c>
      <c r="C1578" t="s">
        <v>441</v>
      </c>
      <c r="D1578" t="str">
        <f>HYPERLINK("http://service.sap.com/sap/support/notes/1538311","1538311")</f>
        <v>1538311</v>
      </c>
      <c r="E1578">
        <v>3</v>
      </c>
      <c r="F1578" t="s">
        <v>2108</v>
      </c>
    </row>
    <row r="1579" spans="1:6" x14ac:dyDescent="0.25">
      <c r="A1579" t="s">
        <v>1731</v>
      </c>
      <c r="B1579" t="s">
        <v>440</v>
      </c>
      <c r="C1579" t="s">
        <v>441</v>
      </c>
      <c r="D1579" t="str">
        <f>HYPERLINK("http://service.sap.com/sap/support/notes/1538372","1538372")</f>
        <v>1538372</v>
      </c>
      <c r="E1579">
        <v>2</v>
      </c>
      <c r="F1579" t="s">
        <v>2109</v>
      </c>
    </row>
    <row r="1580" spans="1:6" x14ac:dyDescent="0.25">
      <c r="A1580" t="s">
        <v>1731</v>
      </c>
      <c r="B1580" t="s">
        <v>449</v>
      </c>
      <c r="C1580" t="s">
        <v>450</v>
      </c>
      <c r="D1580" t="str">
        <f>HYPERLINK("http://service.sap.com/sap/support/notes/1481454","1481454")</f>
        <v>1481454</v>
      </c>
      <c r="E1580">
        <v>3</v>
      </c>
      <c r="F1580" t="s">
        <v>2110</v>
      </c>
    </row>
    <row r="1581" spans="1:6" x14ac:dyDescent="0.25">
      <c r="A1581" t="s">
        <v>1731</v>
      </c>
      <c r="B1581" t="s">
        <v>449</v>
      </c>
      <c r="C1581" t="s">
        <v>450</v>
      </c>
      <c r="D1581" t="str">
        <f>HYPERLINK("http://service.sap.com/sap/support/notes/1533359","1533359")</f>
        <v>1533359</v>
      </c>
      <c r="E1581">
        <v>2</v>
      </c>
      <c r="F1581" t="s">
        <v>2111</v>
      </c>
    </row>
    <row r="1582" spans="1:6" x14ac:dyDescent="0.25">
      <c r="A1582" t="s">
        <v>1731</v>
      </c>
      <c r="B1582" t="s">
        <v>449</v>
      </c>
      <c r="C1582" t="s">
        <v>450</v>
      </c>
      <c r="D1582" t="str">
        <f>HYPERLINK("http://service.sap.com/sap/support/notes/1536935","1536935")</f>
        <v>1536935</v>
      </c>
      <c r="E1582">
        <v>3</v>
      </c>
      <c r="F1582" t="s">
        <v>2112</v>
      </c>
    </row>
    <row r="1583" spans="1:6" x14ac:dyDescent="0.25">
      <c r="A1583" t="s">
        <v>1731</v>
      </c>
      <c r="B1583" t="s">
        <v>460</v>
      </c>
      <c r="C1583" t="s">
        <v>461</v>
      </c>
      <c r="D1583" t="str">
        <f>HYPERLINK("http://service.sap.com/sap/support/notes/1526749","1526749")</f>
        <v>1526749</v>
      </c>
      <c r="E1583">
        <v>1</v>
      </c>
      <c r="F1583" t="s">
        <v>2113</v>
      </c>
    </row>
    <row r="1584" spans="1:6" x14ac:dyDescent="0.25">
      <c r="A1584" t="s">
        <v>1731</v>
      </c>
      <c r="B1584" t="s">
        <v>460</v>
      </c>
      <c r="C1584" t="s">
        <v>461</v>
      </c>
      <c r="D1584" t="str">
        <f>HYPERLINK("http://service.sap.com/sap/support/notes/1530722","1530722")</f>
        <v>1530722</v>
      </c>
      <c r="E1584">
        <v>1</v>
      </c>
      <c r="F1584" t="s">
        <v>2114</v>
      </c>
    </row>
    <row r="1585" spans="1:6" x14ac:dyDescent="0.25">
      <c r="A1585" t="s">
        <v>1731</v>
      </c>
      <c r="B1585" t="s">
        <v>460</v>
      </c>
      <c r="C1585" t="s">
        <v>461</v>
      </c>
      <c r="D1585" t="str">
        <f>HYPERLINK("http://service.sap.com/sap/support/notes/1537796","1537796")</f>
        <v>1537796</v>
      </c>
      <c r="E1585">
        <v>1</v>
      </c>
      <c r="F1585" t="s">
        <v>2115</v>
      </c>
    </row>
    <row r="1586" spans="1:6" x14ac:dyDescent="0.25">
      <c r="A1586" t="s">
        <v>1731</v>
      </c>
      <c r="B1586" t="s">
        <v>460</v>
      </c>
      <c r="C1586" t="s">
        <v>461</v>
      </c>
      <c r="D1586" t="str">
        <f>HYPERLINK("http://service.sap.com/sap/support/notes/1543287","1543287")</f>
        <v>1543287</v>
      </c>
      <c r="E1586">
        <v>3</v>
      </c>
      <c r="F1586" t="s">
        <v>2116</v>
      </c>
    </row>
    <row r="1587" spans="1:6" x14ac:dyDescent="0.25">
      <c r="A1587" t="s">
        <v>1731</v>
      </c>
      <c r="B1587" t="s">
        <v>460</v>
      </c>
      <c r="C1587" t="s">
        <v>461</v>
      </c>
      <c r="D1587" t="str">
        <f>HYPERLINK("http://service.sap.com/sap/support/notes/1543374","1543374")</f>
        <v>1543374</v>
      </c>
      <c r="E1587">
        <v>2</v>
      </c>
      <c r="F1587" t="s">
        <v>2117</v>
      </c>
    </row>
    <row r="1588" spans="1:6" x14ac:dyDescent="0.25">
      <c r="A1588" t="s">
        <v>1731</v>
      </c>
      <c r="B1588" t="s">
        <v>460</v>
      </c>
      <c r="C1588" t="s">
        <v>461</v>
      </c>
      <c r="D1588" t="str">
        <f>HYPERLINK("http://service.sap.com/sap/support/notes/1544223","1544223")</f>
        <v>1544223</v>
      </c>
      <c r="E1588">
        <v>1</v>
      </c>
      <c r="F1588" t="s">
        <v>2118</v>
      </c>
    </row>
    <row r="1589" spans="1:6" x14ac:dyDescent="0.25">
      <c r="A1589" t="s">
        <v>1731</v>
      </c>
      <c r="B1589" t="s">
        <v>472</v>
      </c>
      <c r="C1589" t="s">
        <v>473</v>
      </c>
      <c r="D1589" t="str">
        <f>HYPERLINK("http://service.sap.com/sap/support/notes/1174708","1174708")</f>
        <v>1174708</v>
      </c>
      <c r="E1589">
        <v>1</v>
      </c>
      <c r="F1589" t="s">
        <v>1256</v>
      </c>
    </row>
    <row r="1590" spans="1:6" x14ac:dyDescent="0.25">
      <c r="A1590" t="s">
        <v>1731</v>
      </c>
      <c r="B1590" t="s">
        <v>472</v>
      </c>
      <c r="C1590" t="s">
        <v>473</v>
      </c>
      <c r="D1590" t="str">
        <f>HYPERLINK("http://service.sap.com/sap/support/notes/1235938","1235938")</f>
        <v>1235938</v>
      </c>
      <c r="E1590">
        <v>8</v>
      </c>
      <c r="F1590" t="s">
        <v>1434</v>
      </c>
    </row>
    <row r="1591" spans="1:6" x14ac:dyDescent="0.25">
      <c r="A1591" t="s">
        <v>1731</v>
      </c>
      <c r="B1591" t="s">
        <v>472</v>
      </c>
      <c r="C1591" t="s">
        <v>473</v>
      </c>
      <c r="D1591" t="str">
        <f>HYPERLINK("http://service.sap.com/sap/support/notes/1401630","1401630")</f>
        <v>1401630</v>
      </c>
      <c r="E1591">
        <v>2</v>
      </c>
      <c r="F1591" t="s">
        <v>2119</v>
      </c>
    </row>
    <row r="1592" spans="1:6" x14ac:dyDescent="0.25">
      <c r="A1592" t="s">
        <v>1731</v>
      </c>
      <c r="B1592" t="s">
        <v>472</v>
      </c>
      <c r="C1592" t="s">
        <v>473</v>
      </c>
      <c r="D1592" t="str">
        <f>HYPERLINK("http://service.sap.com/sap/support/notes/1515770","1515770")</f>
        <v>1515770</v>
      </c>
      <c r="E1592">
        <v>1</v>
      </c>
      <c r="F1592" t="s">
        <v>2120</v>
      </c>
    </row>
    <row r="1593" spans="1:6" x14ac:dyDescent="0.25">
      <c r="A1593" t="s">
        <v>1731</v>
      </c>
      <c r="B1593" t="s">
        <v>472</v>
      </c>
      <c r="C1593" t="s">
        <v>473</v>
      </c>
      <c r="D1593" t="str">
        <f>HYPERLINK("http://service.sap.com/sap/support/notes/1532024","1532024")</f>
        <v>1532024</v>
      </c>
      <c r="E1593">
        <v>1</v>
      </c>
      <c r="F1593" t="s">
        <v>2121</v>
      </c>
    </row>
    <row r="1594" spans="1:6" x14ac:dyDescent="0.25">
      <c r="A1594" t="s">
        <v>1731</v>
      </c>
      <c r="B1594" t="s">
        <v>472</v>
      </c>
      <c r="C1594" t="s">
        <v>473</v>
      </c>
      <c r="D1594" t="str">
        <f>HYPERLINK("http://service.sap.com/sap/support/notes/1532666","1532666")</f>
        <v>1532666</v>
      </c>
      <c r="E1594">
        <v>1</v>
      </c>
      <c r="F1594" t="s">
        <v>2122</v>
      </c>
    </row>
    <row r="1595" spans="1:6" x14ac:dyDescent="0.25">
      <c r="A1595" t="s">
        <v>1731</v>
      </c>
      <c r="B1595" t="s">
        <v>472</v>
      </c>
      <c r="C1595" t="s">
        <v>473</v>
      </c>
      <c r="D1595" t="str">
        <f>HYPERLINK("http://service.sap.com/sap/support/notes/1538613","1538613")</f>
        <v>1538613</v>
      </c>
      <c r="E1595">
        <v>1</v>
      </c>
      <c r="F1595" t="s">
        <v>2123</v>
      </c>
    </row>
    <row r="1596" spans="1:6" x14ac:dyDescent="0.25">
      <c r="A1596" t="s">
        <v>1731</v>
      </c>
      <c r="B1596" t="s">
        <v>472</v>
      </c>
      <c r="C1596" t="s">
        <v>473</v>
      </c>
      <c r="D1596" t="str">
        <f>HYPERLINK("http://service.sap.com/sap/support/notes/1538622","1538622")</f>
        <v>1538622</v>
      </c>
      <c r="E1596">
        <v>1</v>
      </c>
      <c r="F1596" t="s">
        <v>2124</v>
      </c>
    </row>
    <row r="1597" spans="1:6" x14ac:dyDescent="0.25">
      <c r="A1597" t="s">
        <v>1731</v>
      </c>
      <c r="B1597" t="s">
        <v>472</v>
      </c>
      <c r="C1597" t="s">
        <v>473</v>
      </c>
      <c r="D1597" t="str">
        <f>HYPERLINK("http://service.sap.com/sap/support/notes/1539174","1539174")</f>
        <v>1539174</v>
      </c>
      <c r="E1597">
        <v>1</v>
      </c>
      <c r="F1597" t="s">
        <v>2125</v>
      </c>
    </row>
    <row r="1598" spans="1:6" x14ac:dyDescent="0.25">
      <c r="A1598" t="s">
        <v>1731</v>
      </c>
      <c r="B1598" t="s">
        <v>472</v>
      </c>
      <c r="C1598" t="s">
        <v>473</v>
      </c>
      <c r="D1598" t="str">
        <f>HYPERLINK("http://service.sap.com/sap/support/notes/1540166","1540166")</f>
        <v>1540166</v>
      </c>
      <c r="E1598">
        <v>1</v>
      </c>
      <c r="F1598" t="s">
        <v>2126</v>
      </c>
    </row>
    <row r="1599" spans="1:6" x14ac:dyDescent="0.25">
      <c r="A1599" t="s">
        <v>1731</v>
      </c>
      <c r="B1599" t="s">
        <v>472</v>
      </c>
      <c r="C1599" t="s">
        <v>473</v>
      </c>
      <c r="D1599" t="str">
        <f>HYPERLINK("http://service.sap.com/sap/support/notes/1540790","1540790")</f>
        <v>1540790</v>
      </c>
      <c r="E1599">
        <v>1</v>
      </c>
      <c r="F1599" t="s">
        <v>2127</v>
      </c>
    </row>
    <row r="1600" spans="1:6" x14ac:dyDescent="0.25">
      <c r="A1600" t="s">
        <v>1731</v>
      </c>
      <c r="B1600" t="s">
        <v>472</v>
      </c>
      <c r="C1600" t="s">
        <v>473</v>
      </c>
      <c r="D1600" t="str">
        <f>HYPERLINK("http://service.sap.com/sap/support/notes/1541732","1541732")</f>
        <v>1541732</v>
      </c>
      <c r="E1600">
        <v>1</v>
      </c>
      <c r="F1600" t="s">
        <v>2128</v>
      </c>
    </row>
    <row r="1601" spans="1:6" x14ac:dyDescent="0.25">
      <c r="A1601" t="s">
        <v>1731</v>
      </c>
      <c r="B1601" t="s">
        <v>472</v>
      </c>
      <c r="C1601" t="s">
        <v>473</v>
      </c>
      <c r="D1601" t="str">
        <f>HYPERLINK("http://service.sap.com/sap/support/notes/1542298","1542298")</f>
        <v>1542298</v>
      </c>
      <c r="E1601">
        <v>1</v>
      </c>
      <c r="F1601" t="s">
        <v>2129</v>
      </c>
    </row>
    <row r="1602" spans="1:6" x14ac:dyDescent="0.25">
      <c r="A1602" t="s">
        <v>1731</v>
      </c>
      <c r="B1602" t="s">
        <v>472</v>
      </c>
      <c r="C1602" t="s">
        <v>473</v>
      </c>
      <c r="D1602" t="str">
        <f>HYPERLINK("http://service.sap.com/sap/support/notes/1542321","1542321")</f>
        <v>1542321</v>
      </c>
      <c r="E1602">
        <v>1</v>
      </c>
      <c r="F1602" t="s">
        <v>2130</v>
      </c>
    </row>
    <row r="1603" spans="1:6" x14ac:dyDescent="0.25">
      <c r="A1603" t="s">
        <v>1731</v>
      </c>
      <c r="B1603" t="s">
        <v>472</v>
      </c>
      <c r="C1603" t="s">
        <v>473</v>
      </c>
      <c r="D1603" t="str">
        <f>HYPERLINK("http://service.sap.com/sap/support/notes/1542519","1542519")</f>
        <v>1542519</v>
      </c>
      <c r="E1603">
        <v>1</v>
      </c>
      <c r="F1603" t="s">
        <v>2131</v>
      </c>
    </row>
    <row r="1604" spans="1:6" x14ac:dyDescent="0.25">
      <c r="A1604" t="s">
        <v>1731</v>
      </c>
      <c r="B1604" t="s">
        <v>479</v>
      </c>
      <c r="C1604" t="s">
        <v>480</v>
      </c>
      <c r="D1604" t="str">
        <f>HYPERLINK("http://service.sap.com/sap/support/notes/1477037","1477037")</f>
        <v>1477037</v>
      </c>
      <c r="E1604">
        <v>1</v>
      </c>
      <c r="F1604" t="s">
        <v>481</v>
      </c>
    </row>
    <row r="1605" spans="1:6" x14ac:dyDescent="0.25">
      <c r="A1605" t="s">
        <v>1731</v>
      </c>
      <c r="B1605" t="s">
        <v>479</v>
      </c>
      <c r="C1605" t="s">
        <v>480</v>
      </c>
      <c r="D1605" t="str">
        <f>HYPERLINK("http://service.sap.com/sap/support/notes/1479081","1479081")</f>
        <v>1479081</v>
      </c>
      <c r="E1605">
        <v>1</v>
      </c>
      <c r="F1605" t="s">
        <v>2132</v>
      </c>
    </row>
    <row r="1606" spans="1:6" x14ac:dyDescent="0.25">
      <c r="A1606" t="s">
        <v>1731</v>
      </c>
      <c r="B1606" t="s">
        <v>479</v>
      </c>
      <c r="C1606" t="s">
        <v>480</v>
      </c>
      <c r="D1606" t="str">
        <f>HYPERLINK("http://service.sap.com/sap/support/notes/1524226","1524226")</f>
        <v>1524226</v>
      </c>
      <c r="E1606">
        <v>2</v>
      </c>
      <c r="F1606" t="s">
        <v>2133</v>
      </c>
    </row>
    <row r="1607" spans="1:6" x14ac:dyDescent="0.25">
      <c r="A1607" t="s">
        <v>1731</v>
      </c>
      <c r="B1607" t="s">
        <v>479</v>
      </c>
      <c r="C1607" t="s">
        <v>480</v>
      </c>
      <c r="D1607" t="str">
        <f>HYPERLINK("http://service.sap.com/sap/support/notes/1528718","1528718")</f>
        <v>1528718</v>
      </c>
      <c r="E1607">
        <v>1</v>
      </c>
      <c r="F1607" t="s">
        <v>2134</v>
      </c>
    </row>
    <row r="1608" spans="1:6" x14ac:dyDescent="0.25">
      <c r="A1608" t="s">
        <v>1731</v>
      </c>
      <c r="B1608" t="s">
        <v>479</v>
      </c>
      <c r="C1608" t="s">
        <v>480</v>
      </c>
      <c r="D1608" t="str">
        <f>HYPERLINK("http://service.sap.com/sap/support/notes/1531745","1531745")</f>
        <v>1531745</v>
      </c>
      <c r="E1608">
        <v>1</v>
      </c>
      <c r="F1608" t="s">
        <v>2135</v>
      </c>
    </row>
    <row r="1609" spans="1:6" x14ac:dyDescent="0.25">
      <c r="A1609" t="s">
        <v>1731</v>
      </c>
      <c r="B1609" t="s">
        <v>479</v>
      </c>
      <c r="C1609" t="s">
        <v>480</v>
      </c>
      <c r="D1609" t="str">
        <f>HYPERLINK("http://service.sap.com/sap/support/notes/1541618","1541618")</f>
        <v>1541618</v>
      </c>
      <c r="E1609">
        <v>1</v>
      </c>
      <c r="F1609" t="s">
        <v>2136</v>
      </c>
    </row>
    <row r="1610" spans="1:6" x14ac:dyDescent="0.25">
      <c r="A1610" t="s">
        <v>1731</v>
      </c>
      <c r="B1610" t="s">
        <v>489</v>
      </c>
      <c r="C1610" t="s">
        <v>104</v>
      </c>
      <c r="D1610" t="str">
        <f>HYPERLINK("http://service.sap.com/sap/support/notes/1534433","1534433")</f>
        <v>1534433</v>
      </c>
      <c r="E1610">
        <v>1</v>
      </c>
      <c r="F1610" t="s">
        <v>2137</v>
      </c>
    </row>
    <row r="1611" spans="1:6" x14ac:dyDescent="0.25">
      <c r="A1611" t="s">
        <v>1731</v>
      </c>
      <c r="B1611" t="s">
        <v>489</v>
      </c>
      <c r="C1611" t="s">
        <v>104</v>
      </c>
      <c r="D1611" t="str">
        <f>HYPERLINK("http://service.sap.com/sap/support/notes/1534939","1534939")</f>
        <v>1534939</v>
      </c>
      <c r="E1611">
        <v>1</v>
      </c>
      <c r="F1611" t="s">
        <v>2138</v>
      </c>
    </row>
    <row r="1612" spans="1:6" x14ac:dyDescent="0.25">
      <c r="A1612" t="s">
        <v>1731</v>
      </c>
      <c r="B1612" t="s">
        <v>489</v>
      </c>
      <c r="C1612" t="s">
        <v>104</v>
      </c>
      <c r="D1612" t="str">
        <f>HYPERLINK("http://service.sap.com/sap/support/notes/1539123","1539123")</f>
        <v>1539123</v>
      </c>
      <c r="E1612">
        <v>1</v>
      </c>
      <c r="F1612" t="s">
        <v>2139</v>
      </c>
    </row>
    <row r="1613" spans="1:6" x14ac:dyDescent="0.25">
      <c r="A1613" t="s">
        <v>1731</v>
      </c>
      <c r="B1613" t="s">
        <v>489</v>
      </c>
      <c r="C1613" t="s">
        <v>104</v>
      </c>
      <c r="D1613" t="str">
        <f>HYPERLINK("http://service.sap.com/sap/support/notes/1543799","1543799")</f>
        <v>1543799</v>
      </c>
      <c r="E1613">
        <v>1</v>
      </c>
      <c r="F1613" t="s">
        <v>2140</v>
      </c>
    </row>
    <row r="1614" spans="1:6" x14ac:dyDescent="0.25">
      <c r="A1614" t="s">
        <v>1731</v>
      </c>
      <c r="B1614" t="s">
        <v>495</v>
      </c>
      <c r="C1614" t="s">
        <v>496</v>
      </c>
      <c r="D1614" t="str">
        <f>HYPERLINK("http://service.sap.com/sap/support/notes/1344575","1344575")</f>
        <v>1344575</v>
      </c>
      <c r="E1614">
        <v>8</v>
      </c>
      <c r="F1614" t="s">
        <v>2141</v>
      </c>
    </row>
    <row r="1615" spans="1:6" x14ac:dyDescent="0.25">
      <c r="A1615" t="s">
        <v>1731</v>
      </c>
      <c r="B1615" t="s">
        <v>495</v>
      </c>
      <c r="C1615" t="s">
        <v>496</v>
      </c>
      <c r="D1615" t="str">
        <f>HYPERLINK("http://service.sap.com/sap/support/notes/1537509","1537509")</f>
        <v>1537509</v>
      </c>
      <c r="E1615">
        <v>3</v>
      </c>
      <c r="F1615" t="s">
        <v>2142</v>
      </c>
    </row>
    <row r="1616" spans="1:6" x14ac:dyDescent="0.25">
      <c r="A1616" t="s">
        <v>1731</v>
      </c>
      <c r="B1616" t="s">
        <v>495</v>
      </c>
      <c r="C1616" t="s">
        <v>496</v>
      </c>
      <c r="D1616" t="str">
        <f>HYPERLINK("http://service.sap.com/sap/support/notes/1538587","1538587")</f>
        <v>1538587</v>
      </c>
      <c r="E1616">
        <v>1</v>
      </c>
      <c r="F1616" t="s">
        <v>2143</v>
      </c>
    </row>
    <row r="1617" spans="1:6" x14ac:dyDescent="0.25">
      <c r="A1617" t="s">
        <v>1731</v>
      </c>
      <c r="B1617" t="s">
        <v>495</v>
      </c>
      <c r="C1617" t="s">
        <v>496</v>
      </c>
      <c r="D1617" t="str">
        <f>HYPERLINK("http://service.sap.com/sap/support/notes/1538589","1538589")</f>
        <v>1538589</v>
      </c>
      <c r="E1617">
        <v>2</v>
      </c>
      <c r="F1617" t="s">
        <v>2144</v>
      </c>
    </row>
    <row r="1618" spans="1:6" x14ac:dyDescent="0.25">
      <c r="A1618" t="s">
        <v>1731</v>
      </c>
      <c r="B1618" t="s">
        <v>495</v>
      </c>
      <c r="C1618" t="s">
        <v>496</v>
      </c>
      <c r="D1618" t="str">
        <f>HYPERLINK("http://service.sap.com/sap/support/notes/1542948","1542948")</f>
        <v>1542948</v>
      </c>
      <c r="E1618">
        <v>2</v>
      </c>
      <c r="F1618" t="s">
        <v>2145</v>
      </c>
    </row>
    <row r="1619" spans="1:6" x14ac:dyDescent="0.25">
      <c r="A1619" t="s">
        <v>1731</v>
      </c>
      <c r="B1619" t="s">
        <v>495</v>
      </c>
      <c r="C1619" t="s">
        <v>496</v>
      </c>
      <c r="D1619" t="str">
        <f>HYPERLINK("http://service.sap.com/sap/support/notes/1543508","1543508")</f>
        <v>1543508</v>
      </c>
      <c r="E1619">
        <v>2</v>
      </c>
      <c r="F1619" t="s">
        <v>2146</v>
      </c>
    </row>
    <row r="1620" spans="1:6" x14ac:dyDescent="0.25">
      <c r="A1620" t="s">
        <v>1731</v>
      </c>
      <c r="B1620" t="s">
        <v>495</v>
      </c>
      <c r="C1620" t="s">
        <v>496</v>
      </c>
      <c r="D1620" t="str">
        <f>HYPERLINK("http://service.sap.com/sap/support/notes/1543850","1543850")</f>
        <v>1543850</v>
      </c>
      <c r="E1620">
        <v>2</v>
      </c>
      <c r="F1620" t="s">
        <v>2147</v>
      </c>
    </row>
    <row r="1621" spans="1:6" x14ac:dyDescent="0.25">
      <c r="A1621" t="s">
        <v>1731</v>
      </c>
      <c r="B1621" t="s">
        <v>499</v>
      </c>
      <c r="C1621" t="s">
        <v>108</v>
      </c>
    </row>
    <row r="1622" spans="1:6" x14ac:dyDescent="0.25">
      <c r="A1622" t="s">
        <v>1731</v>
      </c>
      <c r="B1622" t="s">
        <v>508</v>
      </c>
      <c r="C1622" t="s">
        <v>509</v>
      </c>
      <c r="D1622" t="str">
        <f>HYPERLINK("http://service.sap.com/sap/support/notes/1533172","1533172")</f>
        <v>1533172</v>
      </c>
      <c r="E1622">
        <v>7</v>
      </c>
      <c r="F1622" t="s">
        <v>2148</v>
      </c>
    </row>
    <row r="1623" spans="1:6" x14ac:dyDescent="0.25">
      <c r="A1623" t="s">
        <v>1731</v>
      </c>
      <c r="B1623" t="s">
        <v>508</v>
      </c>
      <c r="C1623" t="s">
        <v>509</v>
      </c>
      <c r="D1623" t="str">
        <f>HYPERLINK("http://service.sap.com/sap/support/notes/1533198","1533198")</f>
        <v>1533198</v>
      </c>
      <c r="E1623">
        <v>2</v>
      </c>
      <c r="F1623" t="s">
        <v>2149</v>
      </c>
    </row>
    <row r="1624" spans="1:6" x14ac:dyDescent="0.25">
      <c r="A1624" t="s">
        <v>1731</v>
      </c>
      <c r="B1624" t="s">
        <v>508</v>
      </c>
      <c r="C1624" t="s">
        <v>509</v>
      </c>
      <c r="D1624" t="str">
        <f>HYPERLINK("http://service.sap.com/sap/support/notes/1533580","1533580")</f>
        <v>1533580</v>
      </c>
      <c r="E1624">
        <v>4</v>
      </c>
      <c r="F1624" t="s">
        <v>2150</v>
      </c>
    </row>
    <row r="1625" spans="1:6" x14ac:dyDescent="0.25">
      <c r="A1625" t="s">
        <v>1731</v>
      </c>
      <c r="B1625" t="s">
        <v>508</v>
      </c>
      <c r="C1625" t="s">
        <v>509</v>
      </c>
      <c r="D1625" t="str">
        <f>HYPERLINK("http://service.sap.com/sap/support/notes/1535728","1535728")</f>
        <v>1535728</v>
      </c>
      <c r="E1625">
        <v>1</v>
      </c>
      <c r="F1625" t="s">
        <v>2151</v>
      </c>
    </row>
    <row r="1626" spans="1:6" x14ac:dyDescent="0.25">
      <c r="A1626" t="s">
        <v>1731</v>
      </c>
      <c r="B1626" t="s">
        <v>508</v>
      </c>
      <c r="C1626" t="s">
        <v>509</v>
      </c>
      <c r="D1626" t="str">
        <f>HYPERLINK("http://service.sap.com/sap/support/notes/1541326","1541326")</f>
        <v>1541326</v>
      </c>
      <c r="E1626">
        <v>4</v>
      </c>
      <c r="F1626" t="s">
        <v>2152</v>
      </c>
    </row>
    <row r="1627" spans="1:6" x14ac:dyDescent="0.25">
      <c r="A1627" t="s">
        <v>1731</v>
      </c>
      <c r="B1627" t="s">
        <v>534</v>
      </c>
      <c r="C1627" t="s">
        <v>535</v>
      </c>
      <c r="D1627" t="str">
        <f>HYPERLINK("http://service.sap.com/sap/support/notes/1495875","1495875")</f>
        <v>1495875</v>
      </c>
      <c r="E1627">
        <v>2</v>
      </c>
      <c r="F1627" t="s">
        <v>2153</v>
      </c>
    </row>
    <row r="1628" spans="1:6" x14ac:dyDescent="0.25">
      <c r="A1628" t="s">
        <v>1731</v>
      </c>
      <c r="B1628" t="s">
        <v>534</v>
      </c>
      <c r="C1628" t="s">
        <v>535</v>
      </c>
      <c r="D1628" t="str">
        <f>HYPERLINK("http://service.sap.com/sap/support/notes/1514075","1514075")</f>
        <v>1514075</v>
      </c>
      <c r="E1628">
        <v>2</v>
      </c>
      <c r="F1628" t="s">
        <v>2154</v>
      </c>
    </row>
    <row r="1629" spans="1:6" x14ac:dyDescent="0.25">
      <c r="A1629" t="s">
        <v>1731</v>
      </c>
      <c r="B1629" t="s">
        <v>534</v>
      </c>
      <c r="C1629" t="s">
        <v>535</v>
      </c>
      <c r="D1629" t="str">
        <f>HYPERLINK("http://service.sap.com/sap/support/notes/1523539","1523539")</f>
        <v>1523539</v>
      </c>
      <c r="E1629">
        <v>3</v>
      </c>
      <c r="F1629" t="s">
        <v>2155</v>
      </c>
    </row>
    <row r="1630" spans="1:6" x14ac:dyDescent="0.25">
      <c r="A1630" t="s">
        <v>1731</v>
      </c>
      <c r="B1630" t="s">
        <v>534</v>
      </c>
      <c r="C1630" t="s">
        <v>535</v>
      </c>
      <c r="D1630" t="str">
        <f>HYPERLINK("http://service.sap.com/sap/support/notes/1540621","1540621")</f>
        <v>1540621</v>
      </c>
      <c r="E1630">
        <v>1</v>
      </c>
      <c r="F1630" t="s">
        <v>2156</v>
      </c>
    </row>
    <row r="1631" spans="1:6" x14ac:dyDescent="0.25">
      <c r="A1631" t="s">
        <v>1731</v>
      </c>
      <c r="B1631" t="s">
        <v>534</v>
      </c>
      <c r="C1631" t="s">
        <v>535</v>
      </c>
      <c r="D1631" t="str">
        <f>HYPERLINK("http://service.sap.com/sap/support/notes/1542165","1542165")</f>
        <v>1542165</v>
      </c>
      <c r="E1631">
        <v>1</v>
      </c>
      <c r="F1631" t="s">
        <v>2157</v>
      </c>
    </row>
    <row r="1632" spans="1:6" x14ac:dyDescent="0.25">
      <c r="A1632" t="s">
        <v>2158</v>
      </c>
      <c r="B1632" t="s">
        <v>5</v>
      </c>
      <c r="C1632" t="s">
        <v>6</v>
      </c>
    </row>
    <row r="1633" spans="1:6" x14ac:dyDescent="0.25">
      <c r="A1633" t="s">
        <v>2158</v>
      </c>
      <c r="B1633" t="s">
        <v>7</v>
      </c>
      <c r="C1633" t="s">
        <v>8</v>
      </c>
    </row>
    <row r="1634" spans="1:6" x14ac:dyDescent="0.25">
      <c r="A1634" t="s">
        <v>2158</v>
      </c>
      <c r="B1634" t="s">
        <v>17</v>
      </c>
      <c r="C1634" t="s">
        <v>18</v>
      </c>
      <c r="D1634" t="str">
        <f>HYPERLINK("http://service.sap.com/sap/support/notes/1550685","1550685")</f>
        <v>1550685</v>
      </c>
      <c r="E1634">
        <v>1</v>
      </c>
      <c r="F1634" t="s">
        <v>1442</v>
      </c>
    </row>
    <row r="1635" spans="1:6" x14ac:dyDescent="0.25">
      <c r="A1635" t="s">
        <v>2158</v>
      </c>
      <c r="B1635" t="s">
        <v>585</v>
      </c>
      <c r="C1635" t="s">
        <v>1443</v>
      </c>
    </row>
    <row r="1636" spans="1:6" x14ac:dyDescent="0.25">
      <c r="A1636" t="s">
        <v>2158</v>
      </c>
      <c r="B1636" t="s">
        <v>586</v>
      </c>
      <c r="C1636" t="s">
        <v>1444</v>
      </c>
    </row>
    <row r="1637" spans="1:6" x14ac:dyDescent="0.25">
      <c r="A1637" t="s">
        <v>2158</v>
      </c>
      <c r="B1637" t="s">
        <v>587</v>
      </c>
      <c r="C1637" t="s">
        <v>1445</v>
      </c>
    </row>
    <row r="1638" spans="1:6" x14ac:dyDescent="0.25">
      <c r="A1638" t="s">
        <v>2158</v>
      </c>
      <c r="B1638" t="s">
        <v>588</v>
      </c>
      <c r="C1638" t="s">
        <v>1446</v>
      </c>
      <c r="D1638" t="str">
        <f>HYPERLINK("http://service.sap.com/sap/support/notes/1501548","1501548")</f>
        <v>1501548</v>
      </c>
      <c r="E1638">
        <v>2</v>
      </c>
      <c r="F1638" t="s">
        <v>1447</v>
      </c>
    </row>
    <row r="1639" spans="1:6" x14ac:dyDescent="0.25">
      <c r="A1639" t="s">
        <v>2158</v>
      </c>
      <c r="B1639" t="s">
        <v>20</v>
      </c>
      <c r="C1639" t="s">
        <v>21</v>
      </c>
    </row>
    <row r="1640" spans="1:6" x14ac:dyDescent="0.25">
      <c r="A1640" t="s">
        <v>2158</v>
      </c>
      <c r="B1640" t="s">
        <v>22</v>
      </c>
      <c r="C1640" t="s">
        <v>23</v>
      </c>
    </row>
    <row r="1641" spans="1:6" x14ac:dyDescent="0.25">
      <c r="A1641" t="s">
        <v>2158</v>
      </c>
      <c r="B1641" t="s">
        <v>24</v>
      </c>
      <c r="C1641" t="s">
        <v>25</v>
      </c>
      <c r="D1641" t="str">
        <f>HYPERLINK("http://service.sap.com/sap/support/notes/1284280","1284280")</f>
        <v>1284280</v>
      </c>
      <c r="E1641">
        <v>3</v>
      </c>
      <c r="F1641" t="s">
        <v>26</v>
      </c>
    </row>
    <row r="1642" spans="1:6" x14ac:dyDescent="0.25">
      <c r="A1642" t="s">
        <v>2158</v>
      </c>
      <c r="B1642" t="s">
        <v>27</v>
      </c>
      <c r="C1642" t="s">
        <v>13</v>
      </c>
    </row>
    <row r="1643" spans="1:6" x14ac:dyDescent="0.25">
      <c r="A1643" t="s">
        <v>2158</v>
      </c>
      <c r="B1643" t="s">
        <v>38</v>
      </c>
      <c r="C1643" t="s">
        <v>39</v>
      </c>
    </row>
    <row r="1644" spans="1:6" x14ac:dyDescent="0.25">
      <c r="A1644" t="s">
        <v>2158</v>
      </c>
      <c r="B1644" t="s">
        <v>671</v>
      </c>
      <c r="C1644" t="s">
        <v>214</v>
      </c>
      <c r="D1644" t="str">
        <f>HYPERLINK("http://service.sap.com/sap/support/notes/1527130","1527130")</f>
        <v>1527130</v>
      </c>
      <c r="E1644">
        <v>6</v>
      </c>
      <c r="F1644" t="s">
        <v>1448</v>
      </c>
    </row>
    <row r="1645" spans="1:6" x14ac:dyDescent="0.25">
      <c r="A1645" t="s">
        <v>2158</v>
      </c>
      <c r="B1645" t="s">
        <v>57</v>
      </c>
      <c r="C1645" t="s">
        <v>58</v>
      </c>
    </row>
    <row r="1646" spans="1:6" x14ac:dyDescent="0.25">
      <c r="A1646" t="s">
        <v>2158</v>
      </c>
      <c r="B1646" t="s">
        <v>59</v>
      </c>
      <c r="C1646" t="s">
        <v>60</v>
      </c>
      <c r="D1646" t="str">
        <f>HYPERLINK("http://service.sap.com/sap/support/notes/1540043","1540043")</f>
        <v>1540043</v>
      </c>
      <c r="E1646">
        <v>5</v>
      </c>
      <c r="F1646" t="s">
        <v>1449</v>
      </c>
    </row>
    <row r="1647" spans="1:6" x14ac:dyDescent="0.25">
      <c r="A1647" t="s">
        <v>2158</v>
      </c>
      <c r="B1647" t="s">
        <v>59</v>
      </c>
      <c r="C1647" t="s">
        <v>60</v>
      </c>
      <c r="D1647" t="str">
        <f>HYPERLINK("http://service.sap.com/sap/support/notes/1541651","1541651")</f>
        <v>1541651</v>
      </c>
      <c r="E1647">
        <v>4</v>
      </c>
      <c r="F1647" t="s">
        <v>1450</v>
      </c>
    </row>
    <row r="1648" spans="1:6" x14ac:dyDescent="0.25">
      <c r="A1648" t="s">
        <v>2158</v>
      </c>
      <c r="B1648" t="s">
        <v>59</v>
      </c>
      <c r="C1648" t="s">
        <v>60</v>
      </c>
      <c r="D1648" t="str">
        <f>HYPERLINK("http://service.sap.com/sap/support/notes/1546080","1546080")</f>
        <v>1546080</v>
      </c>
      <c r="E1648">
        <v>1</v>
      </c>
      <c r="F1648" t="s">
        <v>1451</v>
      </c>
    </row>
    <row r="1649" spans="1:6" x14ac:dyDescent="0.25">
      <c r="A1649" t="s">
        <v>2158</v>
      </c>
      <c r="B1649" t="s">
        <v>59</v>
      </c>
      <c r="C1649" t="s">
        <v>60</v>
      </c>
      <c r="D1649" t="str">
        <f>HYPERLINK("http://service.sap.com/sap/support/notes/1547502","1547502")</f>
        <v>1547502</v>
      </c>
      <c r="E1649">
        <v>3</v>
      </c>
      <c r="F1649" t="s">
        <v>1452</v>
      </c>
    </row>
    <row r="1650" spans="1:6" x14ac:dyDescent="0.25">
      <c r="A1650" t="s">
        <v>2158</v>
      </c>
      <c r="B1650" t="s">
        <v>59</v>
      </c>
      <c r="C1650" t="s">
        <v>60</v>
      </c>
      <c r="D1650" t="str">
        <f>HYPERLINK("http://service.sap.com/sap/support/notes/1548106","1548106")</f>
        <v>1548106</v>
      </c>
      <c r="E1650">
        <v>1</v>
      </c>
      <c r="F1650" t="s">
        <v>1453</v>
      </c>
    </row>
    <row r="1651" spans="1:6" x14ac:dyDescent="0.25">
      <c r="A1651" t="s">
        <v>2158</v>
      </c>
      <c r="B1651" t="s">
        <v>59</v>
      </c>
      <c r="C1651" t="s">
        <v>60</v>
      </c>
      <c r="D1651" t="str">
        <f>HYPERLINK("http://service.sap.com/sap/support/notes/1548701","1548701")</f>
        <v>1548701</v>
      </c>
      <c r="E1651">
        <v>1</v>
      </c>
      <c r="F1651" t="s">
        <v>1454</v>
      </c>
    </row>
    <row r="1652" spans="1:6" x14ac:dyDescent="0.25">
      <c r="A1652" t="s">
        <v>2158</v>
      </c>
      <c r="B1652" t="s">
        <v>694</v>
      </c>
      <c r="C1652" t="s">
        <v>695</v>
      </c>
      <c r="D1652" t="str">
        <f>HYPERLINK("http://service.sap.com/sap/support/notes/1547374","1547374")</f>
        <v>1547374</v>
      </c>
      <c r="E1652">
        <v>1</v>
      </c>
      <c r="F1652" t="s">
        <v>1455</v>
      </c>
    </row>
    <row r="1653" spans="1:6" x14ac:dyDescent="0.25">
      <c r="A1653" t="s">
        <v>2158</v>
      </c>
      <c r="B1653" t="s">
        <v>79</v>
      </c>
      <c r="C1653" t="s">
        <v>80</v>
      </c>
      <c r="D1653" t="str">
        <f>HYPERLINK("http://service.sap.com/sap/support/notes/1412251","1412251")</f>
        <v>1412251</v>
      </c>
      <c r="E1653">
        <v>1</v>
      </c>
      <c r="F1653" t="s">
        <v>1456</v>
      </c>
    </row>
    <row r="1654" spans="1:6" x14ac:dyDescent="0.25">
      <c r="A1654" t="s">
        <v>2158</v>
      </c>
      <c r="B1654" t="s">
        <v>79</v>
      </c>
      <c r="C1654" t="s">
        <v>80</v>
      </c>
      <c r="D1654" t="str">
        <f>HYPERLINK("http://service.sap.com/sap/support/notes/1498925","1498925")</f>
        <v>1498925</v>
      </c>
      <c r="E1654">
        <v>1</v>
      </c>
      <c r="F1654" t="s">
        <v>82</v>
      </c>
    </row>
    <row r="1655" spans="1:6" x14ac:dyDescent="0.25">
      <c r="A1655" t="s">
        <v>2158</v>
      </c>
      <c r="B1655" t="s">
        <v>79</v>
      </c>
      <c r="C1655" t="s">
        <v>80</v>
      </c>
      <c r="D1655" t="str">
        <f>HYPERLINK("http://service.sap.com/sap/support/notes/1508727","1508727")</f>
        <v>1508727</v>
      </c>
      <c r="E1655">
        <v>1</v>
      </c>
      <c r="F1655" t="s">
        <v>1457</v>
      </c>
    </row>
    <row r="1656" spans="1:6" x14ac:dyDescent="0.25">
      <c r="A1656" t="s">
        <v>2158</v>
      </c>
      <c r="B1656" t="s">
        <v>86</v>
      </c>
      <c r="C1656" t="s">
        <v>87</v>
      </c>
      <c r="D1656" t="str">
        <f>HYPERLINK("http://service.sap.com/sap/support/notes/1545894","1545894")</f>
        <v>1545894</v>
      </c>
      <c r="E1656">
        <v>2</v>
      </c>
      <c r="F1656" t="s">
        <v>1458</v>
      </c>
    </row>
    <row r="1657" spans="1:6" x14ac:dyDescent="0.25">
      <c r="A1657" t="s">
        <v>2158</v>
      </c>
      <c r="B1657" t="s">
        <v>704</v>
      </c>
      <c r="C1657" t="s">
        <v>412</v>
      </c>
      <c r="D1657" t="str">
        <f>HYPERLINK("http://service.sap.com/sap/support/notes/1537828","1537828")</f>
        <v>1537828</v>
      </c>
      <c r="E1657">
        <v>1</v>
      </c>
      <c r="F1657" t="s">
        <v>1459</v>
      </c>
    </row>
    <row r="1658" spans="1:6" x14ac:dyDescent="0.25">
      <c r="A1658" t="s">
        <v>2158</v>
      </c>
      <c r="B1658" t="s">
        <v>704</v>
      </c>
      <c r="C1658" t="s">
        <v>412</v>
      </c>
      <c r="D1658" t="str">
        <f>HYPERLINK("http://service.sap.com/sap/support/notes/1539255","1539255")</f>
        <v>1539255</v>
      </c>
      <c r="E1658">
        <v>2</v>
      </c>
      <c r="F1658" t="s">
        <v>1460</v>
      </c>
    </row>
    <row r="1659" spans="1:6" x14ac:dyDescent="0.25">
      <c r="A1659" t="s">
        <v>2158</v>
      </c>
      <c r="B1659" t="s">
        <v>1461</v>
      </c>
      <c r="C1659" t="s">
        <v>441</v>
      </c>
      <c r="D1659" t="str">
        <f>HYPERLINK("http://service.sap.com/sap/support/notes/1545974","1545974")</f>
        <v>1545974</v>
      </c>
      <c r="E1659">
        <v>2</v>
      </c>
      <c r="F1659" t="s">
        <v>1462</v>
      </c>
    </row>
    <row r="1660" spans="1:6" x14ac:dyDescent="0.25">
      <c r="A1660" t="s">
        <v>2158</v>
      </c>
      <c r="B1660" t="s">
        <v>92</v>
      </c>
      <c r="C1660" t="s">
        <v>93</v>
      </c>
      <c r="D1660" t="str">
        <f>HYPERLINK("http://service.sap.com/sap/support/notes/960754","960754")</f>
        <v>960754</v>
      </c>
      <c r="E1660">
        <v>8</v>
      </c>
      <c r="F1660" t="s">
        <v>1463</v>
      </c>
    </row>
    <row r="1661" spans="1:6" x14ac:dyDescent="0.25">
      <c r="A1661" t="s">
        <v>2158</v>
      </c>
      <c r="B1661" t="s">
        <v>92</v>
      </c>
      <c r="C1661" t="s">
        <v>93</v>
      </c>
      <c r="D1661" t="str">
        <f>HYPERLINK("http://service.sap.com/sap/support/notes/1547836","1547836")</f>
        <v>1547836</v>
      </c>
      <c r="E1661">
        <v>2</v>
      </c>
      <c r="F1661" t="s">
        <v>1464</v>
      </c>
    </row>
    <row r="1662" spans="1:6" x14ac:dyDescent="0.25">
      <c r="A1662" t="s">
        <v>2158</v>
      </c>
      <c r="B1662" t="s">
        <v>92</v>
      </c>
      <c r="C1662" t="s">
        <v>93</v>
      </c>
      <c r="D1662" t="str">
        <f>HYPERLINK("http://service.sap.com/sap/support/notes/1548141","1548141")</f>
        <v>1548141</v>
      </c>
      <c r="E1662">
        <v>1</v>
      </c>
      <c r="F1662" t="s">
        <v>1465</v>
      </c>
    </row>
    <row r="1663" spans="1:6" x14ac:dyDescent="0.25">
      <c r="A1663" t="s">
        <v>2158</v>
      </c>
      <c r="B1663" t="s">
        <v>92</v>
      </c>
      <c r="C1663" t="s">
        <v>93</v>
      </c>
      <c r="D1663" t="str">
        <f>HYPERLINK("http://service.sap.com/sap/support/notes/1548760","1548760")</f>
        <v>1548760</v>
      </c>
      <c r="E1663">
        <v>1</v>
      </c>
      <c r="F1663" t="s">
        <v>1466</v>
      </c>
    </row>
    <row r="1664" spans="1:6" x14ac:dyDescent="0.25">
      <c r="A1664" t="s">
        <v>2158</v>
      </c>
      <c r="B1664" t="s">
        <v>717</v>
      </c>
      <c r="C1664" t="s">
        <v>496</v>
      </c>
      <c r="D1664" t="str">
        <f>HYPERLINK("http://service.sap.com/sap/support/notes/1547855","1547855")</f>
        <v>1547855</v>
      </c>
      <c r="E1664">
        <v>2</v>
      </c>
      <c r="F1664" t="s">
        <v>1467</v>
      </c>
    </row>
    <row r="1665" spans="1:6" x14ac:dyDescent="0.25">
      <c r="A1665" t="s">
        <v>2158</v>
      </c>
      <c r="B1665" t="s">
        <v>724</v>
      </c>
      <c r="C1665" t="s">
        <v>725</v>
      </c>
      <c r="D1665" t="str">
        <f>HYPERLINK("http://service.sap.com/sap/support/notes/1540741","1540741")</f>
        <v>1540741</v>
      </c>
      <c r="E1665">
        <v>1</v>
      </c>
      <c r="F1665" t="s">
        <v>1468</v>
      </c>
    </row>
    <row r="1666" spans="1:6" x14ac:dyDescent="0.25">
      <c r="A1666" t="s">
        <v>2158</v>
      </c>
      <c r="B1666" t="s">
        <v>1469</v>
      </c>
      <c r="C1666" t="s">
        <v>535</v>
      </c>
      <c r="D1666" t="str">
        <f>HYPERLINK("http://service.sap.com/sap/support/notes/1549004","1549004")</f>
        <v>1549004</v>
      </c>
      <c r="E1666">
        <v>1</v>
      </c>
      <c r="F1666" t="s">
        <v>1470</v>
      </c>
    </row>
    <row r="1667" spans="1:6" x14ac:dyDescent="0.25">
      <c r="A1667" t="s">
        <v>2158</v>
      </c>
      <c r="B1667" t="s">
        <v>118</v>
      </c>
      <c r="C1667" t="s">
        <v>119</v>
      </c>
    </row>
    <row r="1668" spans="1:6" x14ac:dyDescent="0.25">
      <c r="A1668" t="s">
        <v>2158</v>
      </c>
      <c r="B1668" t="s">
        <v>120</v>
      </c>
      <c r="C1668" t="s">
        <v>121</v>
      </c>
      <c r="D1668" t="str">
        <f>HYPERLINK("http://service.sap.com/sap/support/notes/1543182","1543182")</f>
        <v>1543182</v>
      </c>
      <c r="E1668">
        <v>2</v>
      </c>
      <c r="F1668" t="s">
        <v>1471</v>
      </c>
    </row>
    <row r="1669" spans="1:6" x14ac:dyDescent="0.25">
      <c r="A1669" t="s">
        <v>2158</v>
      </c>
      <c r="B1669" t="s">
        <v>123</v>
      </c>
      <c r="C1669" t="s">
        <v>124</v>
      </c>
      <c r="D1669" t="str">
        <f>HYPERLINK("http://service.sap.com/sap/support/notes/1523953","1523953")</f>
        <v>1523953</v>
      </c>
      <c r="E1669">
        <v>3</v>
      </c>
      <c r="F1669" t="s">
        <v>1472</v>
      </c>
    </row>
    <row r="1670" spans="1:6" x14ac:dyDescent="0.25">
      <c r="A1670" t="s">
        <v>2158</v>
      </c>
      <c r="B1670" t="s">
        <v>123</v>
      </c>
      <c r="C1670" t="s">
        <v>124</v>
      </c>
      <c r="D1670" t="str">
        <f>HYPERLINK("http://service.sap.com/sap/support/notes/1532948","1532948")</f>
        <v>1532948</v>
      </c>
      <c r="E1670">
        <v>2</v>
      </c>
      <c r="F1670" t="s">
        <v>1473</v>
      </c>
    </row>
    <row r="1671" spans="1:6" x14ac:dyDescent="0.25">
      <c r="A1671" t="s">
        <v>2158</v>
      </c>
      <c r="B1671" t="s">
        <v>123</v>
      </c>
      <c r="C1671" t="s">
        <v>124</v>
      </c>
      <c r="D1671" t="str">
        <f>HYPERLINK("http://service.sap.com/sap/support/notes/1533304","1533304")</f>
        <v>1533304</v>
      </c>
      <c r="E1671">
        <v>1</v>
      </c>
      <c r="F1671" t="s">
        <v>1474</v>
      </c>
    </row>
    <row r="1672" spans="1:6" x14ac:dyDescent="0.25">
      <c r="A1672" t="s">
        <v>2158</v>
      </c>
      <c r="B1672" t="s">
        <v>123</v>
      </c>
      <c r="C1672" t="s">
        <v>124</v>
      </c>
      <c r="D1672" t="str">
        <f>HYPERLINK("http://service.sap.com/sap/support/notes/1536661","1536661")</f>
        <v>1536661</v>
      </c>
      <c r="E1672">
        <v>2</v>
      </c>
      <c r="F1672" t="s">
        <v>1475</v>
      </c>
    </row>
    <row r="1673" spans="1:6" x14ac:dyDescent="0.25">
      <c r="A1673" t="s">
        <v>2158</v>
      </c>
      <c r="B1673" t="s">
        <v>131</v>
      </c>
      <c r="C1673" t="s">
        <v>132</v>
      </c>
    </row>
    <row r="1674" spans="1:6" x14ac:dyDescent="0.25">
      <c r="A1674" t="s">
        <v>2158</v>
      </c>
      <c r="B1674" t="s">
        <v>133</v>
      </c>
      <c r="C1674" t="s">
        <v>134</v>
      </c>
      <c r="D1674" t="str">
        <f>HYPERLINK("http://service.sap.com/sap/support/notes/1538737","1538737")</f>
        <v>1538737</v>
      </c>
      <c r="E1674">
        <v>2</v>
      </c>
      <c r="F1674" t="s">
        <v>1476</v>
      </c>
    </row>
    <row r="1675" spans="1:6" x14ac:dyDescent="0.25">
      <c r="A1675" t="s">
        <v>2158</v>
      </c>
      <c r="B1675" t="s">
        <v>133</v>
      </c>
      <c r="C1675" t="s">
        <v>134</v>
      </c>
      <c r="D1675" t="str">
        <f>HYPERLINK("http://service.sap.com/sap/support/notes/1539025","1539025")</f>
        <v>1539025</v>
      </c>
      <c r="E1675">
        <v>3</v>
      </c>
      <c r="F1675" t="s">
        <v>1477</v>
      </c>
    </row>
    <row r="1676" spans="1:6" x14ac:dyDescent="0.25">
      <c r="A1676" t="s">
        <v>2158</v>
      </c>
      <c r="B1676" t="s">
        <v>133</v>
      </c>
      <c r="C1676" t="s">
        <v>134</v>
      </c>
      <c r="D1676" t="str">
        <f>HYPERLINK("http://service.sap.com/sap/support/notes/1545634","1545634")</f>
        <v>1545634</v>
      </c>
      <c r="E1676">
        <v>2</v>
      </c>
      <c r="F1676" t="s">
        <v>1478</v>
      </c>
    </row>
    <row r="1677" spans="1:6" x14ac:dyDescent="0.25">
      <c r="A1677" t="s">
        <v>2158</v>
      </c>
      <c r="B1677" t="s">
        <v>133</v>
      </c>
      <c r="C1677" t="s">
        <v>134</v>
      </c>
      <c r="D1677" t="str">
        <f>HYPERLINK("http://service.sap.com/sap/support/notes/1549749","1549749")</f>
        <v>1549749</v>
      </c>
      <c r="E1677">
        <v>1</v>
      </c>
      <c r="F1677" t="s">
        <v>1479</v>
      </c>
    </row>
    <row r="1678" spans="1:6" x14ac:dyDescent="0.25">
      <c r="A1678" t="s">
        <v>2158</v>
      </c>
      <c r="B1678" t="s">
        <v>141</v>
      </c>
      <c r="C1678" t="s">
        <v>41</v>
      </c>
      <c r="D1678" t="str">
        <f>HYPERLINK("http://service.sap.com/sap/support/notes/1343631","1343631")</f>
        <v>1343631</v>
      </c>
      <c r="E1678">
        <v>1</v>
      </c>
      <c r="F1678" t="s">
        <v>1480</v>
      </c>
    </row>
    <row r="1679" spans="1:6" x14ac:dyDescent="0.25">
      <c r="A1679" t="s">
        <v>2158</v>
      </c>
      <c r="B1679" t="s">
        <v>141</v>
      </c>
      <c r="C1679" t="s">
        <v>41</v>
      </c>
      <c r="D1679" t="str">
        <f>HYPERLINK("http://service.sap.com/sap/support/notes/1518890","1518890")</f>
        <v>1518890</v>
      </c>
      <c r="E1679">
        <v>2</v>
      </c>
      <c r="F1679" t="s">
        <v>1481</v>
      </c>
    </row>
    <row r="1680" spans="1:6" x14ac:dyDescent="0.25">
      <c r="A1680" t="s">
        <v>2158</v>
      </c>
      <c r="B1680" t="s">
        <v>141</v>
      </c>
      <c r="C1680" t="s">
        <v>41</v>
      </c>
      <c r="D1680" t="str">
        <f>HYPERLINK("http://service.sap.com/sap/support/notes/1542404","1542404")</f>
        <v>1542404</v>
      </c>
      <c r="E1680">
        <v>1</v>
      </c>
      <c r="F1680" t="s">
        <v>1482</v>
      </c>
    </row>
    <row r="1681" spans="1:6" x14ac:dyDescent="0.25">
      <c r="A1681" t="s">
        <v>2158</v>
      </c>
      <c r="B1681" t="s">
        <v>141</v>
      </c>
      <c r="C1681" t="s">
        <v>41</v>
      </c>
      <c r="D1681" t="str">
        <f>HYPERLINK("http://service.sap.com/sap/support/notes/1545595","1545595")</f>
        <v>1545595</v>
      </c>
      <c r="E1681">
        <v>2</v>
      </c>
      <c r="F1681" t="s">
        <v>1483</v>
      </c>
    </row>
    <row r="1682" spans="1:6" x14ac:dyDescent="0.25">
      <c r="A1682" t="s">
        <v>2158</v>
      </c>
      <c r="B1682" t="s">
        <v>141</v>
      </c>
      <c r="C1682" t="s">
        <v>41</v>
      </c>
      <c r="D1682" t="str">
        <f>HYPERLINK("http://service.sap.com/sap/support/notes/1548239","1548239")</f>
        <v>1548239</v>
      </c>
      <c r="E1682">
        <v>2</v>
      </c>
      <c r="F1682" t="s">
        <v>1484</v>
      </c>
    </row>
    <row r="1683" spans="1:6" x14ac:dyDescent="0.25">
      <c r="A1683" t="s">
        <v>2158</v>
      </c>
      <c r="B1683" t="s">
        <v>141</v>
      </c>
      <c r="C1683" t="s">
        <v>41</v>
      </c>
      <c r="D1683" t="str">
        <f>HYPERLINK("http://service.sap.com/sap/support/notes/1548863","1548863")</f>
        <v>1548863</v>
      </c>
      <c r="E1683">
        <v>1</v>
      </c>
      <c r="F1683" t="s">
        <v>1485</v>
      </c>
    </row>
    <row r="1684" spans="1:6" x14ac:dyDescent="0.25">
      <c r="A1684" t="s">
        <v>2158</v>
      </c>
      <c r="B1684" t="s">
        <v>141</v>
      </c>
      <c r="C1684" t="s">
        <v>41</v>
      </c>
      <c r="D1684" t="str">
        <f>HYPERLINK("http://service.sap.com/sap/support/notes/1550664","1550664")</f>
        <v>1550664</v>
      </c>
      <c r="E1684">
        <v>1</v>
      </c>
      <c r="F1684" t="s">
        <v>1486</v>
      </c>
    </row>
    <row r="1685" spans="1:6" x14ac:dyDescent="0.25">
      <c r="A1685" t="s">
        <v>2158</v>
      </c>
      <c r="B1685" t="s">
        <v>152</v>
      </c>
      <c r="C1685" t="s">
        <v>153</v>
      </c>
      <c r="D1685" t="str">
        <f>HYPERLINK("http://service.sap.com/sap/support/notes/1538934","1538934")</f>
        <v>1538934</v>
      </c>
      <c r="E1685">
        <v>8</v>
      </c>
      <c r="F1685" t="s">
        <v>1487</v>
      </c>
    </row>
    <row r="1686" spans="1:6" x14ac:dyDescent="0.25">
      <c r="A1686" t="s">
        <v>2158</v>
      </c>
      <c r="B1686" t="s">
        <v>152</v>
      </c>
      <c r="C1686" t="s">
        <v>153</v>
      </c>
      <c r="D1686" t="str">
        <f>HYPERLINK("http://service.sap.com/sap/support/notes/1548888","1548888")</f>
        <v>1548888</v>
      </c>
      <c r="E1686">
        <v>1</v>
      </c>
      <c r="F1686" t="s">
        <v>1488</v>
      </c>
    </row>
    <row r="1687" spans="1:6" x14ac:dyDescent="0.25">
      <c r="A1687" t="s">
        <v>2158</v>
      </c>
      <c r="B1687" t="s">
        <v>155</v>
      </c>
      <c r="C1687" t="s">
        <v>156</v>
      </c>
      <c r="D1687" t="str">
        <f>HYPERLINK("http://service.sap.com/sap/support/notes/1490215","1490215")</f>
        <v>1490215</v>
      </c>
      <c r="E1687">
        <v>1</v>
      </c>
      <c r="F1687" t="s">
        <v>1489</v>
      </c>
    </row>
    <row r="1688" spans="1:6" x14ac:dyDescent="0.25">
      <c r="A1688" t="s">
        <v>2158</v>
      </c>
      <c r="B1688" t="s">
        <v>155</v>
      </c>
      <c r="C1688" t="s">
        <v>156</v>
      </c>
      <c r="D1688" t="str">
        <f>HYPERLINK("http://service.sap.com/sap/support/notes/1541067","1541067")</f>
        <v>1541067</v>
      </c>
      <c r="E1688">
        <v>1</v>
      </c>
      <c r="F1688" t="s">
        <v>1490</v>
      </c>
    </row>
    <row r="1689" spans="1:6" x14ac:dyDescent="0.25">
      <c r="A1689" t="s">
        <v>2158</v>
      </c>
      <c r="B1689" t="s">
        <v>171</v>
      </c>
      <c r="C1689" t="s">
        <v>153</v>
      </c>
      <c r="D1689" t="str">
        <f>HYPERLINK("http://service.sap.com/sap/support/notes/1546223","1546223")</f>
        <v>1546223</v>
      </c>
      <c r="E1689">
        <v>1</v>
      </c>
      <c r="F1689" t="s">
        <v>1491</v>
      </c>
    </row>
    <row r="1690" spans="1:6" x14ac:dyDescent="0.25">
      <c r="A1690" t="s">
        <v>2158</v>
      </c>
      <c r="B1690" t="s">
        <v>173</v>
      </c>
      <c r="C1690" t="s">
        <v>45</v>
      </c>
      <c r="D1690" t="str">
        <f>HYPERLINK("http://service.sap.com/sap/support/notes/1491131","1491131")</f>
        <v>1491131</v>
      </c>
      <c r="E1690">
        <v>1</v>
      </c>
      <c r="F1690" t="s">
        <v>1492</v>
      </c>
    </row>
    <row r="1691" spans="1:6" x14ac:dyDescent="0.25">
      <c r="A1691" t="s">
        <v>2158</v>
      </c>
      <c r="B1691" t="s">
        <v>173</v>
      </c>
      <c r="C1691" t="s">
        <v>45</v>
      </c>
      <c r="D1691" t="str">
        <f>HYPERLINK("http://service.sap.com/sap/support/notes/1526519","1526519")</f>
        <v>1526519</v>
      </c>
      <c r="E1691">
        <v>5</v>
      </c>
      <c r="F1691" t="s">
        <v>1406</v>
      </c>
    </row>
    <row r="1692" spans="1:6" x14ac:dyDescent="0.25">
      <c r="A1692" t="s">
        <v>2158</v>
      </c>
      <c r="B1692" t="s">
        <v>173</v>
      </c>
      <c r="C1692" t="s">
        <v>45</v>
      </c>
      <c r="D1692" t="str">
        <f>HYPERLINK("http://service.sap.com/sap/support/notes/1535977","1535977")</f>
        <v>1535977</v>
      </c>
      <c r="E1692">
        <v>5</v>
      </c>
      <c r="F1692" t="s">
        <v>1493</v>
      </c>
    </row>
    <row r="1693" spans="1:6" x14ac:dyDescent="0.25">
      <c r="A1693" t="s">
        <v>2158</v>
      </c>
      <c r="B1693" t="s">
        <v>173</v>
      </c>
      <c r="C1693" t="s">
        <v>45</v>
      </c>
      <c r="D1693" t="str">
        <f>HYPERLINK("http://service.sap.com/sap/support/notes/1535978","1535978")</f>
        <v>1535978</v>
      </c>
      <c r="E1693">
        <v>5</v>
      </c>
      <c r="F1693" t="s">
        <v>1494</v>
      </c>
    </row>
    <row r="1694" spans="1:6" x14ac:dyDescent="0.25">
      <c r="A1694" t="s">
        <v>2158</v>
      </c>
      <c r="B1694" t="s">
        <v>173</v>
      </c>
      <c r="C1694" t="s">
        <v>45</v>
      </c>
      <c r="D1694" t="str">
        <f>HYPERLINK("http://service.sap.com/sap/support/notes/1537100","1537100")</f>
        <v>1537100</v>
      </c>
      <c r="E1694">
        <v>3</v>
      </c>
      <c r="F1694" t="s">
        <v>1495</v>
      </c>
    </row>
    <row r="1695" spans="1:6" x14ac:dyDescent="0.25">
      <c r="A1695" t="s">
        <v>2158</v>
      </c>
      <c r="B1695" t="s">
        <v>173</v>
      </c>
      <c r="C1695" t="s">
        <v>45</v>
      </c>
      <c r="D1695" t="str">
        <f>HYPERLINK("http://service.sap.com/sap/support/notes/1539885","1539885")</f>
        <v>1539885</v>
      </c>
      <c r="E1695">
        <v>4</v>
      </c>
      <c r="F1695" t="s">
        <v>1496</v>
      </c>
    </row>
    <row r="1696" spans="1:6" x14ac:dyDescent="0.25">
      <c r="A1696" t="s">
        <v>2158</v>
      </c>
      <c r="B1696" t="s">
        <v>173</v>
      </c>
      <c r="C1696" t="s">
        <v>45</v>
      </c>
      <c r="D1696" t="str">
        <f>HYPERLINK("http://service.sap.com/sap/support/notes/1544214","1544214")</f>
        <v>1544214</v>
      </c>
      <c r="E1696">
        <v>3</v>
      </c>
      <c r="F1696" t="s">
        <v>1497</v>
      </c>
    </row>
    <row r="1697" spans="1:6" x14ac:dyDescent="0.25">
      <c r="A1697" t="s">
        <v>2158</v>
      </c>
      <c r="B1697" t="s">
        <v>173</v>
      </c>
      <c r="C1697" t="s">
        <v>45</v>
      </c>
      <c r="D1697" t="str">
        <f>HYPERLINK("http://service.sap.com/sap/support/notes/1549057","1549057")</f>
        <v>1549057</v>
      </c>
      <c r="E1697">
        <v>1</v>
      </c>
      <c r="F1697" t="s">
        <v>1498</v>
      </c>
    </row>
    <row r="1698" spans="1:6" x14ac:dyDescent="0.25">
      <c r="A1698" t="s">
        <v>2158</v>
      </c>
      <c r="B1698" t="s">
        <v>173</v>
      </c>
      <c r="C1698" t="s">
        <v>45</v>
      </c>
      <c r="D1698" t="str">
        <f>HYPERLINK("http://service.sap.com/sap/support/notes/1549409","1549409")</f>
        <v>1549409</v>
      </c>
      <c r="E1698">
        <v>2</v>
      </c>
      <c r="F1698" t="s">
        <v>1499</v>
      </c>
    </row>
    <row r="1699" spans="1:6" x14ac:dyDescent="0.25">
      <c r="A1699" t="s">
        <v>2158</v>
      </c>
      <c r="B1699" t="s">
        <v>173</v>
      </c>
      <c r="C1699" t="s">
        <v>45</v>
      </c>
      <c r="D1699" t="str">
        <f>HYPERLINK("http://service.sap.com/sap/support/notes/1551091","1551091")</f>
        <v>1551091</v>
      </c>
      <c r="E1699">
        <v>2</v>
      </c>
      <c r="F1699" t="s">
        <v>1500</v>
      </c>
    </row>
    <row r="1700" spans="1:6" x14ac:dyDescent="0.25">
      <c r="A1700" t="s">
        <v>2158</v>
      </c>
      <c r="B1700" t="s">
        <v>191</v>
      </c>
      <c r="C1700" t="s">
        <v>192</v>
      </c>
      <c r="D1700" t="str">
        <f>HYPERLINK("http://service.sap.com/sap/support/notes/1060819","1060819")</f>
        <v>1060819</v>
      </c>
      <c r="E1700">
        <v>1</v>
      </c>
      <c r="F1700" t="s">
        <v>193</v>
      </c>
    </row>
    <row r="1701" spans="1:6" x14ac:dyDescent="0.25">
      <c r="A1701" t="s">
        <v>2158</v>
      </c>
      <c r="B1701" t="s">
        <v>191</v>
      </c>
      <c r="C1701" t="s">
        <v>192</v>
      </c>
      <c r="D1701" t="str">
        <f>HYPERLINK("http://service.sap.com/sap/support/notes/1514136","1514136")</f>
        <v>1514136</v>
      </c>
      <c r="E1701">
        <v>3</v>
      </c>
      <c r="F1701" t="s">
        <v>1501</v>
      </c>
    </row>
    <row r="1702" spans="1:6" x14ac:dyDescent="0.25">
      <c r="A1702" t="s">
        <v>2158</v>
      </c>
      <c r="B1702" t="s">
        <v>191</v>
      </c>
      <c r="C1702" t="s">
        <v>192</v>
      </c>
      <c r="D1702" t="str">
        <f>HYPERLINK("http://service.sap.com/sap/support/notes/1527811","1527811")</f>
        <v>1527811</v>
      </c>
      <c r="E1702">
        <v>13</v>
      </c>
      <c r="F1702" t="s">
        <v>1502</v>
      </c>
    </row>
    <row r="1703" spans="1:6" x14ac:dyDescent="0.25">
      <c r="A1703" t="s">
        <v>2158</v>
      </c>
      <c r="B1703" t="s">
        <v>191</v>
      </c>
      <c r="C1703" t="s">
        <v>192</v>
      </c>
      <c r="D1703" t="str">
        <f>HYPERLINK("http://service.sap.com/sap/support/notes/1531975","1531975")</f>
        <v>1531975</v>
      </c>
      <c r="E1703">
        <v>2</v>
      </c>
      <c r="F1703" t="s">
        <v>1503</v>
      </c>
    </row>
    <row r="1704" spans="1:6" x14ac:dyDescent="0.25">
      <c r="A1704" t="s">
        <v>2158</v>
      </c>
      <c r="B1704" t="s">
        <v>191</v>
      </c>
      <c r="C1704" t="s">
        <v>192</v>
      </c>
      <c r="D1704" t="str">
        <f>HYPERLINK("http://service.sap.com/sap/support/notes/1548425","1548425")</f>
        <v>1548425</v>
      </c>
      <c r="E1704">
        <v>1</v>
      </c>
      <c r="F1704" t="s">
        <v>1504</v>
      </c>
    </row>
    <row r="1705" spans="1:6" x14ac:dyDescent="0.25">
      <c r="A1705" t="s">
        <v>2158</v>
      </c>
      <c r="B1705" t="s">
        <v>201</v>
      </c>
      <c r="C1705" t="s">
        <v>202</v>
      </c>
      <c r="D1705" t="str">
        <f>HYPERLINK("http://service.sap.com/sap/support/notes/1544233","1544233")</f>
        <v>1544233</v>
      </c>
      <c r="E1705">
        <v>2</v>
      </c>
      <c r="F1705" t="s">
        <v>1505</v>
      </c>
    </row>
    <row r="1706" spans="1:6" x14ac:dyDescent="0.25">
      <c r="A1706" t="s">
        <v>2158</v>
      </c>
      <c r="B1706" t="s">
        <v>201</v>
      </c>
      <c r="C1706" t="s">
        <v>202</v>
      </c>
      <c r="D1706" t="str">
        <f>HYPERLINK("http://service.sap.com/sap/support/notes/1544234","1544234")</f>
        <v>1544234</v>
      </c>
      <c r="E1706">
        <v>1</v>
      </c>
      <c r="F1706" t="s">
        <v>1506</v>
      </c>
    </row>
    <row r="1707" spans="1:6" x14ac:dyDescent="0.25">
      <c r="A1707" t="s">
        <v>2158</v>
      </c>
      <c r="B1707" t="s">
        <v>964</v>
      </c>
      <c r="C1707" t="s">
        <v>299</v>
      </c>
      <c r="D1707" t="str">
        <f>HYPERLINK("http://service.sap.com/sap/support/notes/1545803","1545803")</f>
        <v>1545803</v>
      </c>
      <c r="E1707">
        <v>1</v>
      </c>
      <c r="F1707" t="s">
        <v>1507</v>
      </c>
    </row>
    <row r="1708" spans="1:6" x14ac:dyDescent="0.25">
      <c r="A1708" t="s">
        <v>2158</v>
      </c>
      <c r="B1708" t="s">
        <v>964</v>
      </c>
      <c r="C1708" t="s">
        <v>299</v>
      </c>
      <c r="D1708" t="str">
        <f>HYPERLINK("http://service.sap.com/sap/support/notes/1546157","1546157")</f>
        <v>1546157</v>
      </c>
      <c r="E1708">
        <v>2</v>
      </c>
      <c r="F1708" t="s">
        <v>1508</v>
      </c>
    </row>
    <row r="1709" spans="1:6" x14ac:dyDescent="0.25">
      <c r="A1709" t="s">
        <v>2158</v>
      </c>
      <c r="B1709" t="s">
        <v>964</v>
      </c>
      <c r="C1709" t="s">
        <v>299</v>
      </c>
      <c r="D1709" t="str">
        <f>HYPERLINK("http://service.sap.com/sap/support/notes/1547641","1547641")</f>
        <v>1547641</v>
      </c>
      <c r="E1709">
        <v>2</v>
      </c>
      <c r="F1709" t="s">
        <v>1509</v>
      </c>
    </row>
    <row r="1710" spans="1:6" x14ac:dyDescent="0.25">
      <c r="A1710" t="s">
        <v>2158</v>
      </c>
      <c r="B1710" t="s">
        <v>964</v>
      </c>
      <c r="C1710" t="s">
        <v>299</v>
      </c>
      <c r="D1710" t="str">
        <f>HYPERLINK("http://service.sap.com/sap/support/notes/1548102","1548102")</f>
        <v>1548102</v>
      </c>
      <c r="E1710">
        <v>1</v>
      </c>
      <c r="F1710" t="s">
        <v>1510</v>
      </c>
    </row>
    <row r="1711" spans="1:6" x14ac:dyDescent="0.25">
      <c r="A1711" t="s">
        <v>2158</v>
      </c>
      <c r="B1711" t="s">
        <v>964</v>
      </c>
      <c r="C1711" t="s">
        <v>299</v>
      </c>
      <c r="D1711" t="str">
        <f>HYPERLINK("http://service.sap.com/sap/support/notes/1548162","1548162")</f>
        <v>1548162</v>
      </c>
      <c r="E1711">
        <v>1</v>
      </c>
      <c r="F1711" t="s">
        <v>1511</v>
      </c>
    </row>
    <row r="1712" spans="1:6" x14ac:dyDescent="0.25">
      <c r="A1712" t="s">
        <v>2158</v>
      </c>
      <c r="B1712" t="s">
        <v>964</v>
      </c>
      <c r="C1712" t="s">
        <v>299</v>
      </c>
      <c r="D1712" t="str">
        <f>HYPERLINK("http://service.sap.com/sap/support/notes/1549471","1549471")</f>
        <v>1549471</v>
      </c>
      <c r="E1712">
        <v>2</v>
      </c>
      <c r="F1712" t="s">
        <v>1512</v>
      </c>
    </row>
    <row r="1713" spans="1:6" x14ac:dyDescent="0.25">
      <c r="A1713" t="s">
        <v>2158</v>
      </c>
      <c r="B1713" t="s">
        <v>964</v>
      </c>
      <c r="C1713" t="s">
        <v>299</v>
      </c>
      <c r="D1713" t="str">
        <f>HYPERLINK("http://service.sap.com/sap/support/notes/1550074","1550074")</f>
        <v>1550074</v>
      </c>
      <c r="E1713">
        <v>1</v>
      </c>
      <c r="F1713" t="s">
        <v>1513</v>
      </c>
    </row>
    <row r="1714" spans="1:6" x14ac:dyDescent="0.25">
      <c r="A1714" t="s">
        <v>2158</v>
      </c>
      <c r="B1714" t="s">
        <v>207</v>
      </c>
      <c r="C1714" t="s">
        <v>208</v>
      </c>
      <c r="D1714" t="str">
        <f>HYPERLINK("http://service.sap.com/sap/support/notes/1539372","1539372")</f>
        <v>1539372</v>
      </c>
      <c r="E1714">
        <v>1</v>
      </c>
      <c r="F1714" t="s">
        <v>1514</v>
      </c>
    </row>
    <row r="1715" spans="1:6" x14ac:dyDescent="0.25">
      <c r="A1715" t="s">
        <v>2158</v>
      </c>
      <c r="B1715" t="s">
        <v>207</v>
      </c>
      <c r="C1715" t="s">
        <v>208</v>
      </c>
      <c r="D1715" t="str">
        <f>HYPERLINK("http://service.sap.com/sap/support/notes/1541250","1541250")</f>
        <v>1541250</v>
      </c>
      <c r="E1715">
        <v>5</v>
      </c>
      <c r="F1715" t="s">
        <v>1515</v>
      </c>
    </row>
    <row r="1716" spans="1:6" x14ac:dyDescent="0.25">
      <c r="A1716" t="s">
        <v>2158</v>
      </c>
      <c r="B1716" t="s">
        <v>207</v>
      </c>
      <c r="C1716" t="s">
        <v>208</v>
      </c>
      <c r="D1716" t="str">
        <f>HYPERLINK("http://service.sap.com/sap/support/notes/1541412","1541412")</f>
        <v>1541412</v>
      </c>
      <c r="E1716">
        <v>2</v>
      </c>
      <c r="F1716" t="s">
        <v>1516</v>
      </c>
    </row>
    <row r="1717" spans="1:6" x14ac:dyDescent="0.25">
      <c r="A1717" t="s">
        <v>2158</v>
      </c>
      <c r="B1717" t="s">
        <v>207</v>
      </c>
      <c r="C1717" t="s">
        <v>208</v>
      </c>
      <c r="D1717" t="str">
        <f>HYPERLINK("http://service.sap.com/sap/support/notes/1545866","1545866")</f>
        <v>1545866</v>
      </c>
      <c r="E1717">
        <v>1</v>
      </c>
      <c r="F1717" t="s">
        <v>1517</v>
      </c>
    </row>
    <row r="1718" spans="1:6" x14ac:dyDescent="0.25">
      <c r="A1718" t="s">
        <v>2158</v>
      </c>
      <c r="B1718" t="s">
        <v>207</v>
      </c>
      <c r="C1718" t="s">
        <v>208</v>
      </c>
      <c r="D1718" t="str">
        <f>HYPERLINK("http://service.sap.com/sap/support/notes/1546403","1546403")</f>
        <v>1546403</v>
      </c>
      <c r="E1718">
        <v>1</v>
      </c>
      <c r="F1718" t="s">
        <v>1518</v>
      </c>
    </row>
    <row r="1719" spans="1:6" x14ac:dyDescent="0.25">
      <c r="A1719" t="s">
        <v>2158</v>
      </c>
      <c r="B1719" t="s">
        <v>207</v>
      </c>
      <c r="C1719" t="s">
        <v>208</v>
      </c>
      <c r="D1719" t="str">
        <f>HYPERLINK("http://service.sap.com/sap/support/notes/1547240","1547240")</f>
        <v>1547240</v>
      </c>
      <c r="E1719">
        <v>1</v>
      </c>
      <c r="F1719" t="s">
        <v>1519</v>
      </c>
    </row>
    <row r="1720" spans="1:6" x14ac:dyDescent="0.25">
      <c r="A1720" t="s">
        <v>2158</v>
      </c>
      <c r="B1720" t="s">
        <v>213</v>
      </c>
      <c r="C1720" t="s">
        <v>214</v>
      </c>
      <c r="D1720" t="str">
        <f>HYPERLINK("http://service.sap.com/sap/support/notes/1485608","1485608")</f>
        <v>1485608</v>
      </c>
      <c r="E1720">
        <v>1</v>
      </c>
      <c r="F1720" t="s">
        <v>979</v>
      </c>
    </row>
    <row r="1721" spans="1:6" x14ac:dyDescent="0.25">
      <c r="A1721" t="s">
        <v>2158</v>
      </c>
      <c r="B1721" t="s">
        <v>213</v>
      </c>
      <c r="C1721" t="s">
        <v>214</v>
      </c>
      <c r="D1721" t="str">
        <f>HYPERLINK("http://service.sap.com/sap/support/notes/1536666","1536666")</f>
        <v>1536666</v>
      </c>
      <c r="E1721">
        <v>3</v>
      </c>
      <c r="F1721" t="s">
        <v>1520</v>
      </c>
    </row>
    <row r="1722" spans="1:6" x14ac:dyDescent="0.25">
      <c r="A1722" t="s">
        <v>2158</v>
      </c>
      <c r="B1722" t="s">
        <v>213</v>
      </c>
      <c r="C1722" t="s">
        <v>214</v>
      </c>
      <c r="D1722" t="str">
        <f>HYPERLINK("http://service.sap.com/sap/support/notes/1546662","1546662")</f>
        <v>1546662</v>
      </c>
      <c r="E1722">
        <v>1</v>
      </c>
      <c r="F1722" t="s">
        <v>1521</v>
      </c>
    </row>
    <row r="1723" spans="1:6" x14ac:dyDescent="0.25">
      <c r="A1723" t="s">
        <v>2158</v>
      </c>
      <c r="B1723" t="s">
        <v>223</v>
      </c>
      <c r="C1723" t="s">
        <v>49</v>
      </c>
      <c r="D1723" t="str">
        <f>HYPERLINK("http://service.sap.com/sap/support/notes/1547256","1547256")</f>
        <v>1547256</v>
      </c>
      <c r="E1723">
        <v>2</v>
      </c>
      <c r="F1723" t="s">
        <v>1522</v>
      </c>
    </row>
    <row r="1724" spans="1:6" x14ac:dyDescent="0.25">
      <c r="A1724" t="s">
        <v>2158</v>
      </c>
      <c r="B1724" t="s">
        <v>223</v>
      </c>
      <c r="C1724" t="s">
        <v>49</v>
      </c>
      <c r="D1724" t="str">
        <f>HYPERLINK("http://service.sap.com/sap/support/notes/1551309","1551309")</f>
        <v>1551309</v>
      </c>
      <c r="E1724">
        <v>1</v>
      </c>
      <c r="F1724" t="s">
        <v>1523</v>
      </c>
    </row>
    <row r="1725" spans="1:6" x14ac:dyDescent="0.25">
      <c r="A1725" t="s">
        <v>2158</v>
      </c>
      <c r="B1725" t="s">
        <v>226</v>
      </c>
      <c r="C1725" t="s">
        <v>52</v>
      </c>
    </row>
    <row r="1726" spans="1:6" x14ac:dyDescent="0.25">
      <c r="A1726" t="s">
        <v>2158</v>
      </c>
      <c r="B1726" t="s">
        <v>227</v>
      </c>
      <c r="C1726" t="s">
        <v>228</v>
      </c>
      <c r="D1726" t="str">
        <f>HYPERLINK("http://service.sap.com/sap/support/notes/1534878","1534878")</f>
        <v>1534878</v>
      </c>
      <c r="E1726">
        <v>1</v>
      </c>
      <c r="F1726" t="s">
        <v>1524</v>
      </c>
    </row>
    <row r="1727" spans="1:6" x14ac:dyDescent="0.25">
      <c r="A1727" t="s">
        <v>2158</v>
      </c>
      <c r="B1727" t="s">
        <v>235</v>
      </c>
      <c r="C1727" t="s">
        <v>236</v>
      </c>
    </row>
    <row r="1728" spans="1:6" x14ac:dyDescent="0.25">
      <c r="A1728" t="s">
        <v>2158</v>
      </c>
      <c r="B1728" t="s">
        <v>237</v>
      </c>
      <c r="C1728" t="s">
        <v>238</v>
      </c>
      <c r="D1728" t="str">
        <f>HYPERLINK("http://service.sap.com/sap/support/notes/1307437","1307437")</f>
        <v>1307437</v>
      </c>
      <c r="E1728">
        <v>2</v>
      </c>
      <c r="F1728" t="s">
        <v>1525</v>
      </c>
    </row>
    <row r="1729" spans="1:6" x14ac:dyDescent="0.25">
      <c r="A1729" t="s">
        <v>2158</v>
      </c>
      <c r="B1729" t="s">
        <v>237</v>
      </c>
      <c r="C1729" t="s">
        <v>238</v>
      </c>
      <c r="D1729" t="str">
        <f>HYPERLINK("http://service.sap.com/sap/support/notes/1545608","1545608")</f>
        <v>1545608</v>
      </c>
      <c r="E1729">
        <v>3</v>
      </c>
      <c r="F1729" t="s">
        <v>1526</v>
      </c>
    </row>
    <row r="1730" spans="1:6" x14ac:dyDescent="0.25">
      <c r="A1730" t="s">
        <v>2158</v>
      </c>
      <c r="B1730" t="s">
        <v>237</v>
      </c>
      <c r="C1730" t="s">
        <v>238</v>
      </c>
      <c r="D1730" t="str">
        <f>HYPERLINK("http://service.sap.com/sap/support/notes/1545648","1545648")</f>
        <v>1545648</v>
      </c>
      <c r="E1730">
        <v>1</v>
      </c>
      <c r="F1730" t="s">
        <v>1527</v>
      </c>
    </row>
    <row r="1731" spans="1:6" x14ac:dyDescent="0.25">
      <c r="A1731" t="s">
        <v>2158</v>
      </c>
      <c r="B1731" t="s">
        <v>237</v>
      </c>
      <c r="C1731" t="s">
        <v>238</v>
      </c>
      <c r="D1731" t="str">
        <f>HYPERLINK("http://service.sap.com/sap/support/notes/1546371","1546371")</f>
        <v>1546371</v>
      </c>
      <c r="E1731">
        <v>1</v>
      </c>
      <c r="F1731" t="s">
        <v>1528</v>
      </c>
    </row>
    <row r="1732" spans="1:6" x14ac:dyDescent="0.25">
      <c r="A1732" t="s">
        <v>2158</v>
      </c>
      <c r="B1732" t="s">
        <v>237</v>
      </c>
      <c r="C1732" t="s">
        <v>238</v>
      </c>
      <c r="D1732" t="str">
        <f>HYPERLINK("http://service.sap.com/sap/support/notes/1547040","1547040")</f>
        <v>1547040</v>
      </c>
      <c r="E1732">
        <v>1</v>
      </c>
      <c r="F1732" t="s">
        <v>1529</v>
      </c>
    </row>
    <row r="1733" spans="1:6" x14ac:dyDescent="0.25">
      <c r="A1733" t="s">
        <v>2158</v>
      </c>
      <c r="B1733" t="s">
        <v>237</v>
      </c>
      <c r="C1733" t="s">
        <v>238</v>
      </c>
      <c r="D1733" t="str">
        <f>HYPERLINK("http://service.sap.com/sap/support/notes/1548924","1548924")</f>
        <v>1548924</v>
      </c>
      <c r="E1733">
        <v>2</v>
      </c>
      <c r="F1733" t="s">
        <v>1530</v>
      </c>
    </row>
    <row r="1734" spans="1:6" x14ac:dyDescent="0.25">
      <c r="A1734" t="s">
        <v>2158</v>
      </c>
      <c r="B1734" t="s">
        <v>237</v>
      </c>
      <c r="C1734" t="s">
        <v>238</v>
      </c>
      <c r="D1734" t="str">
        <f>HYPERLINK("http://service.sap.com/sap/support/notes/1550582","1550582")</f>
        <v>1550582</v>
      </c>
      <c r="E1734">
        <v>2</v>
      </c>
      <c r="F1734" t="s">
        <v>1531</v>
      </c>
    </row>
    <row r="1735" spans="1:6" x14ac:dyDescent="0.25">
      <c r="A1735" t="s">
        <v>2158</v>
      </c>
      <c r="B1735" t="s">
        <v>237</v>
      </c>
      <c r="C1735" t="s">
        <v>238</v>
      </c>
      <c r="D1735" t="str">
        <f>HYPERLINK("http://service.sap.com/sap/support/notes/1550756","1550756")</f>
        <v>1550756</v>
      </c>
      <c r="E1735">
        <v>2</v>
      </c>
      <c r="F1735" t="s">
        <v>1532</v>
      </c>
    </row>
    <row r="1736" spans="1:6" x14ac:dyDescent="0.25">
      <c r="A1736" t="s">
        <v>2158</v>
      </c>
      <c r="B1736" t="s">
        <v>242</v>
      </c>
      <c r="C1736" t="s">
        <v>243</v>
      </c>
      <c r="D1736" t="str">
        <f>HYPERLINK("http://service.sap.com/sap/support/notes/1545470","1545470")</f>
        <v>1545470</v>
      </c>
      <c r="E1736">
        <v>3</v>
      </c>
      <c r="F1736" t="s">
        <v>1533</v>
      </c>
    </row>
    <row r="1737" spans="1:6" x14ac:dyDescent="0.25">
      <c r="A1737" t="s">
        <v>2158</v>
      </c>
      <c r="B1737" t="s">
        <v>242</v>
      </c>
      <c r="C1737" t="s">
        <v>243</v>
      </c>
      <c r="D1737" t="str">
        <f>HYPERLINK("http://service.sap.com/sap/support/notes/1547310","1547310")</f>
        <v>1547310</v>
      </c>
      <c r="E1737">
        <v>1</v>
      </c>
      <c r="F1737" t="s">
        <v>1534</v>
      </c>
    </row>
    <row r="1738" spans="1:6" x14ac:dyDescent="0.25">
      <c r="A1738" t="s">
        <v>2158</v>
      </c>
      <c r="B1738" t="s">
        <v>1009</v>
      </c>
      <c r="C1738" t="s">
        <v>1010</v>
      </c>
      <c r="D1738" t="str">
        <f>HYPERLINK("http://service.sap.com/sap/support/notes/1545542","1545542")</f>
        <v>1545542</v>
      </c>
      <c r="E1738">
        <v>3</v>
      </c>
      <c r="F1738" t="s">
        <v>1535</v>
      </c>
    </row>
    <row r="1739" spans="1:6" x14ac:dyDescent="0.25">
      <c r="A1739" t="s">
        <v>2158</v>
      </c>
      <c r="B1739" t="s">
        <v>1009</v>
      </c>
      <c r="C1739" t="s">
        <v>1010</v>
      </c>
      <c r="D1739" t="str">
        <f>HYPERLINK("http://service.sap.com/sap/support/notes/1546071","1546071")</f>
        <v>1546071</v>
      </c>
      <c r="E1739">
        <v>2</v>
      </c>
      <c r="F1739" t="s">
        <v>1536</v>
      </c>
    </row>
    <row r="1740" spans="1:6" x14ac:dyDescent="0.25">
      <c r="A1740" t="s">
        <v>2158</v>
      </c>
      <c r="B1740" t="s">
        <v>1009</v>
      </c>
      <c r="C1740" t="s">
        <v>1010</v>
      </c>
      <c r="D1740" t="str">
        <f>HYPERLINK("http://service.sap.com/sap/support/notes/1546246","1546246")</f>
        <v>1546246</v>
      </c>
      <c r="E1740">
        <v>1</v>
      </c>
      <c r="F1740" t="s">
        <v>1537</v>
      </c>
    </row>
    <row r="1741" spans="1:6" x14ac:dyDescent="0.25">
      <c r="A1741" t="s">
        <v>2158</v>
      </c>
      <c r="B1741" t="s">
        <v>1009</v>
      </c>
      <c r="C1741" t="s">
        <v>1010</v>
      </c>
      <c r="D1741" t="str">
        <f>HYPERLINK("http://service.sap.com/sap/support/notes/1547974","1547974")</f>
        <v>1547974</v>
      </c>
      <c r="E1741">
        <v>1</v>
      </c>
      <c r="F1741" t="s">
        <v>1538</v>
      </c>
    </row>
    <row r="1742" spans="1:6" x14ac:dyDescent="0.25">
      <c r="A1742" t="s">
        <v>2158</v>
      </c>
      <c r="B1742" t="s">
        <v>250</v>
      </c>
      <c r="C1742" t="s">
        <v>251</v>
      </c>
    </row>
    <row r="1743" spans="1:6" x14ac:dyDescent="0.25">
      <c r="A1743" t="s">
        <v>2158</v>
      </c>
      <c r="B1743" t="s">
        <v>258</v>
      </c>
      <c r="C1743" t="s">
        <v>259</v>
      </c>
      <c r="D1743" t="str">
        <f>HYPERLINK("http://service.sap.com/sap/support/notes/1545432","1545432")</f>
        <v>1545432</v>
      </c>
      <c r="E1743">
        <v>2</v>
      </c>
      <c r="F1743" t="s">
        <v>1539</v>
      </c>
    </row>
    <row r="1744" spans="1:6" x14ac:dyDescent="0.25">
      <c r="A1744" t="s">
        <v>2158</v>
      </c>
      <c r="B1744" t="s">
        <v>258</v>
      </c>
      <c r="C1744" t="s">
        <v>259</v>
      </c>
      <c r="D1744" t="str">
        <f>HYPERLINK("http://service.sap.com/sap/support/notes/1545921","1545921")</f>
        <v>1545921</v>
      </c>
      <c r="E1744">
        <v>3</v>
      </c>
      <c r="F1744" t="s">
        <v>1540</v>
      </c>
    </row>
    <row r="1745" spans="1:6" x14ac:dyDescent="0.25">
      <c r="A1745" t="s">
        <v>2158</v>
      </c>
      <c r="B1745" t="s">
        <v>258</v>
      </c>
      <c r="C1745" t="s">
        <v>259</v>
      </c>
      <c r="D1745" t="str">
        <f>HYPERLINK("http://service.sap.com/sap/support/notes/1547906","1547906")</f>
        <v>1547906</v>
      </c>
      <c r="E1745">
        <v>2</v>
      </c>
      <c r="F1745" t="s">
        <v>1541</v>
      </c>
    </row>
    <row r="1746" spans="1:6" x14ac:dyDescent="0.25">
      <c r="A1746" t="s">
        <v>2158</v>
      </c>
      <c r="B1746" t="s">
        <v>264</v>
      </c>
      <c r="C1746" t="s">
        <v>265</v>
      </c>
      <c r="D1746" t="str">
        <f>HYPERLINK("http://service.sap.com/sap/support/notes/1533496","1533496")</f>
        <v>1533496</v>
      </c>
      <c r="E1746">
        <v>1</v>
      </c>
      <c r="F1746" t="s">
        <v>1542</v>
      </c>
    </row>
    <row r="1747" spans="1:6" x14ac:dyDescent="0.25">
      <c r="A1747" t="s">
        <v>2158</v>
      </c>
      <c r="B1747" t="s">
        <v>264</v>
      </c>
      <c r="C1747" t="s">
        <v>265</v>
      </c>
      <c r="D1747" t="str">
        <f>HYPERLINK("http://service.sap.com/sap/support/notes/1539042","1539042")</f>
        <v>1539042</v>
      </c>
      <c r="E1747">
        <v>2</v>
      </c>
      <c r="F1747" t="s">
        <v>1543</v>
      </c>
    </row>
    <row r="1748" spans="1:6" x14ac:dyDescent="0.25">
      <c r="A1748" t="s">
        <v>2158</v>
      </c>
      <c r="B1748" t="s">
        <v>264</v>
      </c>
      <c r="C1748" t="s">
        <v>265</v>
      </c>
      <c r="D1748" t="str">
        <f>HYPERLINK("http://service.sap.com/sap/support/notes/1546826","1546826")</f>
        <v>1546826</v>
      </c>
      <c r="E1748">
        <v>1</v>
      </c>
      <c r="F1748" t="s">
        <v>1544</v>
      </c>
    </row>
    <row r="1749" spans="1:6" x14ac:dyDescent="0.25">
      <c r="A1749" t="s">
        <v>2158</v>
      </c>
      <c r="B1749" t="s">
        <v>264</v>
      </c>
      <c r="C1749" t="s">
        <v>265</v>
      </c>
      <c r="D1749" t="str">
        <f>HYPERLINK("http://service.sap.com/sap/support/notes/1546913","1546913")</f>
        <v>1546913</v>
      </c>
      <c r="E1749">
        <v>1</v>
      </c>
      <c r="F1749" t="s">
        <v>1545</v>
      </c>
    </row>
    <row r="1750" spans="1:6" x14ac:dyDescent="0.25">
      <c r="A1750" t="s">
        <v>2158</v>
      </c>
      <c r="B1750" t="s">
        <v>264</v>
      </c>
      <c r="C1750" t="s">
        <v>265</v>
      </c>
      <c r="D1750" t="str">
        <f>HYPERLINK("http://service.sap.com/sap/support/notes/1547995","1547995")</f>
        <v>1547995</v>
      </c>
      <c r="E1750">
        <v>2</v>
      </c>
      <c r="F1750" t="s">
        <v>1546</v>
      </c>
    </row>
    <row r="1751" spans="1:6" x14ac:dyDescent="0.25">
      <c r="A1751" t="s">
        <v>2158</v>
      </c>
      <c r="B1751" t="s">
        <v>264</v>
      </c>
      <c r="C1751" t="s">
        <v>265</v>
      </c>
      <c r="D1751" t="str">
        <f>HYPERLINK("http://service.sap.com/sap/support/notes/1548294","1548294")</f>
        <v>1548294</v>
      </c>
      <c r="E1751">
        <v>1</v>
      </c>
      <c r="F1751" t="s">
        <v>1547</v>
      </c>
    </row>
    <row r="1752" spans="1:6" x14ac:dyDescent="0.25">
      <c r="A1752" t="s">
        <v>2158</v>
      </c>
      <c r="B1752" t="s">
        <v>273</v>
      </c>
      <c r="C1752" t="s">
        <v>153</v>
      </c>
      <c r="D1752" t="str">
        <f>HYPERLINK("http://service.sap.com/sap/support/notes/1535482","1535482")</f>
        <v>1535482</v>
      </c>
      <c r="E1752">
        <v>1</v>
      </c>
      <c r="F1752" t="s">
        <v>1548</v>
      </c>
    </row>
    <row r="1753" spans="1:6" x14ac:dyDescent="0.25">
      <c r="A1753" t="s">
        <v>2158</v>
      </c>
      <c r="B1753" t="s">
        <v>273</v>
      </c>
      <c r="C1753" t="s">
        <v>153</v>
      </c>
      <c r="D1753" t="str">
        <f>HYPERLINK("http://service.sap.com/sap/support/notes/1541384","1541384")</f>
        <v>1541384</v>
      </c>
      <c r="E1753">
        <v>2</v>
      </c>
      <c r="F1753" t="s">
        <v>1549</v>
      </c>
    </row>
    <row r="1754" spans="1:6" x14ac:dyDescent="0.25">
      <c r="A1754" t="s">
        <v>2158</v>
      </c>
      <c r="B1754" t="s">
        <v>273</v>
      </c>
      <c r="C1754" t="s">
        <v>153</v>
      </c>
      <c r="D1754" t="str">
        <f>HYPERLINK("http://service.sap.com/sap/support/notes/1545811","1545811")</f>
        <v>1545811</v>
      </c>
      <c r="E1754">
        <v>1</v>
      </c>
      <c r="F1754" t="s">
        <v>1550</v>
      </c>
    </row>
    <row r="1755" spans="1:6" x14ac:dyDescent="0.25">
      <c r="A1755" t="s">
        <v>2158</v>
      </c>
      <c r="B1755" t="s">
        <v>273</v>
      </c>
      <c r="C1755" t="s">
        <v>153</v>
      </c>
      <c r="D1755" t="str">
        <f>HYPERLINK("http://service.sap.com/sap/support/notes/1548176","1548176")</f>
        <v>1548176</v>
      </c>
      <c r="E1755">
        <v>1</v>
      </c>
      <c r="F1755" t="s">
        <v>1551</v>
      </c>
    </row>
    <row r="1756" spans="1:6" x14ac:dyDescent="0.25">
      <c r="A1756" t="s">
        <v>2158</v>
      </c>
      <c r="B1756" t="s">
        <v>273</v>
      </c>
      <c r="C1756" t="s">
        <v>153</v>
      </c>
      <c r="D1756" t="str">
        <f>HYPERLINK("http://service.sap.com/sap/support/notes/1548603","1548603")</f>
        <v>1548603</v>
      </c>
      <c r="E1756">
        <v>2</v>
      </c>
      <c r="F1756" t="s">
        <v>1552</v>
      </c>
    </row>
    <row r="1757" spans="1:6" x14ac:dyDescent="0.25">
      <c r="A1757" t="s">
        <v>2158</v>
      </c>
      <c r="B1757" t="s">
        <v>273</v>
      </c>
      <c r="C1757" t="s">
        <v>153</v>
      </c>
      <c r="D1757" t="str">
        <f>HYPERLINK("http://service.sap.com/sap/support/notes/1550378","1550378")</f>
        <v>1550378</v>
      </c>
      <c r="E1757">
        <v>1</v>
      </c>
      <c r="F1757" t="s">
        <v>1553</v>
      </c>
    </row>
    <row r="1758" spans="1:6" x14ac:dyDescent="0.25">
      <c r="A1758" t="s">
        <v>2158</v>
      </c>
      <c r="B1758" t="s">
        <v>284</v>
      </c>
      <c r="C1758" t="s">
        <v>285</v>
      </c>
      <c r="D1758" t="str">
        <f>HYPERLINK("http://service.sap.com/sap/support/notes/1542131","1542131")</f>
        <v>1542131</v>
      </c>
      <c r="E1758">
        <v>3</v>
      </c>
      <c r="F1758" t="s">
        <v>1554</v>
      </c>
    </row>
    <row r="1759" spans="1:6" x14ac:dyDescent="0.25">
      <c r="A1759" t="s">
        <v>2158</v>
      </c>
      <c r="B1759" t="s">
        <v>284</v>
      </c>
      <c r="C1759" t="s">
        <v>285</v>
      </c>
      <c r="D1759" t="str">
        <f>HYPERLINK("http://service.sap.com/sap/support/notes/1543884","1543884")</f>
        <v>1543884</v>
      </c>
      <c r="E1759">
        <v>2</v>
      </c>
      <c r="F1759" t="s">
        <v>1555</v>
      </c>
    </row>
    <row r="1760" spans="1:6" x14ac:dyDescent="0.25">
      <c r="A1760" t="s">
        <v>2158</v>
      </c>
      <c r="B1760" t="s">
        <v>284</v>
      </c>
      <c r="C1760" t="s">
        <v>285</v>
      </c>
      <c r="D1760" t="str">
        <f>HYPERLINK("http://service.sap.com/sap/support/notes/1546408","1546408")</f>
        <v>1546408</v>
      </c>
      <c r="E1760">
        <v>1</v>
      </c>
      <c r="F1760" t="s">
        <v>1556</v>
      </c>
    </row>
    <row r="1761" spans="1:6" x14ac:dyDescent="0.25">
      <c r="A1761" t="s">
        <v>2158</v>
      </c>
      <c r="B1761" t="s">
        <v>284</v>
      </c>
      <c r="C1761" t="s">
        <v>285</v>
      </c>
      <c r="D1761" t="str">
        <f>HYPERLINK("http://service.sap.com/sap/support/notes/1547322","1547322")</f>
        <v>1547322</v>
      </c>
      <c r="E1761">
        <v>1</v>
      </c>
      <c r="F1761" t="s">
        <v>1557</v>
      </c>
    </row>
    <row r="1762" spans="1:6" x14ac:dyDescent="0.25">
      <c r="A1762" t="s">
        <v>2158</v>
      </c>
      <c r="B1762" t="s">
        <v>284</v>
      </c>
      <c r="C1762" t="s">
        <v>285</v>
      </c>
      <c r="D1762" t="str">
        <f>HYPERLINK("http://service.sap.com/sap/support/notes/1547704","1547704")</f>
        <v>1547704</v>
      </c>
      <c r="E1762">
        <v>1</v>
      </c>
      <c r="F1762" t="s">
        <v>1558</v>
      </c>
    </row>
    <row r="1763" spans="1:6" x14ac:dyDescent="0.25">
      <c r="A1763" t="s">
        <v>2158</v>
      </c>
      <c r="B1763" t="s">
        <v>284</v>
      </c>
      <c r="C1763" t="s">
        <v>285</v>
      </c>
      <c r="D1763" t="str">
        <f>HYPERLINK("http://service.sap.com/sap/support/notes/1549399","1549399")</f>
        <v>1549399</v>
      </c>
      <c r="E1763">
        <v>1</v>
      </c>
      <c r="F1763" t="s">
        <v>1559</v>
      </c>
    </row>
    <row r="1764" spans="1:6" x14ac:dyDescent="0.25">
      <c r="A1764" t="s">
        <v>2158</v>
      </c>
      <c r="B1764" t="s">
        <v>284</v>
      </c>
      <c r="C1764" t="s">
        <v>285</v>
      </c>
      <c r="D1764" t="str">
        <f>HYPERLINK("http://service.sap.com/sap/support/notes/1549633","1549633")</f>
        <v>1549633</v>
      </c>
      <c r="E1764">
        <v>2</v>
      </c>
      <c r="F1764" t="s">
        <v>1560</v>
      </c>
    </row>
    <row r="1765" spans="1:6" x14ac:dyDescent="0.25">
      <c r="A1765" t="s">
        <v>2158</v>
      </c>
      <c r="B1765" t="s">
        <v>284</v>
      </c>
      <c r="C1765" t="s">
        <v>285</v>
      </c>
      <c r="D1765" t="str">
        <f>HYPERLINK("http://service.sap.com/sap/support/notes/1550404","1550404")</f>
        <v>1550404</v>
      </c>
      <c r="E1765">
        <v>1</v>
      </c>
      <c r="F1765" t="s">
        <v>1561</v>
      </c>
    </row>
    <row r="1766" spans="1:6" x14ac:dyDescent="0.25">
      <c r="A1766" t="s">
        <v>2158</v>
      </c>
      <c r="B1766" t="s">
        <v>293</v>
      </c>
      <c r="C1766" t="s">
        <v>294</v>
      </c>
      <c r="D1766" t="str">
        <f>HYPERLINK("http://service.sap.com/sap/support/notes/1546885","1546885")</f>
        <v>1546885</v>
      </c>
      <c r="E1766">
        <v>3</v>
      </c>
      <c r="F1766" t="s">
        <v>1562</v>
      </c>
    </row>
    <row r="1767" spans="1:6" x14ac:dyDescent="0.25">
      <c r="A1767" t="s">
        <v>2158</v>
      </c>
      <c r="B1767" t="s">
        <v>293</v>
      </c>
      <c r="C1767" t="s">
        <v>294</v>
      </c>
      <c r="D1767" t="str">
        <f>HYPERLINK("http://service.sap.com/sap/support/notes/1546977","1546977")</f>
        <v>1546977</v>
      </c>
      <c r="E1767">
        <v>3</v>
      </c>
      <c r="F1767" t="s">
        <v>1563</v>
      </c>
    </row>
    <row r="1768" spans="1:6" x14ac:dyDescent="0.25">
      <c r="A1768" t="s">
        <v>2158</v>
      </c>
      <c r="B1768" t="s">
        <v>293</v>
      </c>
      <c r="C1768" t="s">
        <v>294</v>
      </c>
      <c r="D1768" t="str">
        <f>HYPERLINK("http://service.sap.com/sap/support/notes/1548372","1548372")</f>
        <v>1548372</v>
      </c>
      <c r="E1768">
        <v>1</v>
      </c>
      <c r="F1768" t="s">
        <v>1564</v>
      </c>
    </row>
    <row r="1769" spans="1:6" x14ac:dyDescent="0.25">
      <c r="A1769" t="s">
        <v>2158</v>
      </c>
      <c r="B1769" t="s">
        <v>298</v>
      </c>
      <c r="C1769" t="s">
        <v>299</v>
      </c>
    </row>
    <row r="1770" spans="1:6" x14ac:dyDescent="0.25">
      <c r="A1770" t="s">
        <v>2158</v>
      </c>
      <c r="B1770" t="s">
        <v>1063</v>
      </c>
      <c r="C1770" t="s">
        <v>1565</v>
      </c>
      <c r="D1770" t="str">
        <f>HYPERLINK("http://service.sap.com/sap/support/notes/1548376","1548376")</f>
        <v>1548376</v>
      </c>
      <c r="E1770">
        <v>1</v>
      </c>
      <c r="F1770" t="s">
        <v>1566</v>
      </c>
    </row>
    <row r="1771" spans="1:6" x14ac:dyDescent="0.25">
      <c r="A1771" t="s">
        <v>2158</v>
      </c>
      <c r="B1771" t="s">
        <v>1063</v>
      </c>
      <c r="C1771" t="s">
        <v>1565</v>
      </c>
      <c r="D1771" t="str">
        <f>HYPERLINK("http://service.sap.com/sap/support/notes/1551179","1551179")</f>
        <v>1551179</v>
      </c>
      <c r="E1771">
        <v>2</v>
      </c>
      <c r="F1771" t="s">
        <v>1567</v>
      </c>
    </row>
    <row r="1772" spans="1:6" x14ac:dyDescent="0.25">
      <c r="A1772" t="s">
        <v>2158</v>
      </c>
      <c r="B1772" t="s">
        <v>1063</v>
      </c>
      <c r="C1772" t="s">
        <v>1565</v>
      </c>
      <c r="D1772" t="str">
        <f>HYPERLINK("http://service.sap.com/sap/support/notes/1551502","1551502")</f>
        <v>1551502</v>
      </c>
      <c r="E1772">
        <v>1</v>
      </c>
      <c r="F1772" t="s">
        <v>1568</v>
      </c>
    </row>
    <row r="1773" spans="1:6" x14ac:dyDescent="0.25">
      <c r="A1773" t="s">
        <v>2158</v>
      </c>
      <c r="B1773" t="s">
        <v>304</v>
      </c>
      <c r="C1773" t="s">
        <v>305</v>
      </c>
      <c r="D1773" t="str">
        <f>HYPERLINK("http://service.sap.com/sap/support/notes/1017716","1017716")</f>
        <v>1017716</v>
      </c>
      <c r="E1773">
        <v>1</v>
      </c>
      <c r="F1773" t="s">
        <v>1074</v>
      </c>
    </row>
    <row r="1774" spans="1:6" x14ac:dyDescent="0.25">
      <c r="A1774" t="s">
        <v>2158</v>
      </c>
      <c r="B1774" t="s">
        <v>304</v>
      </c>
      <c r="C1774" t="s">
        <v>305</v>
      </c>
      <c r="D1774" t="str">
        <f>HYPERLINK("http://service.sap.com/sap/support/notes/1303347","1303347")</f>
        <v>1303347</v>
      </c>
      <c r="E1774">
        <v>1</v>
      </c>
      <c r="F1774" t="s">
        <v>1569</v>
      </c>
    </row>
    <row r="1775" spans="1:6" x14ac:dyDescent="0.25">
      <c r="A1775" t="s">
        <v>2158</v>
      </c>
      <c r="B1775" t="s">
        <v>304</v>
      </c>
      <c r="C1775" t="s">
        <v>305</v>
      </c>
      <c r="D1775" t="str">
        <f>HYPERLINK("http://service.sap.com/sap/support/notes/1480073","1480073")</f>
        <v>1480073</v>
      </c>
      <c r="E1775">
        <v>1</v>
      </c>
      <c r="F1775" t="s">
        <v>306</v>
      </c>
    </row>
    <row r="1776" spans="1:6" x14ac:dyDescent="0.25">
      <c r="A1776" t="s">
        <v>2158</v>
      </c>
      <c r="B1776" t="s">
        <v>304</v>
      </c>
      <c r="C1776" t="s">
        <v>305</v>
      </c>
      <c r="D1776" t="str">
        <f>HYPERLINK("http://service.sap.com/sap/support/notes/1519495","1519495")</f>
        <v>1519495</v>
      </c>
      <c r="E1776">
        <v>2</v>
      </c>
      <c r="F1776" t="s">
        <v>1570</v>
      </c>
    </row>
    <row r="1777" spans="1:6" x14ac:dyDescent="0.25">
      <c r="A1777" t="s">
        <v>2158</v>
      </c>
      <c r="B1777" t="s">
        <v>304</v>
      </c>
      <c r="C1777" t="s">
        <v>305</v>
      </c>
      <c r="D1777" t="str">
        <f>HYPERLINK("http://service.sap.com/sap/support/notes/1531343","1531343")</f>
        <v>1531343</v>
      </c>
      <c r="E1777">
        <v>2</v>
      </c>
      <c r="F1777" t="s">
        <v>1571</v>
      </c>
    </row>
    <row r="1778" spans="1:6" x14ac:dyDescent="0.25">
      <c r="A1778" t="s">
        <v>2158</v>
      </c>
      <c r="B1778" t="s">
        <v>304</v>
      </c>
      <c r="C1778" t="s">
        <v>305</v>
      </c>
      <c r="D1778" t="str">
        <f>HYPERLINK("http://service.sap.com/sap/support/notes/1533214","1533214")</f>
        <v>1533214</v>
      </c>
      <c r="E1778">
        <v>2</v>
      </c>
      <c r="F1778" t="s">
        <v>1572</v>
      </c>
    </row>
    <row r="1779" spans="1:6" x14ac:dyDescent="0.25">
      <c r="A1779" t="s">
        <v>2158</v>
      </c>
      <c r="B1779" t="s">
        <v>304</v>
      </c>
      <c r="C1779" t="s">
        <v>305</v>
      </c>
      <c r="D1779" t="str">
        <f>HYPERLINK("http://service.sap.com/sap/support/notes/1534383","1534383")</f>
        <v>1534383</v>
      </c>
      <c r="E1779">
        <v>1</v>
      </c>
      <c r="F1779" t="s">
        <v>1573</v>
      </c>
    </row>
    <row r="1780" spans="1:6" x14ac:dyDescent="0.25">
      <c r="A1780" t="s">
        <v>2158</v>
      </c>
      <c r="B1780" t="s">
        <v>304</v>
      </c>
      <c r="C1780" t="s">
        <v>305</v>
      </c>
      <c r="D1780" t="str">
        <f>HYPERLINK("http://service.sap.com/sap/support/notes/1538005","1538005")</f>
        <v>1538005</v>
      </c>
      <c r="E1780">
        <v>4</v>
      </c>
      <c r="F1780" t="s">
        <v>1574</v>
      </c>
    </row>
    <row r="1781" spans="1:6" x14ac:dyDescent="0.25">
      <c r="A1781" t="s">
        <v>2158</v>
      </c>
      <c r="B1781" t="s">
        <v>304</v>
      </c>
      <c r="C1781" t="s">
        <v>305</v>
      </c>
      <c r="D1781" t="str">
        <f>HYPERLINK("http://service.sap.com/sap/support/notes/1539906","1539906")</f>
        <v>1539906</v>
      </c>
      <c r="E1781">
        <v>3</v>
      </c>
      <c r="F1781" t="s">
        <v>1575</v>
      </c>
    </row>
    <row r="1782" spans="1:6" x14ac:dyDescent="0.25">
      <c r="A1782" t="s">
        <v>2158</v>
      </c>
      <c r="B1782" t="s">
        <v>304</v>
      </c>
      <c r="C1782" t="s">
        <v>305</v>
      </c>
      <c r="D1782" t="str">
        <f>HYPERLINK("http://service.sap.com/sap/support/notes/1540603","1540603")</f>
        <v>1540603</v>
      </c>
      <c r="E1782">
        <v>1</v>
      </c>
      <c r="F1782" t="s">
        <v>1576</v>
      </c>
    </row>
    <row r="1783" spans="1:6" x14ac:dyDescent="0.25">
      <c r="A1783" t="s">
        <v>2158</v>
      </c>
      <c r="B1783" t="s">
        <v>304</v>
      </c>
      <c r="C1783" t="s">
        <v>305</v>
      </c>
      <c r="D1783" t="str">
        <f>HYPERLINK("http://service.sap.com/sap/support/notes/1541971","1541971")</f>
        <v>1541971</v>
      </c>
      <c r="E1783">
        <v>5</v>
      </c>
      <c r="F1783" t="s">
        <v>1577</v>
      </c>
    </row>
    <row r="1784" spans="1:6" x14ac:dyDescent="0.25">
      <c r="A1784" t="s">
        <v>2158</v>
      </c>
      <c r="B1784" t="s">
        <v>304</v>
      </c>
      <c r="C1784" t="s">
        <v>305</v>
      </c>
      <c r="D1784" t="str">
        <f>HYPERLINK("http://service.sap.com/sap/support/notes/1542527","1542527")</f>
        <v>1542527</v>
      </c>
      <c r="E1784">
        <v>11</v>
      </c>
      <c r="F1784" t="s">
        <v>1578</v>
      </c>
    </row>
    <row r="1785" spans="1:6" x14ac:dyDescent="0.25">
      <c r="A1785" t="s">
        <v>2158</v>
      </c>
      <c r="B1785" t="s">
        <v>304</v>
      </c>
      <c r="C1785" t="s">
        <v>305</v>
      </c>
      <c r="D1785" t="str">
        <f>HYPERLINK("http://service.sap.com/sap/support/notes/1543279","1543279")</f>
        <v>1543279</v>
      </c>
      <c r="E1785">
        <v>2</v>
      </c>
      <c r="F1785" t="s">
        <v>1579</v>
      </c>
    </row>
    <row r="1786" spans="1:6" x14ac:dyDescent="0.25">
      <c r="A1786" t="s">
        <v>2158</v>
      </c>
      <c r="B1786" t="s">
        <v>304</v>
      </c>
      <c r="C1786" t="s">
        <v>305</v>
      </c>
      <c r="D1786" t="str">
        <f>HYPERLINK("http://service.sap.com/sap/support/notes/1543312","1543312")</f>
        <v>1543312</v>
      </c>
      <c r="E1786">
        <v>2</v>
      </c>
      <c r="F1786" t="s">
        <v>1580</v>
      </c>
    </row>
    <row r="1787" spans="1:6" x14ac:dyDescent="0.25">
      <c r="A1787" t="s">
        <v>2158</v>
      </c>
      <c r="B1787" t="s">
        <v>304</v>
      </c>
      <c r="C1787" t="s">
        <v>305</v>
      </c>
      <c r="D1787" t="str">
        <f>HYPERLINK("http://service.sap.com/sap/support/notes/1543910","1543910")</f>
        <v>1543910</v>
      </c>
      <c r="E1787">
        <v>3</v>
      </c>
      <c r="F1787" t="s">
        <v>1581</v>
      </c>
    </row>
    <row r="1788" spans="1:6" x14ac:dyDescent="0.25">
      <c r="A1788" t="s">
        <v>2158</v>
      </c>
      <c r="B1788" t="s">
        <v>304</v>
      </c>
      <c r="C1788" t="s">
        <v>305</v>
      </c>
      <c r="D1788" t="str">
        <f>HYPERLINK("http://service.sap.com/sap/support/notes/1545747","1545747")</f>
        <v>1545747</v>
      </c>
      <c r="E1788">
        <v>11</v>
      </c>
      <c r="F1788" t="s">
        <v>1582</v>
      </c>
    </row>
    <row r="1789" spans="1:6" x14ac:dyDescent="0.25">
      <c r="A1789" t="s">
        <v>2158</v>
      </c>
      <c r="B1789" t="s">
        <v>304</v>
      </c>
      <c r="C1789" t="s">
        <v>305</v>
      </c>
      <c r="D1789" t="str">
        <f>HYPERLINK("http://service.sap.com/sap/support/notes/1546144","1546144")</f>
        <v>1546144</v>
      </c>
      <c r="E1789">
        <v>2</v>
      </c>
      <c r="F1789" t="s">
        <v>1583</v>
      </c>
    </row>
    <row r="1790" spans="1:6" x14ac:dyDescent="0.25">
      <c r="A1790" t="s">
        <v>2158</v>
      </c>
      <c r="B1790" t="s">
        <v>304</v>
      </c>
      <c r="C1790" t="s">
        <v>305</v>
      </c>
      <c r="D1790" t="str">
        <f>HYPERLINK("http://service.sap.com/sap/support/notes/1546460","1546460")</f>
        <v>1546460</v>
      </c>
      <c r="E1790">
        <v>1</v>
      </c>
      <c r="F1790" t="s">
        <v>1584</v>
      </c>
    </row>
    <row r="1791" spans="1:6" x14ac:dyDescent="0.25">
      <c r="A1791" t="s">
        <v>2158</v>
      </c>
      <c r="B1791" t="s">
        <v>304</v>
      </c>
      <c r="C1791" t="s">
        <v>305</v>
      </c>
      <c r="D1791" t="str">
        <f>HYPERLINK("http://service.sap.com/sap/support/notes/1546477","1546477")</f>
        <v>1546477</v>
      </c>
      <c r="E1791">
        <v>1</v>
      </c>
      <c r="F1791" t="s">
        <v>1585</v>
      </c>
    </row>
    <row r="1792" spans="1:6" x14ac:dyDescent="0.25">
      <c r="A1792" t="s">
        <v>2158</v>
      </c>
      <c r="B1792" t="s">
        <v>304</v>
      </c>
      <c r="C1792" t="s">
        <v>305</v>
      </c>
      <c r="D1792" t="str">
        <f>HYPERLINK("http://service.sap.com/sap/support/notes/1546753","1546753")</f>
        <v>1546753</v>
      </c>
      <c r="E1792">
        <v>1</v>
      </c>
      <c r="F1792" t="s">
        <v>1586</v>
      </c>
    </row>
    <row r="1793" spans="1:6" x14ac:dyDescent="0.25">
      <c r="A1793" t="s">
        <v>2158</v>
      </c>
      <c r="B1793" t="s">
        <v>304</v>
      </c>
      <c r="C1793" t="s">
        <v>305</v>
      </c>
      <c r="D1793" t="str">
        <f>HYPERLINK("http://service.sap.com/sap/support/notes/1547573","1547573")</f>
        <v>1547573</v>
      </c>
      <c r="E1793">
        <v>2</v>
      </c>
      <c r="F1793" t="s">
        <v>1587</v>
      </c>
    </row>
    <row r="1794" spans="1:6" x14ac:dyDescent="0.25">
      <c r="A1794" t="s">
        <v>2158</v>
      </c>
      <c r="B1794" t="s">
        <v>304</v>
      </c>
      <c r="C1794" t="s">
        <v>305</v>
      </c>
      <c r="D1794" t="str">
        <f>HYPERLINK("http://service.sap.com/sap/support/notes/1548413","1548413")</f>
        <v>1548413</v>
      </c>
      <c r="E1794">
        <v>1</v>
      </c>
      <c r="F1794" t="s">
        <v>1588</v>
      </c>
    </row>
    <row r="1795" spans="1:6" x14ac:dyDescent="0.25">
      <c r="A1795" t="s">
        <v>2158</v>
      </c>
      <c r="B1795" t="s">
        <v>304</v>
      </c>
      <c r="C1795" t="s">
        <v>305</v>
      </c>
      <c r="D1795" t="str">
        <f>HYPERLINK("http://service.sap.com/sap/support/notes/1548700","1548700")</f>
        <v>1548700</v>
      </c>
      <c r="E1795">
        <v>1</v>
      </c>
      <c r="F1795" t="s">
        <v>1589</v>
      </c>
    </row>
    <row r="1796" spans="1:6" x14ac:dyDescent="0.25">
      <c r="A1796" t="s">
        <v>2158</v>
      </c>
      <c r="B1796" t="s">
        <v>304</v>
      </c>
      <c r="C1796" t="s">
        <v>305</v>
      </c>
      <c r="D1796" t="str">
        <f>HYPERLINK("http://service.sap.com/sap/support/notes/1549671","1549671")</f>
        <v>1549671</v>
      </c>
      <c r="E1796">
        <v>3</v>
      </c>
      <c r="F1796" t="s">
        <v>1590</v>
      </c>
    </row>
    <row r="1797" spans="1:6" x14ac:dyDescent="0.25">
      <c r="A1797" t="s">
        <v>2158</v>
      </c>
      <c r="B1797" t="s">
        <v>304</v>
      </c>
      <c r="C1797" t="s">
        <v>305</v>
      </c>
      <c r="D1797" t="str">
        <f>HYPERLINK("http://service.sap.com/sap/support/notes/1550600","1550600")</f>
        <v>1550600</v>
      </c>
      <c r="E1797">
        <v>4</v>
      </c>
      <c r="F1797" t="s">
        <v>1591</v>
      </c>
    </row>
    <row r="1798" spans="1:6" x14ac:dyDescent="0.25">
      <c r="A1798" t="s">
        <v>2158</v>
      </c>
      <c r="B1798" t="s">
        <v>324</v>
      </c>
      <c r="C1798" t="s">
        <v>55</v>
      </c>
      <c r="D1798" t="str">
        <f>HYPERLINK("http://service.sap.com/sap/support/notes/1518104","1518104")</f>
        <v>1518104</v>
      </c>
      <c r="E1798">
        <v>2</v>
      </c>
      <c r="F1798" t="s">
        <v>1592</v>
      </c>
    </row>
    <row r="1799" spans="1:6" x14ac:dyDescent="0.25">
      <c r="A1799" t="s">
        <v>2158</v>
      </c>
      <c r="B1799" t="s">
        <v>324</v>
      </c>
      <c r="C1799" t="s">
        <v>55</v>
      </c>
      <c r="D1799" t="str">
        <f>HYPERLINK("http://service.sap.com/sap/support/notes/1545783","1545783")</f>
        <v>1545783</v>
      </c>
      <c r="E1799">
        <v>1</v>
      </c>
      <c r="F1799" t="s">
        <v>1593</v>
      </c>
    </row>
    <row r="1800" spans="1:6" x14ac:dyDescent="0.25">
      <c r="A1800" t="s">
        <v>2158</v>
      </c>
      <c r="B1800" t="s">
        <v>324</v>
      </c>
      <c r="C1800" t="s">
        <v>55</v>
      </c>
      <c r="D1800" t="str">
        <f>HYPERLINK("http://service.sap.com/sap/support/notes/1549776","1549776")</f>
        <v>1549776</v>
      </c>
      <c r="E1800">
        <v>2</v>
      </c>
      <c r="F1800" t="s">
        <v>1594</v>
      </c>
    </row>
    <row r="1801" spans="1:6" x14ac:dyDescent="0.25">
      <c r="A1801" t="s">
        <v>2158</v>
      </c>
      <c r="B1801" t="s">
        <v>328</v>
      </c>
      <c r="C1801" t="s">
        <v>58</v>
      </c>
      <c r="D1801" t="str">
        <f>HYPERLINK("http://service.sap.com/sap/support/notes/1504109","1504109")</f>
        <v>1504109</v>
      </c>
      <c r="E1801">
        <v>23</v>
      </c>
      <c r="F1801" t="s">
        <v>1595</v>
      </c>
    </row>
    <row r="1802" spans="1:6" x14ac:dyDescent="0.25">
      <c r="A1802" t="s">
        <v>2158</v>
      </c>
      <c r="B1802" t="s">
        <v>328</v>
      </c>
      <c r="C1802" t="s">
        <v>58</v>
      </c>
      <c r="D1802" t="str">
        <f>HYPERLINK("http://service.sap.com/sap/support/notes/1529762","1529762")</f>
        <v>1529762</v>
      </c>
      <c r="E1802">
        <v>1</v>
      </c>
      <c r="F1802" t="s">
        <v>1596</v>
      </c>
    </row>
    <row r="1803" spans="1:6" x14ac:dyDescent="0.25">
      <c r="A1803" t="s">
        <v>2158</v>
      </c>
      <c r="B1803" t="s">
        <v>328</v>
      </c>
      <c r="C1803" t="s">
        <v>58</v>
      </c>
      <c r="D1803" t="str">
        <f>HYPERLINK("http://service.sap.com/sap/support/notes/1532080","1532080")</f>
        <v>1532080</v>
      </c>
      <c r="E1803">
        <v>3</v>
      </c>
      <c r="F1803" t="s">
        <v>1597</v>
      </c>
    </row>
    <row r="1804" spans="1:6" x14ac:dyDescent="0.25">
      <c r="A1804" t="s">
        <v>2158</v>
      </c>
      <c r="B1804" t="s">
        <v>328</v>
      </c>
      <c r="C1804" t="s">
        <v>58</v>
      </c>
      <c r="D1804" t="str">
        <f>HYPERLINK("http://service.sap.com/sap/support/notes/1535272","1535272")</f>
        <v>1535272</v>
      </c>
      <c r="E1804">
        <v>6</v>
      </c>
      <c r="F1804" t="s">
        <v>1598</v>
      </c>
    </row>
    <row r="1805" spans="1:6" x14ac:dyDescent="0.25">
      <c r="A1805" t="s">
        <v>2158</v>
      </c>
      <c r="B1805" t="s">
        <v>328</v>
      </c>
      <c r="C1805" t="s">
        <v>58</v>
      </c>
      <c r="D1805" t="str">
        <f>HYPERLINK("http://service.sap.com/sap/support/notes/1542876","1542876")</f>
        <v>1542876</v>
      </c>
      <c r="E1805">
        <v>2</v>
      </c>
      <c r="F1805" t="s">
        <v>1599</v>
      </c>
    </row>
    <row r="1806" spans="1:6" x14ac:dyDescent="0.25">
      <c r="A1806" t="s">
        <v>2158</v>
      </c>
      <c r="B1806" t="s">
        <v>328</v>
      </c>
      <c r="C1806" t="s">
        <v>58</v>
      </c>
      <c r="D1806" t="str">
        <f>HYPERLINK("http://service.sap.com/sap/support/notes/1543757","1543757")</f>
        <v>1543757</v>
      </c>
      <c r="E1806">
        <v>2</v>
      </c>
      <c r="F1806" t="s">
        <v>1600</v>
      </c>
    </row>
    <row r="1807" spans="1:6" x14ac:dyDescent="0.25">
      <c r="A1807" t="s">
        <v>2158</v>
      </c>
      <c r="B1807" t="s">
        <v>328</v>
      </c>
      <c r="C1807" t="s">
        <v>58</v>
      </c>
      <c r="D1807" t="str">
        <f>HYPERLINK("http://service.sap.com/sap/support/notes/1545458","1545458")</f>
        <v>1545458</v>
      </c>
      <c r="E1807">
        <v>1</v>
      </c>
      <c r="F1807" t="s">
        <v>1601</v>
      </c>
    </row>
    <row r="1808" spans="1:6" x14ac:dyDescent="0.25">
      <c r="A1808" t="s">
        <v>2158</v>
      </c>
      <c r="B1808" t="s">
        <v>328</v>
      </c>
      <c r="C1808" t="s">
        <v>58</v>
      </c>
      <c r="D1808" t="str">
        <f>HYPERLINK("http://service.sap.com/sap/support/notes/1545690","1545690")</f>
        <v>1545690</v>
      </c>
      <c r="E1808">
        <v>9</v>
      </c>
      <c r="F1808" t="s">
        <v>1602</v>
      </c>
    </row>
    <row r="1809" spans="1:6" x14ac:dyDescent="0.25">
      <c r="A1809" t="s">
        <v>2158</v>
      </c>
      <c r="B1809" t="s">
        <v>328</v>
      </c>
      <c r="C1809" t="s">
        <v>58</v>
      </c>
      <c r="D1809" t="str">
        <f>HYPERLINK("http://service.sap.com/sap/support/notes/1545932","1545932")</f>
        <v>1545932</v>
      </c>
      <c r="E1809">
        <v>3</v>
      </c>
      <c r="F1809" t="s">
        <v>1603</v>
      </c>
    </row>
    <row r="1810" spans="1:6" x14ac:dyDescent="0.25">
      <c r="A1810" t="s">
        <v>2158</v>
      </c>
      <c r="B1810" t="s">
        <v>328</v>
      </c>
      <c r="C1810" t="s">
        <v>58</v>
      </c>
      <c r="D1810" t="str">
        <f>HYPERLINK("http://service.sap.com/sap/support/notes/1546612","1546612")</f>
        <v>1546612</v>
      </c>
      <c r="E1810">
        <v>2</v>
      </c>
      <c r="F1810" t="s">
        <v>1604</v>
      </c>
    </row>
    <row r="1811" spans="1:6" x14ac:dyDescent="0.25">
      <c r="A1811" t="s">
        <v>2158</v>
      </c>
      <c r="B1811" t="s">
        <v>328</v>
      </c>
      <c r="C1811" t="s">
        <v>58</v>
      </c>
      <c r="D1811" t="str">
        <f>HYPERLINK("http://service.sap.com/sap/support/notes/1546630","1546630")</f>
        <v>1546630</v>
      </c>
      <c r="E1811">
        <v>4</v>
      </c>
      <c r="F1811" t="s">
        <v>1605</v>
      </c>
    </row>
    <row r="1812" spans="1:6" x14ac:dyDescent="0.25">
      <c r="A1812" t="s">
        <v>2158</v>
      </c>
      <c r="B1812" t="s">
        <v>328</v>
      </c>
      <c r="C1812" t="s">
        <v>58</v>
      </c>
      <c r="D1812" t="str">
        <f>HYPERLINK("http://service.sap.com/sap/support/notes/1547479","1547479")</f>
        <v>1547479</v>
      </c>
      <c r="E1812">
        <v>1</v>
      </c>
      <c r="F1812" t="s">
        <v>1606</v>
      </c>
    </row>
    <row r="1813" spans="1:6" x14ac:dyDescent="0.25">
      <c r="A1813" t="s">
        <v>2158</v>
      </c>
      <c r="B1813" t="s">
        <v>328</v>
      </c>
      <c r="C1813" t="s">
        <v>58</v>
      </c>
      <c r="D1813" t="str">
        <f>HYPERLINK("http://service.sap.com/sap/support/notes/1547510","1547510")</f>
        <v>1547510</v>
      </c>
      <c r="E1813">
        <v>2</v>
      </c>
      <c r="F1813" t="s">
        <v>1607</v>
      </c>
    </row>
    <row r="1814" spans="1:6" x14ac:dyDescent="0.25">
      <c r="A1814" t="s">
        <v>2158</v>
      </c>
      <c r="B1814" t="s">
        <v>343</v>
      </c>
      <c r="C1814" t="s">
        <v>344</v>
      </c>
      <c r="D1814" t="str">
        <f>HYPERLINK("http://service.sap.com/sap/support/notes/1129168","1129168")</f>
        <v>1129168</v>
      </c>
      <c r="E1814">
        <v>1</v>
      </c>
      <c r="F1814" t="s">
        <v>345</v>
      </c>
    </row>
    <row r="1815" spans="1:6" x14ac:dyDescent="0.25">
      <c r="A1815" t="s">
        <v>2158</v>
      </c>
      <c r="B1815" t="s">
        <v>343</v>
      </c>
      <c r="C1815" t="s">
        <v>344</v>
      </c>
      <c r="D1815" t="str">
        <f>HYPERLINK("http://service.sap.com/sap/support/notes/1496924","1496924")</f>
        <v>1496924</v>
      </c>
      <c r="E1815">
        <v>4</v>
      </c>
      <c r="F1815" t="s">
        <v>1608</v>
      </c>
    </row>
    <row r="1816" spans="1:6" x14ac:dyDescent="0.25">
      <c r="A1816" t="s">
        <v>2158</v>
      </c>
      <c r="B1816" t="s">
        <v>343</v>
      </c>
      <c r="C1816" t="s">
        <v>344</v>
      </c>
      <c r="D1816" t="str">
        <f>HYPERLINK("http://service.sap.com/sap/support/notes/1551338","1551338")</f>
        <v>1551338</v>
      </c>
      <c r="E1816">
        <v>1</v>
      </c>
      <c r="F1816" t="s">
        <v>1609</v>
      </c>
    </row>
    <row r="1817" spans="1:6" x14ac:dyDescent="0.25">
      <c r="A1817" t="s">
        <v>2158</v>
      </c>
      <c r="B1817" t="s">
        <v>353</v>
      </c>
      <c r="C1817" t="s">
        <v>354</v>
      </c>
      <c r="D1817" t="str">
        <f>HYPERLINK("http://service.sap.com/sap/support/notes/1547221","1547221")</f>
        <v>1547221</v>
      </c>
      <c r="E1817">
        <v>2</v>
      </c>
      <c r="F1817" t="s">
        <v>1610</v>
      </c>
    </row>
    <row r="1818" spans="1:6" x14ac:dyDescent="0.25">
      <c r="A1818" t="s">
        <v>2158</v>
      </c>
      <c r="B1818" t="s">
        <v>353</v>
      </c>
      <c r="C1818" t="s">
        <v>354</v>
      </c>
      <c r="D1818" t="str">
        <f>HYPERLINK("http://service.sap.com/sap/support/notes/1550821","1550821")</f>
        <v>1550821</v>
      </c>
      <c r="E1818">
        <v>1</v>
      </c>
      <c r="F1818" t="s">
        <v>1611</v>
      </c>
    </row>
    <row r="1819" spans="1:6" x14ac:dyDescent="0.25">
      <c r="A1819" t="s">
        <v>2158</v>
      </c>
      <c r="B1819" t="s">
        <v>356</v>
      </c>
      <c r="C1819" t="s">
        <v>71</v>
      </c>
      <c r="D1819" t="str">
        <f>HYPERLINK("http://service.sap.com/sap/support/notes/1547645","1547645")</f>
        <v>1547645</v>
      </c>
      <c r="E1819">
        <v>1</v>
      </c>
      <c r="F1819" t="s">
        <v>1612</v>
      </c>
    </row>
    <row r="1820" spans="1:6" x14ac:dyDescent="0.25">
      <c r="A1820" t="s">
        <v>2158</v>
      </c>
      <c r="B1820" t="s">
        <v>356</v>
      </c>
      <c r="C1820" t="s">
        <v>71</v>
      </c>
      <c r="D1820" t="str">
        <f>HYPERLINK("http://service.sap.com/sap/support/notes/1551350","1551350")</f>
        <v>1551350</v>
      </c>
      <c r="E1820">
        <v>1</v>
      </c>
      <c r="F1820" t="s">
        <v>1613</v>
      </c>
    </row>
    <row r="1821" spans="1:6" x14ac:dyDescent="0.25">
      <c r="A1821" t="s">
        <v>2158</v>
      </c>
      <c r="B1821" t="s">
        <v>358</v>
      </c>
      <c r="C1821" t="s">
        <v>359</v>
      </c>
      <c r="D1821" t="str">
        <f>HYPERLINK("http://service.sap.com/sap/support/notes/1147798","1147798")</f>
        <v>1147798</v>
      </c>
      <c r="E1821">
        <v>1</v>
      </c>
      <c r="F1821" t="s">
        <v>360</v>
      </c>
    </row>
    <row r="1822" spans="1:6" x14ac:dyDescent="0.25">
      <c r="A1822" t="s">
        <v>2158</v>
      </c>
      <c r="B1822" t="s">
        <v>358</v>
      </c>
      <c r="C1822" t="s">
        <v>359</v>
      </c>
      <c r="D1822" t="str">
        <f>HYPERLINK("http://service.sap.com/sap/support/notes/1535395","1535395")</f>
        <v>1535395</v>
      </c>
      <c r="E1822">
        <v>4</v>
      </c>
      <c r="F1822" t="s">
        <v>1614</v>
      </c>
    </row>
    <row r="1823" spans="1:6" x14ac:dyDescent="0.25">
      <c r="A1823" t="s">
        <v>2158</v>
      </c>
      <c r="B1823" t="s">
        <v>358</v>
      </c>
      <c r="C1823" t="s">
        <v>359</v>
      </c>
      <c r="D1823" t="str">
        <f>HYPERLINK("http://service.sap.com/sap/support/notes/1538542","1538542")</f>
        <v>1538542</v>
      </c>
      <c r="E1823">
        <v>1</v>
      </c>
      <c r="F1823" t="s">
        <v>1615</v>
      </c>
    </row>
    <row r="1824" spans="1:6" x14ac:dyDescent="0.25">
      <c r="A1824" t="s">
        <v>2158</v>
      </c>
      <c r="B1824" t="s">
        <v>358</v>
      </c>
      <c r="C1824" t="s">
        <v>359</v>
      </c>
      <c r="D1824" t="str">
        <f>HYPERLINK("http://service.sap.com/sap/support/notes/1546247","1546247")</f>
        <v>1546247</v>
      </c>
      <c r="E1824">
        <v>1</v>
      </c>
      <c r="F1824" t="s">
        <v>1616</v>
      </c>
    </row>
    <row r="1825" spans="1:6" x14ac:dyDescent="0.25">
      <c r="A1825" t="s">
        <v>2158</v>
      </c>
      <c r="B1825" t="s">
        <v>358</v>
      </c>
      <c r="C1825" t="s">
        <v>359</v>
      </c>
      <c r="D1825" t="str">
        <f>HYPERLINK("http://service.sap.com/sap/support/notes/1547847","1547847")</f>
        <v>1547847</v>
      </c>
      <c r="E1825">
        <v>1</v>
      </c>
      <c r="F1825" t="s">
        <v>1617</v>
      </c>
    </row>
    <row r="1826" spans="1:6" x14ac:dyDescent="0.25">
      <c r="A1826" t="s">
        <v>2158</v>
      </c>
      <c r="B1826" t="s">
        <v>358</v>
      </c>
      <c r="C1826" t="s">
        <v>359</v>
      </c>
      <c r="D1826" t="str">
        <f>HYPERLINK("http://service.sap.com/sap/support/notes/1548051","1548051")</f>
        <v>1548051</v>
      </c>
      <c r="E1826">
        <v>1</v>
      </c>
      <c r="F1826" t="s">
        <v>1618</v>
      </c>
    </row>
    <row r="1827" spans="1:6" x14ac:dyDescent="0.25">
      <c r="A1827" t="s">
        <v>2158</v>
      </c>
      <c r="B1827" t="s">
        <v>358</v>
      </c>
      <c r="C1827" t="s">
        <v>359</v>
      </c>
      <c r="D1827" t="str">
        <f>HYPERLINK("http://service.sap.com/sap/support/notes/1548499","1548499")</f>
        <v>1548499</v>
      </c>
      <c r="E1827">
        <v>1</v>
      </c>
      <c r="F1827" t="s">
        <v>1619</v>
      </c>
    </row>
    <row r="1828" spans="1:6" x14ac:dyDescent="0.25">
      <c r="A1828" t="s">
        <v>2158</v>
      </c>
      <c r="B1828" t="s">
        <v>358</v>
      </c>
      <c r="C1828" t="s">
        <v>359</v>
      </c>
      <c r="D1828" t="str">
        <f>HYPERLINK("http://service.sap.com/sap/support/notes/1548677","1548677")</f>
        <v>1548677</v>
      </c>
      <c r="E1828">
        <v>1</v>
      </c>
      <c r="F1828" t="s">
        <v>1620</v>
      </c>
    </row>
    <row r="1829" spans="1:6" x14ac:dyDescent="0.25">
      <c r="A1829" t="s">
        <v>2158</v>
      </c>
      <c r="B1829" t="s">
        <v>358</v>
      </c>
      <c r="C1829" t="s">
        <v>359</v>
      </c>
      <c r="D1829" t="str">
        <f>HYPERLINK("http://service.sap.com/sap/support/notes/1549434","1549434")</f>
        <v>1549434</v>
      </c>
      <c r="E1829">
        <v>1</v>
      </c>
      <c r="F1829" t="s">
        <v>1621</v>
      </c>
    </row>
    <row r="1830" spans="1:6" x14ac:dyDescent="0.25">
      <c r="A1830" t="s">
        <v>2158</v>
      </c>
      <c r="B1830" t="s">
        <v>363</v>
      </c>
      <c r="C1830" t="s">
        <v>74</v>
      </c>
      <c r="D1830" t="str">
        <f>HYPERLINK("http://service.sap.com/sap/support/notes/1509129","1509129")</f>
        <v>1509129</v>
      </c>
      <c r="E1830">
        <v>1</v>
      </c>
      <c r="F1830" t="s">
        <v>1622</v>
      </c>
    </row>
    <row r="1831" spans="1:6" x14ac:dyDescent="0.25">
      <c r="A1831" t="s">
        <v>2158</v>
      </c>
      <c r="B1831" t="s">
        <v>363</v>
      </c>
      <c r="C1831" t="s">
        <v>74</v>
      </c>
      <c r="D1831" t="str">
        <f>HYPERLINK("http://service.sap.com/sap/support/notes/1546243","1546243")</f>
        <v>1546243</v>
      </c>
      <c r="E1831">
        <v>1</v>
      </c>
      <c r="F1831" t="s">
        <v>1623</v>
      </c>
    </row>
    <row r="1832" spans="1:6" x14ac:dyDescent="0.25">
      <c r="A1832" t="s">
        <v>2158</v>
      </c>
      <c r="B1832" t="s">
        <v>363</v>
      </c>
      <c r="C1832" t="s">
        <v>74</v>
      </c>
      <c r="D1832" t="str">
        <f>HYPERLINK("http://service.sap.com/sap/support/notes/1546949","1546949")</f>
        <v>1546949</v>
      </c>
      <c r="E1832">
        <v>4</v>
      </c>
      <c r="F1832" t="s">
        <v>1624</v>
      </c>
    </row>
    <row r="1833" spans="1:6" x14ac:dyDescent="0.25">
      <c r="A1833" t="s">
        <v>2158</v>
      </c>
      <c r="B1833" t="s">
        <v>363</v>
      </c>
      <c r="C1833" t="s">
        <v>74</v>
      </c>
      <c r="D1833" t="str">
        <f>HYPERLINK("http://service.sap.com/sap/support/notes/1551306","1551306")</f>
        <v>1551306</v>
      </c>
      <c r="E1833">
        <v>1</v>
      </c>
      <c r="F1833" t="s">
        <v>1625</v>
      </c>
    </row>
    <row r="1834" spans="1:6" x14ac:dyDescent="0.25">
      <c r="A1834" t="s">
        <v>2158</v>
      </c>
      <c r="B1834" t="s">
        <v>374</v>
      </c>
      <c r="C1834" t="s">
        <v>77</v>
      </c>
      <c r="D1834" t="str">
        <f>HYPERLINK("http://service.sap.com/sap/support/notes/1551571","1551571")</f>
        <v>1551571</v>
      </c>
      <c r="E1834">
        <v>6</v>
      </c>
      <c r="F1834" t="s">
        <v>1626</v>
      </c>
    </row>
    <row r="1835" spans="1:6" x14ac:dyDescent="0.25">
      <c r="A1835" t="s">
        <v>2158</v>
      </c>
      <c r="B1835" t="s">
        <v>379</v>
      </c>
      <c r="C1835" t="s">
        <v>80</v>
      </c>
      <c r="D1835" t="str">
        <f>HYPERLINK("http://service.sap.com/sap/support/notes/1481625","1481625")</f>
        <v>1481625</v>
      </c>
      <c r="E1835">
        <v>1</v>
      </c>
      <c r="F1835" t="s">
        <v>1627</v>
      </c>
    </row>
    <row r="1836" spans="1:6" x14ac:dyDescent="0.25">
      <c r="A1836" t="s">
        <v>2158</v>
      </c>
      <c r="B1836" t="s">
        <v>379</v>
      </c>
      <c r="C1836" t="s">
        <v>80</v>
      </c>
      <c r="D1836" t="str">
        <f>HYPERLINK("http://service.sap.com/sap/support/notes/1527610","1527610")</f>
        <v>1527610</v>
      </c>
      <c r="E1836">
        <v>1</v>
      </c>
      <c r="F1836" t="s">
        <v>1628</v>
      </c>
    </row>
    <row r="1837" spans="1:6" x14ac:dyDescent="0.25">
      <c r="A1837" t="s">
        <v>2158</v>
      </c>
      <c r="B1837" t="s">
        <v>379</v>
      </c>
      <c r="C1837" t="s">
        <v>80</v>
      </c>
      <c r="D1837" t="str">
        <f>HYPERLINK("http://service.sap.com/sap/support/notes/1539668","1539668")</f>
        <v>1539668</v>
      </c>
      <c r="E1837">
        <v>1</v>
      </c>
      <c r="F1837" t="s">
        <v>1629</v>
      </c>
    </row>
    <row r="1838" spans="1:6" x14ac:dyDescent="0.25">
      <c r="A1838" t="s">
        <v>2158</v>
      </c>
      <c r="B1838" t="s">
        <v>379</v>
      </c>
      <c r="C1838" t="s">
        <v>80</v>
      </c>
      <c r="D1838" t="str">
        <f>HYPERLINK("http://service.sap.com/sap/support/notes/1547214","1547214")</f>
        <v>1547214</v>
      </c>
      <c r="E1838">
        <v>1</v>
      </c>
      <c r="F1838" t="s">
        <v>1630</v>
      </c>
    </row>
    <row r="1839" spans="1:6" x14ac:dyDescent="0.25">
      <c r="A1839" t="s">
        <v>2158</v>
      </c>
      <c r="B1839" t="s">
        <v>379</v>
      </c>
      <c r="C1839" t="s">
        <v>80</v>
      </c>
      <c r="D1839" t="str">
        <f>HYPERLINK("http://service.sap.com/sap/support/notes/1547215","1547215")</f>
        <v>1547215</v>
      </c>
      <c r="E1839">
        <v>2</v>
      </c>
      <c r="F1839" t="s">
        <v>1631</v>
      </c>
    </row>
    <row r="1840" spans="1:6" x14ac:dyDescent="0.25">
      <c r="A1840" t="s">
        <v>2158</v>
      </c>
      <c r="B1840" t="s">
        <v>379</v>
      </c>
      <c r="C1840" t="s">
        <v>80</v>
      </c>
      <c r="D1840" t="str">
        <f>HYPERLINK("http://service.sap.com/sap/support/notes/1548989","1548989")</f>
        <v>1548989</v>
      </c>
      <c r="E1840">
        <v>1</v>
      </c>
      <c r="F1840" t="s">
        <v>1632</v>
      </c>
    </row>
    <row r="1841" spans="1:6" x14ac:dyDescent="0.25">
      <c r="A1841" t="s">
        <v>2158</v>
      </c>
      <c r="B1841" t="s">
        <v>379</v>
      </c>
      <c r="C1841" t="s">
        <v>80</v>
      </c>
      <c r="D1841" t="str">
        <f>HYPERLINK("http://service.sap.com/sap/support/notes/1549039","1549039")</f>
        <v>1549039</v>
      </c>
      <c r="E1841">
        <v>1</v>
      </c>
      <c r="F1841" t="s">
        <v>1633</v>
      </c>
    </row>
    <row r="1842" spans="1:6" x14ac:dyDescent="0.25">
      <c r="A1842" t="s">
        <v>2158</v>
      </c>
      <c r="B1842" t="s">
        <v>388</v>
      </c>
      <c r="C1842" t="s">
        <v>87</v>
      </c>
      <c r="D1842" t="str">
        <f>HYPERLINK("http://service.sap.com/sap/support/notes/1224058","1224058")</f>
        <v>1224058</v>
      </c>
      <c r="E1842">
        <v>1</v>
      </c>
      <c r="F1842" t="s">
        <v>389</v>
      </c>
    </row>
    <row r="1843" spans="1:6" x14ac:dyDescent="0.25">
      <c r="A1843" t="s">
        <v>2158</v>
      </c>
      <c r="B1843" t="s">
        <v>388</v>
      </c>
      <c r="C1843" t="s">
        <v>87</v>
      </c>
      <c r="D1843" t="str">
        <f>HYPERLINK("http://service.sap.com/sap/support/notes/1543478","1543478")</f>
        <v>1543478</v>
      </c>
      <c r="E1843">
        <v>2</v>
      </c>
      <c r="F1843" t="s">
        <v>1634</v>
      </c>
    </row>
    <row r="1844" spans="1:6" x14ac:dyDescent="0.25">
      <c r="A1844" t="s">
        <v>2158</v>
      </c>
      <c r="B1844" t="s">
        <v>388</v>
      </c>
      <c r="C1844" t="s">
        <v>87</v>
      </c>
      <c r="D1844" t="str">
        <f>HYPERLINK("http://service.sap.com/sap/support/notes/1545722","1545722")</f>
        <v>1545722</v>
      </c>
      <c r="E1844">
        <v>2</v>
      </c>
      <c r="F1844" t="s">
        <v>1635</v>
      </c>
    </row>
    <row r="1845" spans="1:6" x14ac:dyDescent="0.25">
      <c r="A1845" t="s">
        <v>2158</v>
      </c>
      <c r="B1845" t="s">
        <v>388</v>
      </c>
      <c r="C1845" t="s">
        <v>87</v>
      </c>
      <c r="D1845" t="str">
        <f>HYPERLINK("http://service.sap.com/sap/support/notes/1545731","1545731")</f>
        <v>1545731</v>
      </c>
      <c r="E1845">
        <v>2</v>
      </c>
      <c r="F1845" t="s">
        <v>1636</v>
      </c>
    </row>
    <row r="1846" spans="1:6" x14ac:dyDescent="0.25">
      <c r="A1846" t="s">
        <v>2158</v>
      </c>
      <c r="B1846" t="s">
        <v>388</v>
      </c>
      <c r="C1846" t="s">
        <v>87</v>
      </c>
      <c r="D1846" t="str">
        <f>HYPERLINK("http://service.sap.com/sap/support/notes/1546120","1546120")</f>
        <v>1546120</v>
      </c>
      <c r="E1846">
        <v>2</v>
      </c>
      <c r="F1846" t="s">
        <v>1637</v>
      </c>
    </row>
    <row r="1847" spans="1:6" x14ac:dyDescent="0.25">
      <c r="A1847" t="s">
        <v>2158</v>
      </c>
      <c r="B1847" t="s">
        <v>388</v>
      </c>
      <c r="C1847" t="s">
        <v>87</v>
      </c>
      <c r="D1847" t="str">
        <f>HYPERLINK("http://service.sap.com/sap/support/notes/1546543","1546543")</f>
        <v>1546543</v>
      </c>
      <c r="E1847">
        <v>3</v>
      </c>
      <c r="F1847" t="s">
        <v>1638</v>
      </c>
    </row>
    <row r="1848" spans="1:6" x14ac:dyDescent="0.25">
      <c r="A1848" t="s">
        <v>2158</v>
      </c>
      <c r="B1848" t="s">
        <v>388</v>
      </c>
      <c r="C1848" t="s">
        <v>87</v>
      </c>
      <c r="D1848" t="str">
        <f>HYPERLINK("http://service.sap.com/sap/support/notes/1546575","1546575")</f>
        <v>1546575</v>
      </c>
      <c r="E1848">
        <v>3</v>
      </c>
      <c r="F1848" t="s">
        <v>1639</v>
      </c>
    </row>
    <row r="1849" spans="1:6" x14ac:dyDescent="0.25">
      <c r="A1849" t="s">
        <v>2158</v>
      </c>
      <c r="B1849" t="s">
        <v>388</v>
      </c>
      <c r="C1849" t="s">
        <v>87</v>
      </c>
      <c r="D1849" t="str">
        <f>HYPERLINK("http://service.sap.com/sap/support/notes/1548636","1548636")</f>
        <v>1548636</v>
      </c>
      <c r="E1849">
        <v>5</v>
      </c>
      <c r="F1849" t="s">
        <v>1640</v>
      </c>
    </row>
    <row r="1850" spans="1:6" x14ac:dyDescent="0.25">
      <c r="A1850" t="s">
        <v>2158</v>
      </c>
      <c r="B1850" t="s">
        <v>388</v>
      </c>
      <c r="C1850" t="s">
        <v>87</v>
      </c>
      <c r="D1850" t="str">
        <f>HYPERLINK("http://service.sap.com/sap/support/notes/1549166","1549166")</f>
        <v>1549166</v>
      </c>
      <c r="E1850">
        <v>2</v>
      </c>
      <c r="F1850" t="s">
        <v>1641</v>
      </c>
    </row>
    <row r="1851" spans="1:6" x14ac:dyDescent="0.25">
      <c r="A1851" t="s">
        <v>2158</v>
      </c>
      <c r="B1851" t="s">
        <v>388</v>
      </c>
      <c r="C1851" t="s">
        <v>87</v>
      </c>
      <c r="D1851" t="str">
        <f>HYPERLINK("http://service.sap.com/sap/support/notes/1550371","1550371")</f>
        <v>1550371</v>
      </c>
      <c r="E1851">
        <v>4</v>
      </c>
      <c r="F1851" t="s">
        <v>1642</v>
      </c>
    </row>
    <row r="1852" spans="1:6" x14ac:dyDescent="0.25">
      <c r="A1852" t="s">
        <v>2158</v>
      </c>
      <c r="B1852" t="s">
        <v>388</v>
      </c>
      <c r="C1852" t="s">
        <v>87</v>
      </c>
      <c r="D1852" t="str">
        <f>HYPERLINK("http://service.sap.com/sap/support/notes/1550831","1550831")</f>
        <v>1550831</v>
      </c>
      <c r="E1852">
        <v>2</v>
      </c>
      <c r="F1852" t="s">
        <v>1643</v>
      </c>
    </row>
    <row r="1853" spans="1:6" x14ac:dyDescent="0.25">
      <c r="A1853" t="s">
        <v>2158</v>
      </c>
      <c r="B1853" t="s">
        <v>396</v>
      </c>
      <c r="C1853" t="s">
        <v>397</v>
      </c>
      <c r="D1853" t="str">
        <f>HYPERLINK("http://service.sap.com/sap/support/notes/1120553","1120553")</f>
        <v>1120553</v>
      </c>
      <c r="E1853">
        <v>3</v>
      </c>
      <c r="F1853" t="s">
        <v>1193</v>
      </c>
    </row>
    <row r="1854" spans="1:6" x14ac:dyDescent="0.25">
      <c r="A1854" t="s">
        <v>2158</v>
      </c>
      <c r="B1854" t="s">
        <v>396</v>
      </c>
      <c r="C1854" t="s">
        <v>397</v>
      </c>
      <c r="D1854" t="str">
        <f>HYPERLINK("http://service.sap.com/sap/support/notes/1543678","1543678")</f>
        <v>1543678</v>
      </c>
      <c r="E1854">
        <v>2</v>
      </c>
      <c r="F1854" t="s">
        <v>1644</v>
      </c>
    </row>
    <row r="1855" spans="1:6" x14ac:dyDescent="0.25">
      <c r="A1855" t="s">
        <v>2158</v>
      </c>
      <c r="B1855" t="s">
        <v>396</v>
      </c>
      <c r="C1855" t="s">
        <v>397</v>
      </c>
      <c r="D1855" t="str">
        <f>HYPERLINK("http://service.sap.com/sap/support/notes/1546113","1546113")</f>
        <v>1546113</v>
      </c>
      <c r="E1855">
        <v>2</v>
      </c>
      <c r="F1855" t="s">
        <v>1645</v>
      </c>
    </row>
    <row r="1856" spans="1:6" x14ac:dyDescent="0.25">
      <c r="A1856" t="s">
        <v>2158</v>
      </c>
      <c r="B1856" t="s">
        <v>396</v>
      </c>
      <c r="C1856" t="s">
        <v>397</v>
      </c>
      <c r="D1856" t="str">
        <f>HYPERLINK("http://service.sap.com/sap/support/notes/1547517","1547517")</f>
        <v>1547517</v>
      </c>
      <c r="E1856">
        <v>2</v>
      </c>
      <c r="F1856" t="s">
        <v>1646</v>
      </c>
    </row>
    <row r="1857" spans="1:6" x14ac:dyDescent="0.25">
      <c r="A1857" t="s">
        <v>2158</v>
      </c>
      <c r="B1857" t="s">
        <v>405</v>
      </c>
      <c r="C1857" t="s">
        <v>90</v>
      </c>
      <c r="D1857" t="str">
        <f>HYPERLINK("http://service.sap.com/sap/support/notes/1474246","1474246")</f>
        <v>1474246</v>
      </c>
      <c r="E1857">
        <v>4</v>
      </c>
      <c r="F1857" t="s">
        <v>1647</v>
      </c>
    </row>
    <row r="1858" spans="1:6" x14ac:dyDescent="0.25">
      <c r="A1858" t="s">
        <v>2158</v>
      </c>
      <c r="B1858" t="s">
        <v>405</v>
      </c>
      <c r="C1858" t="s">
        <v>90</v>
      </c>
      <c r="D1858" t="str">
        <f>HYPERLINK("http://service.sap.com/sap/support/notes/1515885","1515885")</f>
        <v>1515885</v>
      </c>
      <c r="E1858">
        <v>3</v>
      </c>
      <c r="F1858" t="s">
        <v>1648</v>
      </c>
    </row>
    <row r="1859" spans="1:6" x14ac:dyDescent="0.25">
      <c r="A1859" t="s">
        <v>2158</v>
      </c>
      <c r="B1859" t="s">
        <v>405</v>
      </c>
      <c r="C1859" t="s">
        <v>90</v>
      </c>
      <c r="D1859" t="str">
        <f>HYPERLINK("http://service.sap.com/sap/support/notes/1526280","1526280")</f>
        <v>1526280</v>
      </c>
      <c r="E1859">
        <v>5</v>
      </c>
      <c r="F1859" t="s">
        <v>1649</v>
      </c>
    </row>
    <row r="1860" spans="1:6" x14ac:dyDescent="0.25">
      <c r="A1860" t="s">
        <v>2158</v>
      </c>
      <c r="B1860" t="s">
        <v>405</v>
      </c>
      <c r="C1860" t="s">
        <v>90</v>
      </c>
      <c r="D1860" t="str">
        <f>HYPERLINK("http://service.sap.com/sap/support/notes/1537713","1537713")</f>
        <v>1537713</v>
      </c>
      <c r="E1860">
        <v>2</v>
      </c>
      <c r="F1860" t="s">
        <v>1650</v>
      </c>
    </row>
    <row r="1861" spans="1:6" x14ac:dyDescent="0.25">
      <c r="A1861" t="s">
        <v>2158</v>
      </c>
      <c r="B1861" t="s">
        <v>405</v>
      </c>
      <c r="C1861" t="s">
        <v>90</v>
      </c>
      <c r="D1861" t="str">
        <f>HYPERLINK("http://service.sap.com/sap/support/notes/1541562","1541562")</f>
        <v>1541562</v>
      </c>
      <c r="E1861">
        <v>2</v>
      </c>
      <c r="F1861" t="s">
        <v>1651</v>
      </c>
    </row>
    <row r="1862" spans="1:6" x14ac:dyDescent="0.25">
      <c r="A1862" t="s">
        <v>2158</v>
      </c>
      <c r="B1862" t="s">
        <v>405</v>
      </c>
      <c r="C1862" t="s">
        <v>90</v>
      </c>
      <c r="D1862" t="str">
        <f>HYPERLINK("http://service.sap.com/sap/support/notes/1542121","1542121")</f>
        <v>1542121</v>
      </c>
      <c r="E1862">
        <v>1</v>
      </c>
      <c r="F1862" t="s">
        <v>1652</v>
      </c>
    </row>
    <row r="1863" spans="1:6" x14ac:dyDescent="0.25">
      <c r="A1863" t="s">
        <v>2158</v>
      </c>
      <c r="B1863" t="s">
        <v>405</v>
      </c>
      <c r="C1863" t="s">
        <v>90</v>
      </c>
      <c r="D1863" t="str">
        <f>HYPERLINK("http://service.sap.com/sap/support/notes/1544200","1544200")</f>
        <v>1544200</v>
      </c>
      <c r="E1863">
        <v>1</v>
      </c>
      <c r="F1863" t="s">
        <v>1653</v>
      </c>
    </row>
    <row r="1864" spans="1:6" x14ac:dyDescent="0.25">
      <c r="A1864" t="s">
        <v>2158</v>
      </c>
      <c r="B1864" t="s">
        <v>405</v>
      </c>
      <c r="C1864" t="s">
        <v>90</v>
      </c>
      <c r="D1864" t="str">
        <f>HYPERLINK("http://service.sap.com/sap/support/notes/1545748","1545748")</f>
        <v>1545748</v>
      </c>
      <c r="E1864">
        <v>1</v>
      </c>
      <c r="F1864" t="s">
        <v>1654</v>
      </c>
    </row>
    <row r="1865" spans="1:6" x14ac:dyDescent="0.25">
      <c r="A1865" t="s">
        <v>2158</v>
      </c>
      <c r="B1865" t="s">
        <v>411</v>
      </c>
      <c r="C1865" t="s">
        <v>412</v>
      </c>
      <c r="D1865" t="str">
        <f>HYPERLINK("http://service.sap.com/sap/support/notes/1539659","1539659")</f>
        <v>1539659</v>
      </c>
      <c r="E1865">
        <v>1</v>
      </c>
      <c r="F1865" t="s">
        <v>1655</v>
      </c>
    </row>
    <row r="1866" spans="1:6" x14ac:dyDescent="0.25">
      <c r="A1866" t="s">
        <v>2158</v>
      </c>
      <c r="B1866" t="s">
        <v>411</v>
      </c>
      <c r="C1866" t="s">
        <v>412</v>
      </c>
      <c r="D1866" t="str">
        <f>HYPERLINK("http://service.sap.com/sap/support/notes/1544276","1544276")</f>
        <v>1544276</v>
      </c>
      <c r="E1866">
        <v>3</v>
      </c>
      <c r="F1866" t="s">
        <v>1656</v>
      </c>
    </row>
    <row r="1867" spans="1:6" x14ac:dyDescent="0.25">
      <c r="A1867" t="s">
        <v>2158</v>
      </c>
      <c r="B1867" t="s">
        <v>411</v>
      </c>
      <c r="C1867" t="s">
        <v>412</v>
      </c>
      <c r="D1867" t="str">
        <f>HYPERLINK("http://service.sap.com/sap/support/notes/1545599","1545599")</f>
        <v>1545599</v>
      </c>
      <c r="E1867">
        <v>1</v>
      </c>
      <c r="F1867" t="s">
        <v>1657</v>
      </c>
    </row>
    <row r="1868" spans="1:6" x14ac:dyDescent="0.25">
      <c r="A1868" t="s">
        <v>2158</v>
      </c>
      <c r="B1868" t="s">
        <v>411</v>
      </c>
      <c r="C1868" t="s">
        <v>412</v>
      </c>
      <c r="D1868" t="str">
        <f>HYPERLINK("http://service.sap.com/sap/support/notes/1545714","1545714")</f>
        <v>1545714</v>
      </c>
      <c r="E1868">
        <v>1</v>
      </c>
      <c r="F1868" t="s">
        <v>1658</v>
      </c>
    </row>
    <row r="1869" spans="1:6" x14ac:dyDescent="0.25">
      <c r="A1869" t="s">
        <v>2158</v>
      </c>
      <c r="B1869" t="s">
        <v>411</v>
      </c>
      <c r="C1869" t="s">
        <v>412</v>
      </c>
      <c r="D1869" t="str">
        <f>HYPERLINK("http://service.sap.com/sap/support/notes/1549693","1549693")</f>
        <v>1549693</v>
      </c>
      <c r="E1869">
        <v>1</v>
      </c>
      <c r="F1869" t="s">
        <v>1659</v>
      </c>
    </row>
    <row r="1870" spans="1:6" x14ac:dyDescent="0.25">
      <c r="A1870" t="s">
        <v>2158</v>
      </c>
      <c r="B1870" t="s">
        <v>411</v>
      </c>
      <c r="C1870" t="s">
        <v>412</v>
      </c>
      <c r="D1870" t="str">
        <f>HYPERLINK("http://service.sap.com/sap/support/notes/1549889","1549889")</f>
        <v>1549889</v>
      </c>
      <c r="E1870">
        <v>2</v>
      </c>
      <c r="F1870" t="s">
        <v>1660</v>
      </c>
    </row>
    <row r="1871" spans="1:6" x14ac:dyDescent="0.25">
      <c r="A1871" t="s">
        <v>2158</v>
      </c>
      <c r="B1871" t="s">
        <v>411</v>
      </c>
      <c r="C1871" t="s">
        <v>412</v>
      </c>
      <c r="D1871" t="str">
        <f>HYPERLINK("http://service.sap.com/sap/support/notes/1551070","1551070")</f>
        <v>1551070</v>
      </c>
      <c r="E1871">
        <v>1</v>
      </c>
      <c r="F1871" t="s">
        <v>1661</v>
      </c>
    </row>
    <row r="1872" spans="1:6" x14ac:dyDescent="0.25">
      <c r="A1872" t="s">
        <v>2158</v>
      </c>
      <c r="B1872" t="s">
        <v>1217</v>
      </c>
      <c r="C1872" t="s">
        <v>1662</v>
      </c>
      <c r="D1872" t="str">
        <f>HYPERLINK("http://service.sap.com/sap/support/notes/1548043","1548043")</f>
        <v>1548043</v>
      </c>
      <c r="E1872">
        <v>2</v>
      </c>
      <c r="F1872" t="s">
        <v>1663</v>
      </c>
    </row>
    <row r="1873" spans="1:6" x14ac:dyDescent="0.25">
      <c r="A1873" t="s">
        <v>2158</v>
      </c>
      <c r="B1873" t="s">
        <v>415</v>
      </c>
      <c r="C1873" t="s">
        <v>416</v>
      </c>
      <c r="D1873" t="str">
        <f>HYPERLINK("http://service.sap.com/sap/support/notes/1541091","1541091")</f>
        <v>1541091</v>
      </c>
      <c r="E1873">
        <v>1</v>
      </c>
      <c r="F1873" t="s">
        <v>1664</v>
      </c>
    </row>
    <row r="1874" spans="1:6" x14ac:dyDescent="0.25">
      <c r="A1874" t="s">
        <v>2158</v>
      </c>
      <c r="B1874" t="s">
        <v>415</v>
      </c>
      <c r="C1874" t="s">
        <v>416</v>
      </c>
      <c r="D1874" t="str">
        <f>HYPERLINK("http://service.sap.com/sap/support/notes/1543540","1543540")</f>
        <v>1543540</v>
      </c>
      <c r="E1874">
        <v>1</v>
      </c>
      <c r="F1874" t="s">
        <v>1665</v>
      </c>
    </row>
    <row r="1875" spans="1:6" x14ac:dyDescent="0.25">
      <c r="A1875" t="s">
        <v>2158</v>
      </c>
      <c r="B1875" t="s">
        <v>415</v>
      </c>
      <c r="C1875" t="s">
        <v>416</v>
      </c>
      <c r="D1875" t="str">
        <f>HYPERLINK("http://service.sap.com/sap/support/notes/1546278","1546278")</f>
        <v>1546278</v>
      </c>
      <c r="E1875">
        <v>1</v>
      </c>
      <c r="F1875" t="s">
        <v>1666</v>
      </c>
    </row>
    <row r="1876" spans="1:6" x14ac:dyDescent="0.25">
      <c r="A1876" t="s">
        <v>2158</v>
      </c>
      <c r="B1876" t="s">
        <v>415</v>
      </c>
      <c r="C1876" t="s">
        <v>416</v>
      </c>
      <c r="D1876" t="str">
        <f>HYPERLINK("http://service.sap.com/sap/support/notes/1546389","1546389")</f>
        <v>1546389</v>
      </c>
      <c r="E1876">
        <v>1</v>
      </c>
      <c r="F1876" t="s">
        <v>1667</v>
      </c>
    </row>
    <row r="1877" spans="1:6" x14ac:dyDescent="0.25">
      <c r="A1877" t="s">
        <v>2158</v>
      </c>
      <c r="B1877" t="s">
        <v>415</v>
      </c>
      <c r="C1877" t="s">
        <v>416</v>
      </c>
      <c r="D1877" t="str">
        <f>HYPERLINK("http://service.sap.com/sap/support/notes/1546873","1546873")</f>
        <v>1546873</v>
      </c>
      <c r="E1877">
        <v>2</v>
      </c>
      <c r="F1877" t="s">
        <v>1668</v>
      </c>
    </row>
    <row r="1878" spans="1:6" x14ac:dyDescent="0.25">
      <c r="A1878" t="s">
        <v>2158</v>
      </c>
      <c r="B1878" t="s">
        <v>415</v>
      </c>
      <c r="C1878" t="s">
        <v>416</v>
      </c>
      <c r="D1878" t="str">
        <f>HYPERLINK("http://service.sap.com/sap/support/notes/1547140","1547140")</f>
        <v>1547140</v>
      </c>
      <c r="E1878">
        <v>1</v>
      </c>
      <c r="F1878" t="s">
        <v>1669</v>
      </c>
    </row>
    <row r="1879" spans="1:6" x14ac:dyDescent="0.25">
      <c r="A1879" t="s">
        <v>2158</v>
      </c>
      <c r="B1879" t="s">
        <v>415</v>
      </c>
      <c r="C1879" t="s">
        <v>416</v>
      </c>
      <c r="D1879" t="str">
        <f>HYPERLINK("http://service.sap.com/sap/support/notes/1550837","1550837")</f>
        <v>1550837</v>
      </c>
      <c r="E1879">
        <v>1</v>
      </c>
      <c r="F1879" t="s">
        <v>1670</v>
      </c>
    </row>
    <row r="1880" spans="1:6" x14ac:dyDescent="0.25">
      <c r="A1880" t="s">
        <v>2158</v>
      </c>
      <c r="B1880" t="s">
        <v>425</v>
      </c>
      <c r="C1880" t="s">
        <v>426</v>
      </c>
      <c r="D1880" t="str">
        <f>HYPERLINK("http://service.sap.com/sap/support/notes/1535032","1535032")</f>
        <v>1535032</v>
      </c>
      <c r="E1880">
        <v>1</v>
      </c>
      <c r="F1880" t="s">
        <v>1671</v>
      </c>
    </row>
    <row r="1881" spans="1:6" x14ac:dyDescent="0.25">
      <c r="A1881" t="s">
        <v>2158</v>
      </c>
      <c r="B1881" t="s">
        <v>431</v>
      </c>
      <c r="C1881" t="s">
        <v>432</v>
      </c>
      <c r="D1881" t="str">
        <f>HYPERLINK("http://service.sap.com/sap/support/notes/1539753","1539753")</f>
        <v>1539753</v>
      </c>
      <c r="E1881">
        <v>1</v>
      </c>
      <c r="F1881" t="s">
        <v>1672</v>
      </c>
    </row>
    <row r="1882" spans="1:6" x14ac:dyDescent="0.25">
      <c r="A1882" t="s">
        <v>2158</v>
      </c>
      <c r="B1882" t="s">
        <v>431</v>
      </c>
      <c r="C1882" t="s">
        <v>432</v>
      </c>
      <c r="D1882" t="str">
        <f>HYPERLINK("http://service.sap.com/sap/support/notes/1542241","1542241")</f>
        <v>1542241</v>
      </c>
      <c r="E1882">
        <v>3</v>
      </c>
      <c r="F1882" t="s">
        <v>1673</v>
      </c>
    </row>
    <row r="1883" spans="1:6" x14ac:dyDescent="0.25">
      <c r="A1883" t="s">
        <v>2158</v>
      </c>
      <c r="B1883" t="s">
        <v>431</v>
      </c>
      <c r="C1883" t="s">
        <v>432</v>
      </c>
      <c r="D1883" t="str">
        <f>HYPERLINK("http://service.sap.com/sap/support/notes/1543007","1543007")</f>
        <v>1543007</v>
      </c>
      <c r="E1883">
        <v>1</v>
      </c>
      <c r="F1883" t="s">
        <v>1674</v>
      </c>
    </row>
    <row r="1884" spans="1:6" x14ac:dyDescent="0.25">
      <c r="A1884" t="s">
        <v>2158</v>
      </c>
      <c r="B1884" t="s">
        <v>431</v>
      </c>
      <c r="C1884" t="s">
        <v>432</v>
      </c>
      <c r="D1884" t="str">
        <f>HYPERLINK("http://service.sap.com/sap/support/notes/1543015","1543015")</f>
        <v>1543015</v>
      </c>
      <c r="E1884">
        <v>1</v>
      </c>
      <c r="F1884" t="s">
        <v>1675</v>
      </c>
    </row>
    <row r="1885" spans="1:6" x14ac:dyDescent="0.25">
      <c r="A1885" t="s">
        <v>2158</v>
      </c>
      <c r="B1885" t="s">
        <v>431</v>
      </c>
      <c r="C1885" t="s">
        <v>432</v>
      </c>
      <c r="D1885" t="str">
        <f>HYPERLINK("http://service.sap.com/sap/support/notes/1543136","1543136")</f>
        <v>1543136</v>
      </c>
      <c r="E1885">
        <v>1</v>
      </c>
      <c r="F1885" t="s">
        <v>1676</v>
      </c>
    </row>
    <row r="1886" spans="1:6" x14ac:dyDescent="0.25">
      <c r="A1886" t="s">
        <v>2158</v>
      </c>
      <c r="B1886" t="s">
        <v>436</v>
      </c>
      <c r="C1886" t="s">
        <v>437</v>
      </c>
      <c r="D1886" t="str">
        <f>HYPERLINK("http://service.sap.com/sap/support/notes/1546222","1546222")</f>
        <v>1546222</v>
      </c>
      <c r="E1886">
        <v>1</v>
      </c>
      <c r="F1886" t="s">
        <v>1677</v>
      </c>
    </row>
    <row r="1887" spans="1:6" x14ac:dyDescent="0.25">
      <c r="A1887" t="s">
        <v>2158</v>
      </c>
      <c r="B1887" t="s">
        <v>440</v>
      </c>
      <c r="C1887" t="s">
        <v>441</v>
      </c>
      <c r="D1887" t="str">
        <f>HYPERLINK("http://service.sap.com/sap/support/notes/1540542","1540542")</f>
        <v>1540542</v>
      </c>
      <c r="E1887">
        <v>3</v>
      </c>
      <c r="F1887" t="s">
        <v>1678</v>
      </c>
    </row>
    <row r="1888" spans="1:6" x14ac:dyDescent="0.25">
      <c r="A1888" t="s">
        <v>2158</v>
      </c>
      <c r="B1888" t="s">
        <v>440</v>
      </c>
      <c r="C1888" t="s">
        <v>441</v>
      </c>
      <c r="D1888" t="str">
        <f>HYPERLINK("http://service.sap.com/sap/support/notes/1545957","1545957")</f>
        <v>1545957</v>
      </c>
      <c r="E1888">
        <v>2</v>
      </c>
      <c r="F1888" t="s">
        <v>1679</v>
      </c>
    </row>
    <row r="1889" spans="1:6" x14ac:dyDescent="0.25">
      <c r="A1889" t="s">
        <v>2158</v>
      </c>
      <c r="B1889" t="s">
        <v>440</v>
      </c>
      <c r="C1889" t="s">
        <v>441</v>
      </c>
      <c r="D1889" t="str">
        <f>HYPERLINK("http://service.sap.com/sap/support/notes/1548053","1548053")</f>
        <v>1548053</v>
      </c>
      <c r="E1889">
        <v>2</v>
      </c>
      <c r="F1889" t="s">
        <v>1680</v>
      </c>
    </row>
    <row r="1890" spans="1:6" x14ac:dyDescent="0.25">
      <c r="A1890" t="s">
        <v>2158</v>
      </c>
      <c r="B1890" t="s">
        <v>440</v>
      </c>
      <c r="C1890" t="s">
        <v>441</v>
      </c>
      <c r="D1890" t="str">
        <f>HYPERLINK("http://service.sap.com/sap/support/notes/1549627","1549627")</f>
        <v>1549627</v>
      </c>
      <c r="E1890">
        <v>1</v>
      </c>
      <c r="F1890" t="s">
        <v>1681</v>
      </c>
    </row>
    <row r="1891" spans="1:6" x14ac:dyDescent="0.25">
      <c r="A1891" t="s">
        <v>2158</v>
      </c>
      <c r="B1891" t="s">
        <v>449</v>
      </c>
      <c r="C1891" t="s">
        <v>450</v>
      </c>
      <c r="D1891" t="str">
        <f>HYPERLINK("http://service.sap.com/sap/support/notes/1529373","1529373")</f>
        <v>1529373</v>
      </c>
      <c r="E1891">
        <v>1</v>
      </c>
      <c r="F1891" t="s">
        <v>1682</v>
      </c>
    </row>
    <row r="1892" spans="1:6" x14ac:dyDescent="0.25">
      <c r="A1892" t="s">
        <v>2158</v>
      </c>
      <c r="B1892" t="s">
        <v>449</v>
      </c>
      <c r="C1892" t="s">
        <v>450</v>
      </c>
      <c r="D1892" t="str">
        <f>HYPERLINK("http://service.sap.com/sap/support/notes/1537806","1537806")</f>
        <v>1537806</v>
      </c>
      <c r="E1892">
        <v>4</v>
      </c>
      <c r="F1892" t="s">
        <v>1683</v>
      </c>
    </row>
    <row r="1893" spans="1:6" x14ac:dyDescent="0.25">
      <c r="A1893" t="s">
        <v>2158</v>
      </c>
      <c r="B1893" t="s">
        <v>449</v>
      </c>
      <c r="C1893" t="s">
        <v>450</v>
      </c>
      <c r="D1893" t="str">
        <f>HYPERLINK("http://service.sap.com/sap/support/notes/1547823","1547823")</f>
        <v>1547823</v>
      </c>
      <c r="E1893">
        <v>2</v>
      </c>
      <c r="F1893" t="s">
        <v>1684</v>
      </c>
    </row>
    <row r="1894" spans="1:6" x14ac:dyDescent="0.25">
      <c r="A1894" t="s">
        <v>2158</v>
      </c>
      <c r="B1894" t="s">
        <v>449</v>
      </c>
      <c r="C1894" t="s">
        <v>450</v>
      </c>
      <c r="D1894" t="str">
        <f>HYPERLINK("http://service.sap.com/sap/support/notes/1549737","1549737")</f>
        <v>1549737</v>
      </c>
      <c r="E1894">
        <v>1</v>
      </c>
      <c r="F1894" t="s">
        <v>1685</v>
      </c>
    </row>
    <row r="1895" spans="1:6" x14ac:dyDescent="0.25">
      <c r="A1895" t="s">
        <v>2158</v>
      </c>
      <c r="B1895" t="s">
        <v>460</v>
      </c>
      <c r="C1895" t="s">
        <v>461</v>
      </c>
      <c r="D1895" t="str">
        <f>HYPERLINK("http://service.sap.com/sap/support/notes/1548481","1548481")</f>
        <v>1548481</v>
      </c>
      <c r="E1895">
        <v>3</v>
      </c>
      <c r="F1895" t="s">
        <v>1686</v>
      </c>
    </row>
    <row r="1896" spans="1:6" x14ac:dyDescent="0.25">
      <c r="A1896" t="s">
        <v>2158</v>
      </c>
      <c r="B1896" t="s">
        <v>460</v>
      </c>
      <c r="C1896" t="s">
        <v>461</v>
      </c>
      <c r="D1896" t="str">
        <f>HYPERLINK("http://service.sap.com/sap/support/notes/1551465","1551465")</f>
        <v>1551465</v>
      </c>
      <c r="E1896">
        <v>3</v>
      </c>
      <c r="F1896" t="s">
        <v>1687</v>
      </c>
    </row>
    <row r="1897" spans="1:6" x14ac:dyDescent="0.25">
      <c r="A1897" t="s">
        <v>2158</v>
      </c>
      <c r="B1897" t="s">
        <v>460</v>
      </c>
      <c r="C1897" t="s">
        <v>461</v>
      </c>
      <c r="D1897" t="str">
        <f>HYPERLINK("http://service.sap.com/sap/support/notes/1551710","1551710")</f>
        <v>1551710</v>
      </c>
      <c r="E1897">
        <v>3</v>
      </c>
      <c r="F1897" t="s">
        <v>1688</v>
      </c>
    </row>
    <row r="1898" spans="1:6" x14ac:dyDescent="0.25">
      <c r="A1898" t="s">
        <v>2158</v>
      </c>
      <c r="B1898" t="s">
        <v>472</v>
      </c>
      <c r="C1898" t="s">
        <v>473</v>
      </c>
      <c r="D1898" t="str">
        <f>HYPERLINK("http://service.sap.com/sap/support/notes/1174708","1174708")</f>
        <v>1174708</v>
      </c>
      <c r="E1898">
        <v>1</v>
      </c>
      <c r="F1898" t="s">
        <v>1256</v>
      </c>
    </row>
    <row r="1899" spans="1:6" x14ac:dyDescent="0.25">
      <c r="A1899" t="s">
        <v>2158</v>
      </c>
      <c r="B1899" t="s">
        <v>472</v>
      </c>
      <c r="C1899" t="s">
        <v>473</v>
      </c>
      <c r="D1899" t="str">
        <f>HYPERLINK("http://service.sap.com/sap/support/notes/1546342","1546342")</f>
        <v>1546342</v>
      </c>
      <c r="E1899">
        <v>1</v>
      </c>
      <c r="F1899" t="s">
        <v>1689</v>
      </c>
    </row>
    <row r="1900" spans="1:6" x14ac:dyDescent="0.25">
      <c r="A1900" t="s">
        <v>2158</v>
      </c>
      <c r="B1900" t="s">
        <v>472</v>
      </c>
      <c r="C1900" t="s">
        <v>473</v>
      </c>
      <c r="D1900" t="str">
        <f>HYPERLINK("http://service.sap.com/sap/support/notes/1549777","1549777")</f>
        <v>1549777</v>
      </c>
      <c r="E1900">
        <v>1</v>
      </c>
      <c r="F1900" t="s">
        <v>1690</v>
      </c>
    </row>
    <row r="1901" spans="1:6" x14ac:dyDescent="0.25">
      <c r="A1901" t="s">
        <v>2158</v>
      </c>
      <c r="B1901" t="s">
        <v>479</v>
      </c>
      <c r="C1901" t="s">
        <v>480</v>
      </c>
      <c r="D1901" t="str">
        <f>HYPERLINK("http://service.sap.com/sap/support/notes/1542207","1542207")</f>
        <v>1542207</v>
      </c>
      <c r="E1901">
        <v>1</v>
      </c>
      <c r="F1901" t="s">
        <v>1691</v>
      </c>
    </row>
    <row r="1902" spans="1:6" x14ac:dyDescent="0.25">
      <c r="A1902" t="s">
        <v>2158</v>
      </c>
      <c r="B1902" t="s">
        <v>479</v>
      </c>
      <c r="C1902" t="s">
        <v>480</v>
      </c>
      <c r="D1902" t="str">
        <f>HYPERLINK("http://service.sap.com/sap/support/notes/1543151","1543151")</f>
        <v>1543151</v>
      </c>
      <c r="E1902">
        <v>2</v>
      </c>
      <c r="F1902" t="s">
        <v>1692</v>
      </c>
    </row>
    <row r="1903" spans="1:6" x14ac:dyDescent="0.25">
      <c r="A1903" t="s">
        <v>2158</v>
      </c>
      <c r="B1903" t="s">
        <v>479</v>
      </c>
      <c r="C1903" t="s">
        <v>480</v>
      </c>
      <c r="D1903" t="str">
        <f>HYPERLINK("http://service.sap.com/sap/support/notes/1544597","1544597")</f>
        <v>1544597</v>
      </c>
      <c r="E1903">
        <v>1</v>
      </c>
      <c r="F1903" t="s">
        <v>1693</v>
      </c>
    </row>
    <row r="1904" spans="1:6" x14ac:dyDescent="0.25">
      <c r="A1904" t="s">
        <v>2158</v>
      </c>
      <c r="B1904" t="s">
        <v>479</v>
      </c>
      <c r="C1904" t="s">
        <v>480</v>
      </c>
      <c r="D1904" t="str">
        <f>HYPERLINK("http://service.sap.com/sap/support/notes/1545752","1545752")</f>
        <v>1545752</v>
      </c>
      <c r="E1904">
        <v>1</v>
      </c>
      <c r="F1904" t="s">
        <v>1694</v>
      </c>
    </row>
    <row r="1905" spans="1:6" x14ac:dyDescent="0.25">
      <c r="A1905" t="s">
        <v>2158</v>
      </c>
      <c r="B1905" t="s">
        <v>479</v>
      </c>
      <c r="C1905" t="s">
        <v>480</v>
      </c>
      <c r="D1905" t="str">
        <f>HYPERLINK("http://service.sap.com/sap/support/notes/1547729","1547729")</f>
        <v>1547729</v>
      </c>
      <c r="E1905">
        <v>1</v>
      </c>
      <c r="F1905" t="s">
        <v>1695</v>
      </c>
    </row>
    <row r="1906" spans="1:6" x14ac:dyDescent="0.25">
      <c r="A1906" t="s">
        <v>2158</v>
      </c>
      <c r="B1906" t="s">
        <v>479</v>
      </c>
      <c r="C1906" t="s">
        <v>480</v>
      </c>
      <c r="D1906" t="str">
        <f>HYPERLINK("http://service.sap.com/sap/support/notes/1549976","1549976")</f>
        <v>1549976</v>
      </c>
      <c r="E1906">
        <v>1</v>
      </c>
      <c r="F1906" t="s">
        <v>1696</v>
      </c>
    </row>
    <row r="1907" spans="1:6" x14ac:dyDescent="0.25">
      <c r="A1907" t="s">
        <v>2158</v>
      </c>
      <c r="B1907" t="s">
        <v>487</v>
      </c>
      <c r="C1907" t="s">
        <v>153</v>
      </c>
      <c r="D1907" t="str">
        <f>HYPERLINK("http://service.sap.com/sap/support/notes/1543061","1543061")</f>
        <v>1543061</v>
      </c>
      <c r="E1907">
        <v>1</v>
      </c>
      <c r="F1907" t="s">
        <v>1697</v>
      </c>
    </row>
    <row r="1908" spans="1:6" x14ac:dyDescent="0.25">
      <c r="A1908" t="s">
        <v>2158</v>
      </c>
      <c r="B1908" t="s">
        <v>487</v>
      </c>
      <c r="C1908" t="s">
        <v>153</v>
      </c>
      <c r="D1908" t="str">
        <f>HYPERLINK("http://service.sap.com/sap/support/notes/1546824","1546824")</f>
        <v>1546824</v>
      </c>
      <c r="E1908">
        <v>1</v>
      </c>
      <c r="F1908" t="s">
        <v>1698</v>
      </c>
    </row>
    <row r="1909" spans="1:6" x14ac:dyDescent="0.25">
      <c r="A1909" t="s">
        <v>2158</v>
      </c>
      <c r="B1909" t="s">
        <v>489</v>
      </c>
      <c r="C1909" t="s">
        <v>104</v>
      </c>
      <c r="D1909" t="str">
        <f>HYPERLINK("http://service.sap.com/sap/support/notes/1482318","1482318")</f>
        <v>1482318</v>
      </c>
      <c r="E1909">
        <v>2</v>
      </c>
      <c r="F1909" t="s">
        <v>1699</v>
      </c>
    </row>
    <row r="1910" spans="1:6" x14ac:dyDescent="0.25">
      <c r="A1910" t="s">
        <v>2158</v>
      </c>
      <c r="B1910" t="s">
        <v>489</v>
      </c>
      <c r="C1910" t="s">
        <v>104</v>
      </c>
      <c r="D1910" t="str">
        <f>HYPERLINK("http://service.sap.com/sap/support/notes/1538028","1538028")</f>
        <v>1538028</v>
      </c>
      <c r="E1910">
        <v>1</v>
      </c>
      <c r="F1910" t="s">
        <v>1700</v>
      </c>
    </row>
    <row r="1911" spans="1:6" x14ac:dyDescent="0.25">
      <c r="A1911" t="s">
        <v>2158</v>
      </c>
      <c r="B1911" t="s">
        <v>489</v>
      </c>
      <c r="C1911" t="s">
        <v>104</v>
      </c>
      <c r="D1911" t="str">
        <f>HYPERLINK("http://service.sap.com/sap/support/notes/1542196","1542196")</f>
        <v>1542196</v>
      </c>
      <c r="E1911">
        <v>2</v>
      </c>
      <c r="F1911" t="s">
        <v>1701</v>
      </c>
    </row>
    <row r="1912" spans="1:6" x14ac:dyDescent="0.25">
      <c r="A1912" t="s">
        <v>2158</v>
      </c>
      <c r="B1912" t="s">
        <v>489</v>
      </c>
      <c r="C1912" t="s">
        <v>104</v>
      </c>
      <c r="D1912" t="str">
        <f>HYPERLINK("http://service.sap.com/sap/support/notes/1545558","1545558")</f>
        <v>1545558</v>
      </c>
      <c r="E1912">
        <v>1</v>
      </c>
      <c r="F1912" t="s">
        <v>1702</v>
      </c>
    </row>
    <row r="1913" spans="1:6" x14ac:dyDescent="0.25">
      <c r="A1913" t="s">
        <v>2158</v>
      </c>
      <c r="B1913" t="s">
        <v>489</v>
      </c>
      <c r="C1913" t="s">
        <v>104</v>
      </c>
      <c r="D1913" t="str">
        <f>HYPERLINK("http://service.sap.com/sap/support/notes/1547590","1547590")</f>
        <v>1547590</v>
      </c>
      <c r="E1913">
        <v>1</v>
      </c>
      <c r="F1913" t="s">
        <v>1703</v>
      </c>
    </row>
    <row r="1914" spans="1:6" x14ac:dyDescent="0.25">
      <c r="A1914" t="s">
        <v>2158</v>
      </c>
      <c r="B1914" t="s">
        <v>495</v>
      </c>
      <c r="C1914" t="s">
        <v>496</v>
      </c>
      <c r="D1914" t="str">
        <f>HYPERLINK("http://service.sap.com/sap/support/notes/1544351","1544351")</f>
        <v>1544351</v>
      </c>
      <c r="E1914">
        <v>10</v>
      </c>
      <c r="F1914" t="s">
        <v>1704</v>
      </c>
    </row>
    <row r="1915" spans="1:6" x14ac:dyDescent="0.25">
      <c r="A1915" t="s">
        <v>2158</v>
      </c>
      <c r="B1915" t="s">
        <v>495</v>
      </c>
      <c r="C1915" t="s">
        <v>496</v>
      </c>
      <c r="D1915" t="str">
        <f>HYPERLINK("http://service.sap.com/sap/support/notes/1547859","1547859")</f>
        <v>1547859</v>
      </c>
      <c r="E1915">
        <v>1</v>
      </c>
      <c r="F1915" t="s">
        <v>1705</v>
      </c>
    </row>
    <row r="1916" spans="1:6" x14ac:dyDescent="0.25">
      <c r="A1916" t="s">
        <v>2158</v>
      </c>
      <c r="B1916" t="s">
        <v>495</v>
      </c>
      <c r="C1916" t="s">
        <v>496</v>
      </c>
      <c r="D1916" t="str">
        <f>HYPERLINK("http://service.sap.com/sap/support/notes/1547860","1547860")</f>
        <v>1547860</v>
      </c>
      <c r="E1916">
        <v>1</v>
      </c>
      <c r="F1916" t="s">
        <v>1706</v>
      </c>
    </row>
    <row r="1917" spans="1:6" x14ac:dyDescent="0.25">
      <c r="A1917" t="s">
        <v>2158</v>
      </c>
      <c r="B1917" t="s">
        <v>495</v>
      </c>
      <c r="C1917" t="s">
        <v>496</v>
      </c>
      <c r="D1917" t="str">
        <f>HYPERLINK("http://service.sap.com/sap/support/notes/1547861","1547861")</f>
        <v>1547861</v>
      </c>
      <c r="E1917">
        <v>2</v>
      </c>
      <c r="F1917" t="s">
        <v>1707</v>
      </c>
    </row>
    <row r="1918" spans="1:6" x14ac:dyDescent="0.25">
      <c r="A1918" t="s">
        <v>2158</v>
      </c>
      <c r="B1918" t="s">
        <v>499</v>
      </c>
      <c r="C1918" t="s">
        <v>108</v>
      </c>
    </row>
    <row r="1919" spans="1:6" x14ac:dyDescent="0.25">
      <c r="A1919" t="s">
        <v>2158</v>
      </c>
      <c r="B1919" t="s">
        <v>508</v>
      </c>
      <c r="C1919" t="s">
        <v>509</v>
      </c>
      <c r="D1919" t="str">
        <f>HYPERLINK("http://service.sap.com/sap/support/notes/1526613","1526613")</f>
        <v>1526613</v>
      </c>
      <c r="E1919">
        <v>4</v>
      </c>
      <c r="F1919" t="s">
        <v>1708</v>
      </c>
    </row>
    <row r="1920" spans="1:6" x14ac:dyDescent="0.25">
      <c r="A1920" t="s">
        <v>2158</v>
      </c>
      <c r="B1920" t="s">
        <v>508</v>
      </c>
      <c r="C1920" t="s">
        <v>509</v>
      </c>
      <c r="D1920" t="str">
        <f>HYPERLINK("http://service.sap.com/sap/support/notes/1530558","1530558")</f>
        <v>1530558</v>
      </c>
      <c r="E1920">
        <v>3</v>
      </c>
      <c r="F1920" t="s">
        <v>1709</v>
      </c>
    </row>
    <row r="1921" spans="1:6" x14ac:dyDescent="0.25">
      <c r="A1921" t="s">
        <v>2158</v>
      </c>
      <c r="B1921" t="s">
        <v>508</v>
      </c>
      <c r="C1921" t="s">
        <v>509</v>
      </c>
      <c r="D1921" t="str">
        <f>HYPERLINK("http://service.sap.com/sap/support/notes/1540527","1540527")</f>
        <v>1540527</v>
      </c>
      <c r="E1921">
        <v>2</v>
      </c>
      <c r="F1921" t="s">
        <v>1710</v>
      </c>
    </row>
    <row r="1922" spans="1:6" x14ac:dyDescent="0.25">
      <c r="A1922" t="s">
        <v>2158</v>
      </c>
      <c r="B1922" t="s">
        <v>508</v>
      </c>
      <c r="C1922" t="s">
        <v>509</v>
      </c>
      <c r="D1922" t="str">
        <f>HYPERLINK("http://service.sap.com/sap/support/notes/1542309","1542309")</f>
        <v>1542309</v>
      </c>
      <c r="E1922">
        <v>4</v>
      </c>
      <c r="F1922" t="s">
        <v>1711</v>
      </c>
    </row>
    <row r="1923" spans="1:6" x14ac:dyDescent="0.25">
      <c r="A1923" t="s">
        <v>2158</v>
      </c>
      <c r="B1923" t="s">
        <v>508</v>
      </c>
      <c r="C1923" t="s">
        <v>509</v>
      </c>
      <c r="D1923" t="str">
        <f>HYPERLINK("http://service.sap.com/sap/support/notes/1542325","1542325")</f>
        <v>1542325</v>
      </c>
      <c r="E1923">
        <v>4</v>
      </c>
      <c r="F1923" t="s">
        <v>1712</v>
      </c>
    </row>
    <row r="1924" spans="1:6" x14ac:dyDescent="0.25">
      <c r="A1924" t="s">
        <v>2158</v>
      </c>
      <c r="B1924" t="s">
        <v>508</v>
      </c>
      <c r="C1924" t="s">
        <v>509</v>
      </c>
      <c r="D1924" t="str">
        <f>HYPERLINK("http://service.sap.com/sap/support/notes/1542385","1542385")</f>
        <v>1542385</v>
      </c>
      <c r="E1924">
        <v>2</v>
      </c>
      <c r="F1924" t="s">
        <v>1713</v>
      </c>
    </row>
    <row r="1925" spans="1:6" x14ac:dyDescent="0.25">
      <c r="A1925" t="s">
        <v>2158</v>
      </c>
      <c r="B1925" t="s">
        <v>508</v>
      </c>
      <c r="C1925" t="s">
        <v>509</v>
      </c>
      <c r="D1925" t="str">
        <f>HYPERLINK("http://service.sap.com/sap/support/notes/1543259","1543259")</f>
        <v>1543259</v>
      </c>
      <c r="E1925">
        <v>3</v>
      </c>
      <c r="F1925" t="s">
        <v>1714</v>
      </c>
    </row>
    <row r="1926" spans="1:6" x14ac:dyDescent="0.25">
      <c r="A1926" t="s">
        <v>2158</v>
      </c>
      <c r="B1926" t="s">
        <v>508</v>
      </c>
      <c r="C1926" t="s">
        <v>509</v>
      </c>
      <c r="D1926" t="str">
        <f>HYPERLINK("http://service.sap.com/sap/support/notes/1545963","1545963")</f>
        <v>1545963</v>
      </c>
      <c r="E1926">
        <v>1</v>
      </c>
      <c r="F1926" t="s">
        <v>1715</v>
      </c>
    </row>
    <row r="1927" spans="1:6" x14ac:dyDescent="0.25">
      <c r="A1927" t="s">
        <v>2158</v>
      </c>
      <c r="B1927" t="s">
        <v>508</v>
      </c>
      <c r="C1927" t="s">
        <v>509</v>
      </c>
      <c r="D1927" t="str">
        <f>HYPERLINK("http://service.sap.com/sap/support/notes/1546374","1546374")</f>
        <v>1546374</v>
      </c>
      <c r="E1927">
        <v>4</v>
      </c>
      <c r="F1927" t="s">
        <v>1716</v>
      </c>
    </row>
    <row r="1928" spans="1:6" x14ac:dyDescent="0.25">
      <c r="A1928" t="s">
        <v>2158</v>
      </c>
      <c r="B1928" t="s">
        <v>508</v>
      </c>
      <c r="C1928" t="s">
        <v>509</v>
      </c>
      <c r="D1928" t="str">
        <f>HYPERLINK("http://service.sap.com/sap/support/notes/1546499","1546499")</f>
        <v>1546499</v>
      </c>
      <c r="E1928">
        <v>6</v>
      </c>
      <c r="F1928" t="s">
        <v>1717</v>
      </c>
    </row>
    <row r="1929" spans="1:6" x14ac:dyDescent="0.25">
      <c r="A1929" t="s">
        <v>2158</v>
      </c>
      <c r="B1929" t="s">
        <v>508</v>
      </c>
      <c r="C1929" t="s">
        <v>509</v>
      </c>
      <c r="D1929" t="str">
        <f>HYPERLINK("http://service.sap.com/sap/support/notes/1546727","1546727")</f>
        <v>1546727</v>
      </c>
      <c r="E1929">
        <v>3</v>
      </c>
      <c r="F1929" t="s">
        <v>1718</v>
      </c>
    </row>
    <row r="1930" spans="1:6" x14ac:dyDescent="0.25">
      <c r="A1930" t="s">
        <v>2158</v>
      </c>
      <c r="B1930" t="s">
        <v>508</v>
      </c>
      <c r="C1930" t="s">
        <v>509</v>
      </c>
      <c r="D1930" t="str">
        <f>HYPERLINK("http://service.sap.com/sap/support/notes/1547428","1547428")</f>
        <v>1547428</v>
      </c>
      <c r="E1930">
        <v>3</v>
      </c>
      <c r="F1930" t="s">
        <v>1719</v>
      </c>
    </row>
    <row r="1931" spans="1:6" x14ac:dyDescent="0.25">
      <c r="A1931" t="s">
        <v>2158</v>
      </c>
      <c r="B1931" t="s">
        <v>508</v>
      </c>
      <c r="C1931" t="s">
        <v>509</v>
      </c>
      <c r="D1931" t="str">
        <f>HYPERLINK("http://service.sap.com/sap/support/notes/1547522","1547522")</f>
        <v>1547522</v>
      </c>
      <c r="E1931">
        <v>1</v>
      </c>
      <c r="F1931" t="s">
        <v>1720</v>
      </c>
    </row>
    <row r="1932" spans="1:6" x14ac:dyDescent="0.25">
      <c r="A1932" t="s">
        <v>2158</v>
      </c>
      <c r="B1932" t="s">
        <v>508</v>
      </c>
      <c r="C1932" t="s">
        <v>509</v>
      </c>
      <c r="D1932" t="str">
        <f>HYPERLINK("http://service.sap.com/sap/support/notes/1547853","1547853")</f>
        <v>1547853</v>
      </c>
      <c r="E1932">
        <v>4</v>
      </c>
      <c r="F1932" t="s">
        <v>1721</v>
      </c>
    </row>
    <row r="1933" spans="1:6" x14ac:dyDescent="0.25">
      <c r="A1933" t="s">
        <v>2158</v>
      </c>
      <c r="B1933" t="s">
        <v>508</v>
      </c>
      <c r="C1933" t="s">
        <v>509</v>
      </c>
      <c r="D1933" t="str">
        <f>HYPERLINK("http://service.sap.com/sap/support/notes/1548008","1548008")</f>
        <v>1548008</v>
      </c>
      <c r="E1933">
        <v>3</v>
      </c>
      <c r="F1933" t="s">
        <v>1722</v>
      </c>
    </row>
    <row r="1934" spans="1:6" x14ac:dyDescent="0.25">
      <c r="A1934" t="s">
        <v>2158</v>
      </c>
      <c r="B1934" t="s">
        <v>508</v>
      </c>
      <c r="C1934" t="s">
        <v>509</v>
      </c>
      <c r="D1934" t="str">
        <f>HYPERLINK("http://service.sap.com/sap/support/notes/1548020","1548020")</f>
        <v>1548020</v>
      </c>
      <c r="E1934">
        <v>1</v>
      </c>
      <c r="F1934" t="s">
        <v>1723</v>
      </c>
    </row>
    <row r="1935" spans="1:6" x14ac:dyDescent="0.25">
      <c r="A1935" t="s">
        <v>2158</v>
      </c>
      <c r="B1935" t="s">
        <v>508</v>
      </c>
      <c r="C1935" t="s">
        <v>509</v>
      </c>
      <c r="D1935" t="str">
        <f>HYPERLINK("http://service.sap.com/sap/support/notes/1548462","1548462")</f>
        <v>1548462</v>
      </c>
      <c r="E1935">
        <v>4</v>
      </c>
      <c r="F1935" t="s">
        <v>1724</v>
      </c>
    </row>
    <row r="1936" spans="1:6" x14ac:dyDescent="0.25">
      <c r="A1936" t="s">
        <v>2158</v>
      </c>
      <c r="B1936" t="s">
        <v>508</v>
      </c>
      <c r="C1936" t="s">
        <v>509</v>
      </c>
      <c r="D1936" t="str">
        <f>HYPERLINK("http://service.sap.com/sap/support/notes/1548472","1548472")</f>
        <v>1548472</v>
      </c>
      <c r="E1936">
        <v>1</v>
      </c>
      <c r="F1936" t="s">
        <v>1725</v>
      </c>
    </row>
    <row r="1937" spans="1:6" x14ac:dyDescent="0.25">
      <c r="A1937" t="s">
        <v>2158</v>
      </c>
      <c r="B1937" t="s">
        <v>508</v>
      </c>
      <c r="C1937" t="s">
        <v>509</v>
      </c>
      <c r="D1937" t="str">
        <f>HYPERLINK("http://service.sap.com/sap/support/notes/1548938","1548938")</f>
        <v>1548938</v>
      </c>
      <c r="E1937">
        <v>6</v>
      </c>
      <c r="F1937" t="s">
        <v>1726</v>
      </c>
    </row>
    <row r="1938" spans="1:6" x14ac:dyDescent="0.25">
      <c r="A1938" t="s">
        <v>2158</v>
      </c>
      <c r="B1938" t="s">
        <v>508</v>
      </c>
      <c r="C1938" t="s">
        <v>509</v>
      </c>
      <c r="D1938" t="str">
        <f>HYPERLINK("http://service.sap.com/sap/support/notes/1550773","1550773")</f>
        <v>1550773</v>
      </c>
      <c r="E1938">
        <v>1</v>
      </c>
      <c r="F1938" t="s">
        <v>1727</v>
      </c>
    </row>
    <row r="1939" spans="1:6" x14ac:dyDescent="0.25">
      <c r="A1939" t="s">
        <v>2158</v>
      </c>
      <c r="B1939" t="s">
        <v>534</v>
      </c>
      <c r="C1939" t="s">
        <v>535</v>
      </c>
      <c r="D1939" t="str">
        <f>HYPERLINK("http://service.sap.com/sap/support/notes/1327347","1327347")</f>
        <v>1327347</v>
      </c>
      <c r="E1939">
        <v>8</v>
      </c>
      <c r="F1939" t="s">
        <v>1728</v>
      </c>
    </row>
    <row r="1940" spans="1:6" x14ac:dyDescent="0.25">
      <c r="A1940" t="s">
        <v>2158</v>
      </c>
      <c r="B1940" t="s">
        <v>534</v>
      </c>
      <c r="C1940" t="s">
        <v>535</v>
      </c>
      <c r="D1940" t="str">
        <f>HYPERLINK("http://service.sap.com/sap/support/notes/1530499","1530499")</f>
        <v>1530499</v>
      </c>
      <c r="E1940">
        <v>3</v>
      </c>
      <c r="F1940" t="s">
        <v>1729</v>
      </c>
    </row>
    <row r="1941" spans="1:6" x14ac:dyDescent="0.25">
      <c r="A1941" t="s">
        <v>2158</v>
      </c>
      <c r="B1941" t="s">
        <v>534</v>
      </c>
      <c r="C1941" t="s">
        <v>535</v>
      </c>
      <c r="D1941" t="str">
        <f>HYPERLINK("http://service.sap.com/sap/support/notes/1533016","1533016")</f>
        <v>1533016</v>
      </c>
      <c r="E1941">
        <v>2</v>
      </c>
      <c r="F1941" t="s">
        <v>1730</v>
      </c>
    </row>
    <row r="1942" spans="1:6" x14ac:dyDescent="0.25">
      <c r="A1942" t="s">
        <v>2565</v>
      </c>
      <c r="B1942" t="s">
        <v>554</v>
      </c>
      <c r="C1942" t="s">
        <v>1732</v>
      </c>
    </row>
    <row r="1943" spans="1:6" x14ac:dyDescent="0.25">
      <c r="A1943" t="s">
        <v>2565</v>
      </c>
      <c r="B1943" t="s">
        <v>555</v>
      </c>
      <c r="C1943" t="s">
        <v>1733</v>
      </c>
    </row>
    <row r="1944" spans="1:6" x14ac:dyDescent="0.25">
      <c r="A1944" t="s">
        <v>2565</v>
      </c>
      <c r="B1944" t="s">
        <v>556</v>
      </c>
      <c r="C1944" t="s">
        <v>1734</v>
      </c>
      <c r="D1944" t="str">
        <f>HYPERLINK("http://service.sap.com/sap/support/notes/1559498","1559498")</f>
        <v>1559498</v>
      </c>
      <c r="E1944">
        <v>1</v>
      </c>
      <c r="F1944" t="s">
        <v>2159</v>
      </c>
    </row>
    <row r="1945" spans="1:6" x14ac:dyDescent="0.25">
      <c r="A1945" t="s">
        <v>2565</v>
      </c>
      <c r="B1945" t="s">
        <v>5</v>
      </c>
      <c r="C1945" t="s">
        <v>6</v>
      </c>
    </row>
    <row r="1946" spans="1:6" x14ac:dyDescent="0.25">
      <c r="A1946" t="s">
        <v>2565</v>
      </c>
      <c r="B1946" t="s">
        <v>7</v>
      </c>
      <c r="C1946" t="s">
        <v>8</v>
      </c>
    </row>
    <row r="1947" spans="1:6" x14ac:dyDescent="0.25">
      <c r="A1947" t="s">
        <v>2565</v>
      </c>
      <c r="B1947" t="s">
        <v>17</v>
      </c>
      <c r="C1947" t="s">
        <v>18</v>
      </c>
      <c r="D1947" t="str">
        <f>HYPERLINK("http://service.sap.com/sap/support/notes/1553271","1553271")</f>
        <v>1553271</v>
      </c>
      <c r="E1947">
        <v>1</v>
      </c>
      <c r="F1947" t="s">
        <v>2160</v>
      </c>
    </row>
    <row r="1948" spans="1:6" x14ac:dyDescent="0.25">
      <c r="A1948" t="s">
        <v>2565</v>
      </c>
      <c r="B1948" t="s">
        <v>20</v>
      </c>
      <c r="C1948" t="s">
        <v>21</v>
      </c>
    </row>
    <row r="1949" spans="1:6" x14ac:dyDescent="0.25">
      <c r="A1949" t="s">
        <v>2565</v>
      </c>
      <c r="B1949" t="s">
        <v>22</v>
      </c>
      <c r="C1949" t="s">
        <v>23</v>
      </c>
    </row>
    <row r="1950" spans="1:6" x14ac:dyDescent="0.25">
      <c r="A1950" t="s">
        <v>2565</v>
      </c>
      <c r="B1950" t="s">
        <v>24</v>
      </c>
      <c r="C1950" t="s">
        <v>25</v>
      </c>
      <c r="D1950" t="str">
        <f>HYPERLINK("http://service.sap.com/sap/support/notes/1284280","1284280")</f>
        <v>1284280</v>
      </c>
      <c r="E1950">
        <v>3</v>
      </c>
      <c r="F1950" t="s">
        <v>26</v>
      </c>
    </row>
    <row r="1951" spans="1:6" x14ac:dyDescent="0.25">
      <c r="A1951" t="s">
        <v>2565</v>
      </c>
      <c r="B1951" t="s">
        <v>27</v>
      </c>
      <c r="C1951" t="s">
        <v>13</v>
      </c>
    </row>
    <row r="1952" spans="1:6" x14ac:dyDescent="0.25">
      <c r="A1952" t="s">
        <v>2565</v>
      </c>
      <c r="B1952" t="s">
        <v>2161</v>
      </c>
      <c r="C1952" t="s">
        <v>2162</v>
      </c>
      <c r="D1952" t="str">
        <f>HYPERLINK("http://service.sap.com/sap/support/notes/1557420","1557420")</f>
        <v>1557420</v>
      </c>
      <c r="E1952">
        <v>2</v>
      </c>
      <c r="F1952" t="s">
        <v>2163</v>
      </c>
    </row>
    <row r="1953" spans="1:6" x14ac:dyDescent="0.25">
      <c r="A1953" t="s">
        <v>2565</v>
      </c>
      <c r="B1953" t="s">
        <v>38</v>
      </c>
      <c r="C1953" t="s">
        <v>39</v>
      </c>
    </row>
    <row r="1954" spans="1:6" x14ac:dyDescent="0.25">
      <c r="A1954" t="s">
        <v>2565</v>
      </c>
      <c r="B1954" t="s">
        <v>40</v>
      </c>
      <c r="C1954" t="s">
        <v>41</v>
      </c>
      <c r="D1954" t="str">
        <f>HYPERLINK("http://service.sap.com/sap/support/notes/1547036","1547036")</f>
        <v>1547036</v>
      </c>
      <c r="E1954">
        <v>3</v>
      </c>
      <c r="F1954" t="s">
        <v>2164</v>
      </c>
    </row>
    <row r="1955" spans="1:6" x14ac:dyDescent="0.25">
      <c r="A1955" t="s">
        <v>2565</v>
      </c>
      <c r="B1955" t="s">
        <v>44</v>
      </c>
      <c r="C1955" t="s">
        <v>45</v>
      </c>
      <c r="D1955" t="str">
        <f>HYPERLINK("http://service.sap.com/sap/support/notes/1535567","1535567")</f>
        <v>1535567</v>
      </c>
      <c r="E1955">
        <v>2</v>
      </c>
      <c r="F1955" t="s">
        <v>2165</v>
      </c>
    </row>
    <row r="1956" spans="1:6" x14ac:dyDescent="0.25">
      <c r="A1956" t="s">
        <v>2565</v>
      </c>
      <c r="B1956" t="s">
        <v>44</v>
      </c>
      <c r="C1956" t="s">
        <v>45</v>
      </c>
      <c r="D1956" t="str">
        <f>HYPERLINK("http://service.sap.com/sap/support/notes/1547157","1547157")</f>
        <v>1547157</v>
      </c>
      <c r="E1956">
        <v>2</v>
      </c>
      <c r="F1956" t="s">
        <v>2166</v>
      </c>
    </row>
    <row r="1957" spans="1:6" x14ac:dyDescent="0.25">
      <c r="A1957" t="s">
        <v>2565</v>
      </c>
      <c r="B1957" t="s">
        <v>51</v>
      </c>
      <c r="C1957" t="s">
        <v>52</v>
      </c>
      <c r="D1957" t="str">
        <f>HYPERLINK("http://service.sap.com/sap/support/notes/1429090","1429090")</f>
        <v>1429090</v>
      </c>
      <c r="E1957">
        <v>2</v>
      </c>
      <c r="F1957" t="s">
        <v>2167</v>
      </c>
    </row>
    <row r="1958" spans="1:6" x14ac:dyDescent="0.25">
      <c r="A1958" t="s">
        <v>2565</v>
      </c>
      <c r="B1958" t="s">
        <v>57</v>
      </c>
      <c r="C1958" t="s">
        <v>58</v>
      </c>
    </row>
    <row r="1959" spans="1:6" x14ac:dyDescent="0.25">
      <c r="A1959" t="s">
        <v>2565</v>
      </c>
      <c r="B1959" t="s">
        <v>59</v>
      </c>
      <c r="C1959" t="s">
        <v>60</v>
      </c>
      <c r="D1959" t="str">
        <f>HYPERLINK("http://service.sap.com/sap/support/notes/1547912","1547912")</f>
        <v>1547912</v>
      </c>
      <c r="E1959">
        <v>4</v>
      </c>
      <c r="F1959" t="s">
        <v>2168</v>
      </c>
    </row>
    <row r="1960" spans="1:6" x14ac:dyDescent="0.25">
      <c r="A1960" t="s">
        <v>2565</v>
      </c>
      <c r="B1960" t="s">
        <v>59</v>
      </c>
      <c r="C1960" t="s">
        <v>60</v>
      </c>
      <c r="D1960" t="str">
        <f>HYPERLINK("http://service.sap.com/sap/support/notes/1548804","1548804")</f>
        <v>1548804</v>
      </c>
      <c r="E1960">
        <v>1</v>
      </c>
      <c r="F1960" t="s">
        <v>2169</v>
      </c>
    </row>
    <row r="1961" spans="1:6" x14ac:dyDescent="0.25">
      <c r="A1961" t="s">
        <v>2565</v>
      </c>
      <c r="B1961" t="s">
        <v>59</v>
      </c>
      <c r="C1961" t="s">
        <v>60</v>
      </c>
      <c r="D1961" t="str">
        <f>HYPERLINK("http://service.sap.com/sap/support/notes/1550387","1550387")</f>
        <v>1550387</v>
      </c>
      <c r="E1961">
        <v>1</v>
      </c>
      <c r="F1961" t="s">
        <v>2170</v>
      </c>
    </row>
    <row r="1962" spans="1:6" x14ac:dyDescent="0.25">
      <c r="A1962" t="s">
        <v>2565</v>
      </c>
      <c r="B1962" t="s">
        <v>59</v>
      </c>
      <c r="C1962" t="s">
        <v>60</v>
      </c>
      <c r="D1962" t="str">
        <f>HYPERLINK("http://service.sap.com/sap/support/notes/1550809","1550809")</f>
        <v>1550809</v>
      </c>
      <c r="E1962">
        <v>4</v>
      </c>
      <c r="F1962" t="s">
        <v>2171</v>
      </c>
    </row>
    <row r="1963" spans="1:6" x14ac:dyDescent="0.25">
      <c r="A1963" t="s">
        <v>2565</v>
      </c>
      <c r="B1963" t="s">
        <v>59</v>
      </c>
      <c r="C1963" t="s">
        <v>60</v>
      </c>
      <c r="D1963" t="str">
        <f>HYPERLINK("http://service.sap.com/sap/support/notes/1551479","1551479")</f>
        <v>1551479</v>
      </c>
      <c r="E1963">
        <v>1</v>
      </c>
      <c r="F1963" t="s">
        <v>2172</v>
      </c>
    </row>
    <row r="1964" spans="1:6" x14ac:dyDescent="0.25">
      <c r="A1964" t="s">
        <v>2565</v>
      </c>
      <c r="B1964" t="s">
        <v>59</v>
      </c>
      <c r="C1964" t="s">
        <v>60</v>
      </c>
      <c r="D1964" t="str">
        <f>HYPERLINK("http://service.sap.com/sap/support/notes/1553755","1553755")</f>
        <v>1553755</v>
      </c>
      <c r="E1964">
        <v>3</v>
      </c>
      <c r="F1964" t="s">
        <v>2173</v>
      </c>
    </row>
    <row r="1965" spans="1:6" x14ac:dyDescent="0.25">
      <c r="A1965" t="s">
        <v>2565</v>
      </c>
      <c r="B1965" t="s">
        <v>59</v>
      </c>
      <c r="C1965" t="s">
        <v>60</v>
      </c>
      <c r="D1965" t="str">
        <f>HYPERLINK("http://service.sap.com/sap/support/notes/1554247","1554247")</f>
        <v>1554247</v>
      </c>
      <c r="E1965">
        <v>2</v>
      </c>
      <c r="F1965" t="s">
        <v>2174</v>
      </c>
    </row>
    <row r="1966" spans="1:6" x14ac:dyDescent="0.25">
      <c r="A1966" t="s">
        <v>2565</v>
      </c>
      <c r="B1966" t="s">
        <v>59</v>
      </c>
      <c r="C1966" t="s">
        <v>60</v>
      </c>
      <c r="D1966" t="str">
        <f>HYPERLINK("http://service.sap.com/sap/support/notes/1559252","1559252")</f>
        <v>1559252</v>
      </c>
      <c r="E1966">
        <v>2</v>
      </c>
      <c r="F1966" t="s">
        <v>2175</v>
      </c>
    </row>
    <row r="1967" spans="1:6" x14ac:dyDescent="0.25">
      <c r="A1967" t="s">
        <v>2565</v>
      </c>
      <c r="B1967" t="s">
        <v>76</v>
      </c>
      <c r="C1967" t="s">
        <v>77</v>
      </c>
      <c r="D1967" t="str">
        <f>HYPERLINK("http://service.sap.com/sap/support/notes/448307","448307")</f>
        <v>448307</v>
      </c>
      <c r="E1967">
        <v>1</v>
      </c>
      <c r="F1967" t="s">
        <v>78</v>
      </c>
    </row>
    <row r="1968" spans="1:6" x14ac:dyDescent="0.25">
      <c r="A1968" t="s">
        <v>2565</v>
      </c>
      <c r="B1968" t="s">
        <v>76</v>
      </c>
      <c r="C1968" t="s">
        <v>77</v>
      </c>
      <c r="D1968" t="str">
        <f>HYPERLINK("http://service.sap.com/sap/support/notes/1546446","1546446")</f>
        <v>1546446</v>
      </c>
      <c r="E1968">
        <v>2</v>
      </c>
      <c r="F1968" t="s">
        <v>2176</v>
      </c>
    </row>
    <row r="1969" spans="1:6" x14ac:dyDescent="0.25">
      <c r="A1969" t="s">
        <v>2565</v>
      </c>
      <c r="B1969" t="s">
        <v>76</v>
      </c>
      <c r="C1969" t="s">
        <v>77</v>
      </c>
      <c r="D1969" t="str">
        <f>HYPERLINK("http://service.sap.com/sap/support/notes/1546651","1546651")</f>
        <v>1546651</v>
      </c>
      <c r="E1969">
        <v>1</v>
      </c>
      <c r="F1969" t="s">
        <v>2177</v>
      </c>
    </row>
    <row r="1970" spans="1:6" x14ac:dyDescent="0.25">
      <c r="A1970" t="s">
        <v>2565</v>
      </c>
      <c r="B1970" t="s">
        <v>79</v>
      </c>
      <c r="C1970" t="s">
        <v>80</v>
      </c>
      <c r="D1970" t="str">
        <f>HYPERLINK("http://service.sap.com/sap/support/notes/1558078","1558078")</f>
        <v>1558078</v>
      </c>
      <c r="E1970">
        <v>1</v>
      </c>
      <c r="F1970" t="s">
        <v>2178</v>
      </c>
    </row>
    <row r="1971" spans="1:6" x14ac:dyDescent="0.25">
      <c r="A1971" t="s">
        <v>2565</v>
      </c>
      <c r="B1971" t="s">
        <v>86</v>
      </c>
      <c r="C1971" t="s">
        <v>87</v>
      </c>
      <c r="D1971" t="str">
        <f>HYPERLINK("http://service.sap.com/sap/support/notes/1552216","1552216")</f>
        <v>1552216</v>
      </c>
      <c r="E1971">
        <v>1</v>
      </c>
      <c r="F1971" t="s">
        <v>2179</v>
      </c>
    </row>
    <row r="1972" spans="1:6" x14ac:dyDescent="0.25">
      <c r="A1972" t="s">
        <v>2565</v>
      </c>
      <c r="B1972" t="s">
        <v>704</v>
      </c>
      <c r="C1972" t="s">
        <v>412</v>
      </c>
      <c r="D1972" t="str">
        <f>HYPERLINK("http://service.sap.com/sap/support/notes/1555820","1555820")</f>
        <v>1555820</v>
      </c>
      <c r="E1972">
        <v>1</v>
      </c>
      <c r="F1972" t="s">
        <v>2180</v>
      </c>
    </row>
    <row r="1973" spans="1:6" x14ac:dyDescent="0.25">
      <c r="A1973" t="s">
        <v>2565</v>
      </c>
      <c r="B1973" t="s">
        <v>92</v>
      </c>
      <c r="C1973" t="s">
        <v>93</v>
      </c>
      <c r="D1973" t="str">
        <f>HYPERLINK("http://service.sap.com/sap/support/notes/960754","960754")</f>
        <v>960754</v>
      </c>
      <c r="E1973">
        <v>8</v>
      </c>
      <c r="F1973" t="s">
        <v>1463</v>
      </c>
    </row>
    <row r="1974" spans="1:6" x14ac:dyDescent="0.25">
      <c r="A1974" t="s">
        <v>2565</v>
      </c>
      <c r="B1974" t="s">
        <v>92</v>
      </c>
      <c r="C1974" t="s">
        <v>93</v>
      </c>
      <c r="D1974" t="str">
        <f>HYPERLINK("http://service.sap.com/sap/support/notes/1542317","1542317")</f>
        <v>1542317</v>
      </c>
      <c r="E1974">
        <v>1</v>
      </c>
      <c r="F1974" t="s">
        <v>2181</v>
      </c>
    </row>
    <row r="1975" spans="1:6" x14ac:dyDescent="0.25">
      <c r="A1975" t="s">
        <v>2565</v>
      </c>
      <c r="B1975" t="s">
        <v>92</v>
      </c>
      <c r="C1975" t="s">
        <v>93</v>
      </c>
      <c r="D1975" t="str">
        <f>HYPERLINK("http://service.sap.com/sap/support/notes/1548141","1548141")</f>
        <v>1548141</v>
      </c>
      <c r="E1975">
        <v>2</v>
      </c>
      <c r="F1975" t="s">
        <v>1465</v>
      </c>
    </row>
    <row r="1976" spans="1:6" x14ac:dyDescent="0.25">
      <c r="A1976" t="s">
        <v>2565</v>
      </c>
      <c r="B1976" t="s">
        <v>92</v>
      </c>
      <c r="C1976" t="s">
        <v>93</v>
      </c>
      <c r="D1976" t="str">
        <f>HYPERLINK("http://service.sap.com/sap/support/notes/1549618","1549618")</f>
        <v>1549618</v>
      </c>
      <c r="E1976">
        <v>1</v>
      </c>
      <c r="F1976" t="s">
        <v>2182</v>
      </c>
    </row>
    <row r="1977" spans="1:6" x14ac:dyDescent="0.25">
      <c r="A1977" t="s">
        <v>2565</v>
      </c>
      <c r="B1977" t="s">
        <v>92</v>
      </c>
      <c r="C1977" t="s">
        <v>93</v>
      </c>
      <c r="D1977" t="str">
        <f>HYPERLINK("http://service.sap.com/sap/support/notes/1551796","1551796")</f>
        <v>1551796</v>
      </c>
      <c r="E1977">
        <v>3</v>
      </c>
      <c r="F1977" t="s">
        <v>2183</v>
      </c>
    </row>
    <row r="1978" spans="1:6" x14ac:dyDescent="0.25">
      <c r="A1978" t="s">
        <v>2565</v>
      </c>
      <c r="B1978" t="s">
        <v>92</v>
      </c>
      <c r="C1978" t="s">
        <v>93</v>
      </c>
      <c r="D1978" t="str">
        <f>HYPERLINK("http://service.sap.com/sap/support/notes/1552232","1552232")</f>
        <v>1552232</v>
      </c>
      <c r="E1978">
        <v>1</v>
      </c>
      <c r="F1978" t="s">
        <v>2184</v>
      </c>
    </row>
    <row r="1979" spans="1:6" x14ac:dyDescent="0.25">
      <c r="A1979" t="s">
        <v>2565</v>
      </c>
      <c r="B1979" t="s">
        <v>92</v>
      </c>
      <c r="C1979" t="s">
        <v>93</v>
      </c>
      <c r="D1979" t="str">
        <f>HYPERLINK("http://service.sap.com/sap/support/notes/1552409","1552409")</f>
        <v>1552409</v>
      </c>
      <c r="E1979">
        <v>2</v>
      </c>
      <c r="F1979" t="s">
        <v>2185</v>
      </c>
    </row>
    <row r="1980" spans="1:6" x14ac:dyDescent="0.25">
      <c r="A1980" t="s">
        <v>2565</v>
      </c>
      <c r="B1980" t="s">
        <v>92</v>
      </c>
      <c r="C1980" t="s">
        <v>93</v>
      </c>
      <c r="D1980" t="str">
        <f>HYPERLINK("http://service.sap.com/sap/support/notes/1553798","1553798")</f>
        <v>1553798</v>
      </c>
      <c r="E1980">
        <v>1</v>
      </c>
      <c r="F1980" t="s">
        <v>2186</v>
      </c>
    </row>
    <row r="1981" spans="1:6" x14ac:dyDescent="0.25">
      <c r="A1981" t="s">
        <v>2565</v>
      </c>
      <c r="B1981" t="s">
        <v>92</v>
      </c>
      <c r="C1981" t="s">
        <v>93</v>
      </c>
      <c r="D1981" t="str">
        <f>HYPERLINK("http://service.sap.com/sap/support/notes/1554065","1554065")</f>
        <v>1554065</v>
      </c>
      <c r="E1981">
        <v>1</v>
      </c>
      <c r="F1981" t="s">
        <v>2187</v>
      </c>
    </row>
    <row r="1982" spans="1:6" x14ac:dyDescent="0.25">
      <c r="A1982" t="s">
        <v>2565</v>
      </c>
      <c r="B1982" t="s">
        <v>92</v>
      </c>
      <c r="C1982" t="s">
        <v>93</v>
      </c>
      <c r="D1982" t="str">
        <f>HYPERLINK("http://service.sap.com/sap/support/notes/1555118","1555118")</f>
        <v>1555118</v>
      </c>
      <c r="E1982">
        <v>2</v>
      </c>
      <c r="F1982" t="s">
        <v>2188</v>
      </c>
    </row>
    <row r="1983" spans="1:6" x14ac:dyDescent="0.25">
      <c r="A1983" t="s">
        <v>2565</v>
      </c>
      <c r="B1983" t="s">
        <v>92</v>
      </c>
      <c r="C1983" t="s">
        <v>93</v>
      </c>
      <c r="D1983" t="str">
        <f>HYPERLINK("http://service.sap.com/sap/support/notes/1555405","1555405")</f>
        <v>1555405</v>
      </c>
      <c r="E1983">
        <v>1</v>
      </c>
      <c r="F1983" t="s">
        <v>2189</v>
      </c>
    </row>
    <row r="1984" spans="1:6" x14ac:dyDescent="0.25">
      <c r="A1984" t="s">
        <v>2565</v>
      </c>
      <c r="B1984" t="s">
        <v>92</v>
      </c>
      <c r="C1984" t="s">
        <v>93</v>
      </c>
      <c r="D1984" t="str">
        <f>HYPERLINK("http://service.sap.com/sap/support/notes/1555837","1555837")</f>
        <v>1555837</v>
      </c>
      <c r="E1984">
        <v>1</v>
      </c>
      <c r="F1984" t="s">
        <v>2190</v>
      </c>
    </row>
    <row r="1985" spans="1:6" x14ac:dyDescent="0.25">
      <c r="A1985" t="s">
        <v>2565</v>
      </c>
      <c r="B1985" t="s">
        <v>92</v>
      </c>
      <c r="C1985" t="s">
        <v>93</v>
      </c>
      <c r="D1985" t="str">
        <f>HYPERLINK("http://service.sap.com/sap/support/notes/1558420","1558420")</f>
        <v>1558420</v>
      </c>
      <c r="E1985">
        <v>1</v>
      </c>
      <c r="F1985" t="s">
        <v>2191</v>
      </c>
    </row>
    <row r="1986" spans="1:6" x14ac:dyDescent="0.25">
      <c r="A1986" t="s">
        <v>2565</v>
      </c>
      <c r="B1986" t="s">
        <v>92</v>
      </c>
      <c r="C1986" t="s">
        <v>93</v>
      </c>
      <c r="D1986" t="str">
        <f>HYPERLINK("http://service.sap.com/sap/support/notes/1558422","1558422")</f>
        <v>1558422</v>
      </c>
      <c r="E1986">
        <v>9</v>
      </c>
      <c r="F1986" t="s">
        <v>2192</v>
      </c>
    </row>
    <row r="1987" spans="1:6" x14ac:dyDescent="0.25">
      <c r="A1987" t="s">
        <v>2565</v>
      </c>
      <c r="B1987" t="s">
        <v>107</v>
      </c>
      <c r="C1987" t="s">
        <v>108</v>
      </c>
      <c r="D1987" t="str">
        <f>HYPERLINK("http://service.sap.com/sap/support/notes/1538000","1538000")</f>
        <v>1538000</v>
      </c>
      <c r="E1987">
        <v>1</v>
      </c>
      <c r="F1987" t="s">
        <v>2193</v>
      </c>
    </row>
    <row r="1988" spans="1:6" x14ac:dyDescent="0.25">
      <c r="A1988" t="s">
        <v>2565</v>
      </c>
      <c r="B1988" t="s">
        <v>118</v>
      </c>
      <c r="C1988" t="s">
        <v>119</v>
      </c>
    </row>
    <row r="1989" spans="1:6" x14ac:dyDescent="0.25">
      <c r="A1989" t="s">
        <v>2565</v>
      </c>
      <c r="B1989" t="s">
        <v>123</v>
      </c>
      <c r="C1989" t="s">
        <v>124</v>
      </c>
      <c r="D1989" t="str">
        <f>HYPERLINK("http://service.sap.com/sap/support/notes/1535499","1535499")</f>
        <v>1535499</v>
      </c>
      <c r="E1989">
        <v>3</v>
      </c>
      <c r="F1989" t="s">
        <v>2194</v>
      </c>
    </row>
    <row r="1990" spans="1:6" x14ac:dyDescent="0.25">
      <c r="A1990" t="s">
        <v>2565</v>
      </c>
      <c r="B1990" t="s">
        <v>123</v>
      </c>
      <c r="C1990" t="s">
        <v>124</v>
      </c>
      <c r="D1990" t="str">
        <f>HYPERLINK("http://service.sap.com/sap/support/notes/1536403","1536403")</f>
        <v>1536403</v>
      </c>
      <c r="E1990">
        <v>2</v>
      </c>
      <c r="F1990" t="s">
        <v>2195</v>
      </c>
    </row>
    <row r="1991" spans="1:6" x14ac:dyDescent="0.25">
      <c r="A1991" t="s">
        <v>2565</v>
      </c>
      <c r="B1991" t="s">
        <v>123</v>
      </c>
      <c r="C1991" t="s">
        <v>124</v>
      </c>
      <c r="D1991" t="str">
        <f>HYPERLINK("http://service.sap.com/sap/support/notes/1549632","1549632")</f>
        <v>1549632</v>
      </c>
      <c r="E1991">
        <v>4</v>
      </c>
      <c r="F1991" t="s">
        <v>2196</v>
      </c>
    </row>
    <row r="1992" spans="1:6" x14ac:dyDescent="0.25">
      <c r="A1992" t="s">
        <v>2565</v>
      </c>
      <c r="B1992" t="s">
        <v>123</v>
      </c>
      <c r="C1992" t="s">
        <v>124</v>
      </c>
      <c r="D1992" t="str">
        <f>HYPERLINK("http://service.sap.com/sap/support/notes/1556049","1556049")</f>
        <v>1556049</v>
      </c>
      <c r="E1992">
        <v>3</v>
      </c>
      <c r="F1992" t="s">
        <v>2197</v>
      </c>
    </row>
    <row r="1993" spans="1:6" x14ac:dyDescent="0.25">
      <c r="A1993" t="s">
        <v>2565</v>
      </c>
      <c r="B1993" t="s">
        <v>123</v>
      </c>
      <c r="C1993" t="s">
        <v>124</v>
      </c>
      <c r="D1993" t="str">
        <f>HYPERLINK("http://service.sap.com/sap/support/notes/1559243","1559243")</f>
        <v>1559243</v>
      </c>
      <c r="E1993">
        <v>2</v>
      </c>
      <c r="F1993" t="s">
        <v>2198</v>
      </c>
    </row>
    <row r="1994" spans="1:6" x14ac:dyDescent="0.25">
      <c r="A1994" t="s">
        <v>2565</v>
      </c>
      <c r="B1994" t="s">
        <v>819</v>
      </c>
      <c r="C1994" t="s">
        <v>820</v>
      </c>
      <c r="D1994" t="str">
        <f>HYPERLINK("http://service.sap.com/sap/support/notes/1555503","1555503")</f>
        <v>1555503</v>
      </c>
      <c r="E1994">
        <v>1</v>
      </c>
      <c r="F1994" t="s">
        <v>2199</v>
      </c>
    </row>
    <row r="1995" spans="1:6" x14ac:dyDescent="0.25">
      <c r="A1995" t="s">
        <v>2565</v>
      </c>
      <c r="B1995" t="s">
        <v>126</v>
      </c>
      <c r="C1995" t="s">
        <v>127</v>
      </c>
    </row>
    <row r="1996" spans="1:6" x14ac:dyDescent="0.25">
      <c r="A1996" t="s">
        <v>2565</v>
      </c>
      <c r="B1996" t="s">
        <v>824</v>
      </c>
      <c r="C1996" t="s">
        <v>1777</v>
      </c>
    </row>
    <row r="1997" spans="1:6" x14ac:dyDescent="0.25">
      <c r="A1997" t="s">
        <v>2565</v>
      </c>
      <c r="B1997" t="s">
        <v>825</v>
      </c>
      <c r="C1997" t="s">
        <v>1778</v>
      </c>
      <c r="D1997" t="str">
        <f>HYPERLINK("http://service.sap.com/sap/support/notes/1540726","1540726")</f>
        <v>1540726</v>
      </c>
      <c r="E1997">
        <v>2</v>
      </c>
      <c r="F1997" t="s">
        <v>2200</v>
      </c>
    </row>
    <row r="1998" spans="1:6" x14ac:dyDescent="0.25">
      <c r="A1998" t="s">
        <v>2565</v>
      </c>
      <c r="B1998" t="s">
        <v>131</v>
      </c>
      <c r="C1998" t="s">
        <v>132</v>
      </c>
    </row>
    <row r="1999" spans="1:6" x14ac:dyDescent="0.25">
      <c r="A1999" t="s">
        <v>2565</v>
      </c>
      <c r="B1999" t="s">
        <v>133</v>
      </c>
      <c r="C1999" t="s">
        <v>134</v>
      </c>
      <c r="D1999" t="str">
        <f>HYPERLINK("http://service.sap.com/sap/support/notes/1502013","1502013")</f>
        <v>1502013</v>
      </c>
      <c r="E1999">
        <v>3</v>
      </c>
      <c r="F1999" t="s">
        <v>2201</v>
      </c>
    </row>
    <row r="2000" spans="1:6" x14ac:dyDescent="0.25">
      <c r="A2000" t="s">
        <v>2565</v>
      </c>
      <c r="B2000" t="s">
        <v>133</v>
      </c>
      <c r="C2000" t="s">
        <v>134</v>
      </c>
      <c r="D2000" t="str">
        <f>HYPERLINK("http://service.sap.com/sap/support/notes/1551683","1551683")</f>
        <v>1551683</v>
      </c>
      <c r="E2000">
        <v>5</v>
      </c>
      <c r="F2000" t="s">
        <v>2202</v>
      </c>
    </row>
    <row r="2001" spans="1:6" x14ac:dyDescent="0.25">
      <c r="A2001" t="s">
        <v>2565</v>
      </c>
      <c r="B2001" t="s">
        <v>133</v>
      </c>
      <c r="C2001" t="s">
        <v>134</v>
      </c>
      <c r="D2001" t="str">
        <f>HYPERLINK("http://service.sap.com/sap/support/notes/1556349","1556349")</f>
        <v>1556349</v>
      </c>
      <c r="E2001">
        <v>2</v>
      </c>
      <c r="F2001" t="s">
        <v>2203</v>
      </c>
    </row>
    <row r="2002" spans="1:6" x14ac:dyDescent="0.25">
      <c r="A2002" t="s">
        <v>2565</v>
      </c>
      <c r="B2002" t="s">
        <v>141</v>
      </c>
      <c r="C2002" t="s">
        <v>41</v>
      </c>
      <c r="D2002" t="str">
        <f>HYPERLINK("http://service.sap.com/sap/support/notes/1422589","1422589")</f>
        <v>1422589</v>
      </c>
      <c r="E2002">
        <v>2</v>
      </c>
      <c r="F2002" t="s">
        <v>2204</v>
      </c>
    </row>
    <row r="2003" spans="1:6" x14ac:dyDescent="0.25">
      <c r="A2003" t="s">
        <v>2565</v>
      </c>
      <c r="B2003" t="s">
        <v>141</v>
      </c>
      <c r="C2003" t="s">
        <v>41</v>
      </c>
      <c r="D2003" t="str">
        <f>HYPERLINK("http://service.sap.com/sap/support/notes/1520190","1520190")</f>
        <v>1520190</v>
      </c>
      <c r="E2003">
        <v>8</v>
      </c>
      <c r="F2003" t="s">
        <v>1794</v>
      </c>
    </row>
    <row r="2004" spans="1:6" x14ac:dyDescent="0.25">
      <c r="A2004" t="s">
        <v>2565</v>
      </c>
      <c r="B2004" t="s">
        <v>141</v>
      </c>
      <c r="C2004" t="s">
        <v>41</v>
      </c>
      <c r="D2004" t="str">
        <f>HYPERLINK("http://service.sap.com/sap/support/notes/1536947","1536947")</f>
        <v>1536947</v>
      </c>
      <c r="E2004">
        <v>2</v>
      </c>
      <c r="F2004" t="s">
        <v>2205</v>
      </c>
    </row>
    <row r="2005" spans="1:6" x14ac:dyDescent="0.25">
      <c r="A2005" t="s">
        <v>2565</v>
      </c>
      <c r="B2005" t="s">
        <v>141</v>
      </c>
      <c r="C2005" t="s">
        <v>41</v>
      </c>
      <c r="D2005" t="str">
        <f>HYPERLINK("http://service.sap.com/sap/support/notes/1547449","1547449")</f>
        <v>1547449</v>
      </c>
      <c r="E2005">
        <v>3</v>
      </c>
      <c r="F2005" t="s">
        <v>2206</v>
      </c>
    </row>
    <row r="2006" spans="1:6" x14ac:dyDescent="0.25">
      <c r="A2006" t="s">
        <v>2565</v>
      </c>
      <c r="B2006" t="s">
        <v>141</v>
      </c>
      <c r="C2006" t="s">
        <v>41</v>
      </c>
      <c r="D2006" t="str">
        <f>HYPERLINK("http://service.sap.com/sap/support/notes/1550664","1550664")</f>
        <v>1550664</v>
      </c>
      <c r="E2006">
        <v>1</v>
      </c>
      <c r="F2006" t="s">
        <v>1486</v>
      </c>
    </row>
    <row r="2007" spans="1:6" x14ac:dyDescent="0.25">
      <c r="A2007" t="s">
        <v>2565</v>
      </c>
      <c r="B2007" t="s">
        <v>141</v>
      </c>
      <c r="C2007" t="s">
        <v>41</v>
      </c>
      <c r="D2007" t="str">
        <f>HYPERLINK("http://service.sap.com/sap/support/notes/1551934","1551934")</f>
        <v>1551934</v>
      </c>
      <c r="E2007">
        <v>1</v>
      </c>
      <c r="F2007" t="s">
        <v>2207</v>
      </c>
    </row>
    <row r="2008" spans="1:6" x14ac:dyDescent="0.25">
      <c r="A2008" t="s">
        <v>2565</v>
      </c>
      <c r="B2008" t="s">
        <v>141</v>
      </c>
      <c r="C2008" t="s">
        <v>41</v>
      </c>
      <c r="D2008" t="str">
        <f>HYPERLINK("http://service.sap.com/sap/support/notes/1553171","1553171")</f>
        <v>1553171</v>
      </c>
      <c r="E2008">
        <v>2</v>
      </c>
      <c r="F2008" t="s">
        <v>2208</v>
      </c>
    </row>
    <row r="2009" spans="1:6" x14ac:dyDescent="0.25">
      <c r="A2009" t="s">
        <v>2565</v>
      </c>
      <c r="B2009" t="s">
        <v>141</v>
      </c>
      <c r="C2009" t="s">
        <v>41</v>
      </c>
      <c r="D2009" t="str">
        <f>HYPERLINK("http://service.sap.com/sap/support/notes/1553279","1553279")</f>
        <v>1553279</v>
      </c>
      <c r="E2009">
        <v>3</v>
      </c>
      <c r="F2009" t="s">
        <v>2209</v>
      </c>
    </row>
    <row r="2010" spans="1:6" x14ac:dyDescent="0.25">
      <c r="A2010" t="s">
        <v>2565</v>
      </c>
      <c r="B2010" t="s">
        <v>141</v>
      </c>
      <c r="C2010" t="s">
        <v>41</v>
      </c>
      <c r="D2010" t="str">
        <f>HYPERLINK("http://service.sap.com/sap/support/notes/1554967","1554967")</f>
        <v>1554967</v>
      </c>
      <c r="E2010">
        <v>5</v>
      </c>
      <c r="F2010" t="s">
        <v>2210</v>
      </c>
    </row>
    <row r="2011" spans="1:6" x14ac:dyDescent="0.25">
      <c r="A2011" t="s">
        <v>2565</v>
      </c>
      <c r="B2011" t="s">
        <v>141</v>
      </c>
      <c r="C2011" t="s">
        <v>41</v>
      </c>
      <c r="D2011" t="str">
        <f>HYPERLINK("http://service.sap.com/sap/support/notes/1555098","1555098")</f>
        <v>1555098</v>
      </c>
      <c r="E2011">
        <v>2</v>
      </c>
      <c r="F2011" t="s">
        <v>2211</v>
      </c>
    </row>
    <row r="2012" spans="1:6" x14ac:dyDescent="0.25">
      <c r="A2012" t="s">
        <v>2565</v>
      </c>
      <c r="B2012" t="s">
        <v>141</v>
      </c>
      <c r="C2012" t="s">
        <v>41</v>
      </c>
      <c r="D2012" t="str">
        <f>HYPERLINK("http://service.sap.com/sap/support/notes/1555831","1555831")</f>
        <v>1555831</v>
      </c>
      <c r="E2012">
        <v>1</v>
      </c>
      <c r="F2012" t="s">
        <v>2212</v>
      </c>
    </row>
    <row r="2013" spans="1:6" x14ac:dyDescent="0.25">
      <c r="A2013" t="s">
        <v>2565</v>
      </c>
      <c r="B2013" t="s">
        <v>141</v>
      </c>
      <c r="C2013" t="s">
        <v>41</v>
      </c>
      <c r="D2013" t="str">
        <f>HYPERLINK("http://service.sap.com/sap/support/notes/1555888","1555888")</f>
        <v>1555888</v>
      </c>
      <c r="E2013">
        <v>1</v>
      </c>
      <c r="F2013" t="s">
        <v>2213</v>
      </c>
    </row>
    <row r="2014" spans="1:6" x14ac:dyDescent="0.25">
      <c r="A2014" t="s">
        <v>2565</v>
      </c>
      <c r="B2014" t="s">
        <v>141</v>
      </c>
      <c r="C2014" t="s">
        <v>41</v>
      </c>
      <c r="D2014" t="str">
        <f>HYPERLINK("http://service.sap.com/sap/support/notes/1558133","1558133")</f>
        <v>1558133</v>
      </c>
      <c r="E2014">
        <v>2</v>
      </c>
      <c r="F2014" t="s">
        <v>2214</v>
      </c>
    </row>
    <row r="2015" spans="1:6" x14ac:dyDescent="0.25">
      <c r="A2015" t="s">
        <v>2565</v>
      </c>
      <c r="B2015" t="s">
        <v>141</v>
      </c>
      <c r="C2015" t="s">
        <v>41</v>
      </c>
      <c r="D2015" t="str">
        <f>HYPERLINK("http://service.sap.com/sap/support/notes/1559202","1559202")</f>
        <v>1559202</v>
      </c>
      <c r="E2015">
        <v>1</v>
      </c>
      <c r="F2015" t="s">
        <v>2215</v>
      </c>
    </row>
    <row r="2016" spans="1:6" x14ac:dyDescent="0.25">
      <c r="A2016" t="s">
        <v>2565</v>
      </c>
      <c r="B2016" t="s">
        <v>141</v>
      </c>
      <c r="C2016" t="s">
        <v>41</v>
      </c>
      <c r="D2016" t="str">
        <f>HYPERLINK("http://service.sap.com/sap/support/notes/1559771","1559771")</f>
        <v>1559771</v>
      </c>
      <c r="E2016">
        <v>1</v>
      </c>
      <c r="F2016" t="s">
        <v>2216</v>
      </c>
    </row>
    <row r="2017" spans="1:6" x14ac:dyDescent="0.25">
      <c r="A2017" t="s">
        <v>2565</v>
      </c>
      <c r="B2017" t="s">
        <v>152</v>
      </c>
      <c r="C2017" t="s">
        <v>153</v>
      </c>
      <c r="D2017" t="str">
        <f>HYPERLINK("http://service.sap.com/sap/support/notes/1551607","1551607")</f>
        <v>1551607</v>
      </c>
      <c r="E2017">
        <v>3</v>
      </c>
      <c r="F2017" t="s">
        <v>2217</v>
      </c>
    </row>
    <row r="2018" spans="1:6" x14ac:dyDescent="0.25">
      <c r="A2018" t="s">
        <v>2565</v>
      </c>
      <c r="B2018" t="s">
        <v>152</v>
      </c>
      <c r="C2018" t="s">
        <v>153</v>
      </c>
      <c r="D2018" t="str">
        <f>HYPERLINK("http://service.sap.com/sap/support/notes/1552382","1552382")</f>
        <v>1552382</v>
      </c>
      <c r="E2018">
        <v>2</v>
      </c>
      <c r="F2018" t="s">
        <v>2218</v>
      </c>
    </row>
    <row r="2019" spans="1:6" x14ac:dyDescent="0.25">
      <c r="A2019" t="s">
        <v>2565</v>
      </c>
      <c r="B2019" t="s">
        <v>155</v>
      </c>
      <c r="C2019" t="s">
        <v>156</v>
      </c>
      <c r="D2019" t="str">
        <f>HYPERLINK("http://service.sap.com/sap/support/notes/1444224","1444224")</f>
        <v>1444224</v>
      </c>
      <c r="E2019">
        <v>1</v>
      </c>
      <c r="F2019" t="s">
        <v>2219</v>
      </c>
    </row>
    <row r="2020" spans="1:6" x14ac:dyDescent="0.25">
      <c r="A2020" t="s">
        <v>2565</v>
      </c>
      <c r="B2020" t="s">
        <v>155</v>
      </c>
      <c r="C2020" t="s">
        <v>156</v>
      </c>
      <c r="D2020" t="str">
        <f>HYPERLINK("http://service.sap.com/sap/support/notes/1490215","1490215")</f>
        <v>1490215</v>
      </c>
      <c r="E2020">
        <v>1</v>
      </c>
      <c r="F2020" t="s">
        <v>1489</v>
      </c>
    </row>
    <row r="2021" spans="1:6" x14ac:dyDescent="0.25">
      <c r="A2021" t="s">
        <v>2565</v>
      </c>
      <c r="B2021" t="s">
        <v>155</v>
      </c>
      <c r="C2021" t="s">
        <v>156</v>
      </c>
      <c r="D2021" t="str">
        <f>HYPERLINK("http://service.sap.com/sap/support/notes/1541067","1541067")</f>
        <v>1541067</v>
      </c>
      <c r="E2021">
        <v>2</v>
      </c>
      <c r="F2021" t="s">
        <v>1490</v>
      </c>
    </row>
    <row r="2022" spans="1:6" x14ac:dyDescent="0.25">
      <c r="A2022" t="s">
        <v>2565</v>
      </c>
      <c r="B2022" t="s">
        <v>155</v>
      </c>
      <c r="C2022" t="s">
        <v>156</v>
      </c>
      <c r="D2022" t="str">
        <f>HYPERLINK("http://service.sap.com/sap/support/notes/1548226","1548226")</f>
        <v>1548226</v>
      </c>
      <c r="E2022">
        <v>1</v>
      </c>
      <c r="F2022" t="s">
        <v>2220</v>
      </c>
    </row>
    <row r="2023" spans="1:6" x14ac:dyDescent="0.25">
      <c r="A2023" t="s">
        <v>2565</v>
      </c>
      <c r="B2023" t="s">
        <v>155</v>
      </c>
      <c r="C2023" t="s">
        <v>156</v>
      </c>
      <c r="D2023" t="str">
        <f>HYPERLINK("http://service.sap.com/sap/support/notes/1553645","1553645")</f>
        <v>1553645</v>
      </c>
      <c r="E2023">
        <v>2</v>
      </c>
      <c r="F2023" t="s">
        <v>2221</v>
      </c>
    </row>
    <row r="2024" spans="1:6" x14ac:dyDescent="0.25">
      <c r="A2024" t="s">
        <v>2565</v>
      </c>
      <c r="B2024" t="s">
        <v>155</v>
      </c>
      <c r="C2024" t="s">
        <v>156</v>
      </c>
      <c r="D2024" t="str">
        <f>HYPERLINK("http://service.sap.com/sap/support/notes/1554923","1554923")</f>
        <v>1554923</v>
      </c>
      <c r="E2024">
        <v>1</v>
      </c>
      <c r="F2024" t="s">
        <v>2222</v>
      </c>
    </row>
    <row r="2025" spans="1:6" x14ac:dyDescent="0.25">
      <c r="A2025" t="s">
        <v>2565</v>
      </c>
      <c r="B2025" t="s">
        <v>168</v>
      </c>
      <c r="C2025" t="s">
        <v>169</v>
      </c>
      <c r="D2025" t="str">
        <f>HYPERLINK("http://service.sap.com/sap/support/notes/1491663","1491663")</f>
        <v>1491663</v>
      </c>
      <c r="E2025">
        <v>9</v>
      </c>
      <c r="F2025" t="s">
        <v>2223</v>
      </c>
    </row>
    <row r="2026" spans="1:6" x14ac:dyDescent="0.25">
      <c r="A2026" t="s">
        <v>2565</v>
      </c>
      <c r="B2026" t="s">
        <v>168</v>
      </c>
      <c r="C2026" t="s">
        <v>169</v>
      </c>
      <c r="D2026" t="str">
        <f>HYPERLINK("http://service.sap.com/sap/support/notes/1552192","1552192")</f>
        <v>1552192</v>
      </c>
      <c r="E2026">
        <v>1</v>
      </c>
      <c r="F2026" t="s">
        <v>2224</v>
      </c>
    </row>
    <row r="2027" spans="1:6" x14ac:dyDescent="0.25">
      <c r="A2027" t="s">
        <v>2565</v>
      </c>
      <c r="B2027" t="s">
        <v>168</v>
      </c>
      <c r="C2027" t="s">
        <v>169</v>
      </c>
      <c r="D2027" t="str">
        <f>HYPERLINK("http://service.sap.com/sap/support/notes/1554479","1554479")</f>
        <v>1554479</v>
      </c>
      <c r="E2027">
        <v>2</v>
      </c>
      <c r="F2027" t="s">
        <v>2225</v>
      </c>
    </row>
    <row r="2028" spans="1:6" x14ac:dyDescent="0.25">
      <c r="A2028" t="s">
        <v>2565</v>
      </c>
      <c r="B2028" t="s">
        <v>171</v>
      </c>
      <c r="C2028" t="s">
        <v>153</v>
      </c>
      <c r="D2028" t="str">
        <f>HYPERLINK("http://service.sap.com/sap/support/notes/1540147","1540147")</f>
        <v>1540147</v>
      </c>
      <c r="E2028">
        <v>1</v>
      </c>
      <c r="F2028" t="s">
        <v>2226</v>
      </c>
    </row>
    <row r="2029" spans="1:6" x14ac:dyDescent="0.25">
      <c r="A2029" t="s">
        <v>2565</v>
      </c>
      <c r="B2029" t="s">
        <v>171</v>
      </c>
      <c r="C2029" t="s">
        <v>153</v>
      </c>
      <c r="D2029" t="str">
        <f>HYPERLINK("http://service.sap.com/sap/support/notes/1554066","1554066")</f>
        <v>1554066</v>
      </c>
      <c r="E2029">
        <v>1</v>
      </c>
      <c r="F2029" t="s">
        <v>2227</v>
      </c>
    </row>
    <row r="2030" spans="1:6" x14ac:dyDescent="0.25">
      <c r="A2030" t="s">
        <v>2565</v>
      </c>
      <c r="B2030" t="s">
        <v>171</v>
      </c>
      <c r="C2030" t="s">
        <v>153</v>
      </c>
      <c r="D2030" t="str">
        <f>HYPERLINK("http://service.sap.com/sap/support/notes/1557596","1557596")</f>
        <v>1557596</v>
      </c>
      <c r="E2030">
        <v>1</v>
      </c>
      <c r="F2030" t="s">
        <v>2228</v>
      </c>
    </row>
    <row r="2031" spans="1:6" x14ac:dyDescent="0.25">
      <c r="A2031" t="s">
        <v>2565</v>
      </c>
      <c r="B2031" t="s">
        <v>173</v>
      </c>
      <c r="C2031" t="s">
        <v>45</v>
      </c>
      <c r="D2031" t="str">
        <f>HYPERLINK("http://service.sap.com/sap/support/notes/1526033","1526033")</f>
        <v>1526033</v>
      </c>
      <c r="E2031">
        <v>1</v>
      </c>
      <c r="F2031" t="s">
        <v>2229</v>
      </c>
    </row>
    <row r="2032" spans="1:6" x14ac:dyDescent="0.25">
      <c r="A2032" t="s">
        <v>2565</v>
      </c>
      <c r="B2032" t="s">
        <v>173</v>
      </c>
      <c r="C2032" t="s">
        <v>45</v>
      </c>
      <c r="D2032" t="str">
        <f>HYPERLINK("http://service.sap.com/sap/support/notes/1537171","1537171")</f>
        <v>1537171</v>
      </c>
      <c r="E2032">
        <v>4</v>
      </c>
      <c r="F2032" t="s">
        <v>2230</v>
      </c>
    </row>
    <row r="2033" spans="1:6" x14ac:dyDescent="0.25">
      <c r="A2033" t="s">
        <v>2565</v>
      </c>
      <c r="B2033" t="s">
        <v>173</v>
      </c>
      <c r="C2033" t="s">
        <v>45</v>
      </c>
      <c r="D2033" t="str">
        <f>HYPERLINK("http://service.sap.com/sap/support/notes/1539338","1539338")</f>
        <v>1539338</v>
      </c>
      <c r="E2033">
        <v>12</v>
      </c>
      <c r="F2033" t="s">
        <v>2231</v>
      </c>
    </row>
    <row r="2034" spans="1:6" x14ac:dyDescent="0.25">
      <c r="A2034" t="s">
        <v>2565</v>
      </c>
      <c r="B2034" t="s">
        <v>173</v>
      </c>
      <c r="C2034" t="s">
        <v>45</v>
      </c>
      <c r="D2034" t="str">
        <f>HYPERLINK("http://service.sap.com/sap/support/notes/1540364","1540364")</f>
        <v>1540364</v>
      </c>
      <c r="E2034">
        <v>3</v>
      </c>
      <c r="F2034" t="s">
        <v>2232</v>
      </c>
    </row>
    <row r="2035" spans="1:6" x14ac:dyDescent="0.25">
      <c r="A2035" t="s">
        <v>2565</v>
      </c>
      <c r="B2035" t="s">
        <v>173</v>
      </c>
      <c r="C2035" t="s">
        <v>45</v>
      </c>
      <c r="D2035" t="str">
        <f>HYPERLINK("http://service.sap.com/sap/support/notes/1549121","1549121")</f>
        <v>1549121</v>
      </c>
      <c r="E2035">
        <v>2</v>
      </c>
      <c r="F2035" t="s">
        <v>2233</v>
      </c>
    </row>
    <row r="2036" spans="1:6" x14ac:dyDescent="0.25">
      <c r="A2036" t="s">
        <v>2565</v>
      </c>
      <c r="B2036" t="s">
        <v>173</v>
      </c>
      <c r="C2036" t="s">
        <v>45</v>
      </c>
      <c r="D2036" t="str">
        <f>HYPERLINK("http://service.sap.com/sap/support/notes/1549477","1549477")</f>
        <v>1549477</v>
      </c>
      <c r="E2036">
        <v>4</v>
      </c>
      <c r="F2036" t="s">
        <v>2234</v>
      </c>
    </row>
    <row r="2037" spans="1:6" x14ac:dyDescent="0.25">
      <c r="A2037" t="s">
        <v>2565</v>
      </c>
      <c r="B2037" t="s">
        <v>173</v>
      </c>
      <c r="C2037" t="s">
        <v>45</v>
      </c>
      <c r="D2037" t="str">
        <f>HYPERLINK("http://service.sap.com/sap/support/notes/1552004","1552004")</f>
        <v>1552004</v>
      </c>
      <c r="E2037">
        <v>1</v>
      </c>
      <c r="F2037" t="s">
        <v>2235</v>
      </c>
    </row>
    <row r="2038" spans="1:6" x14ac:dyDescent="0.25">
      <c r="A2038" t="s">
        <v>2565</v>
      </c>
      <c r="B2038" t="s">
        <v>173</v>
      </c>
      <c r="C2038" t="s">
        <v>45</v>
      </c>
      <c r="D2038" t="str">
        <f>HYPERLINK("http://service.sap.com/sap/support/notes/1552734","1552734")</f>
        <v>1552734</v>
      </c>
      <c r="E2038">
        <v>2</v>
      </c>
      <c r="F2038" t="s">
        <v>2236</v>
      </c>
    </row>
    <row r="2039" spans="1:6" x14ac:dyDescent="0.25">
      <c r="A2039" t="s">
        <v>2565</v>
      </c>
      <c r="B2039" t="s">
        <v>173</v>
      </c>
      <c r="C2039" t="s">
        <v>45</v>
      </c>
      <c r="D2039" t="str">
        <f>HYPERLINK("http://service.sap.com/sap/support/notes/1552913","1552913")</f>
        <v>1552913</v>
      </c>
      <c r="E2039">
        <v>1</v>
      </c>
      <c r="F2039" t="s">
        <v>2237</v>
      </c>
    </row>
    <row r="2040" spans="1:6" x14ac:dyDescent="0.25">
      <c r="A2040" t="s">
        <v>2565</v>
      </c>
      <c r="B2040" t="s">
        <v>173</v>
      </c>
      <c r="C2040" t="s">
        <v>45</v>
      </c>
      <c r="D2040" t="str">
        <f>HYPERLINK("http://service.sap.com/sap/support/notes/1553422","1553422")</f>
        <v>1553422</v>
      </c>
      <c r="E2040">
        <v>2</v>
      </c>
      <c r="F2040" t="s">
        <v>2238</v>
      </c>
    </row>
    <row r="2041" spans="1:6" x14ac:dyDescent="0.25">
      <c r="A2041" t="s">
        <v>2565</v>
      </c>
      <c r="B2041" t="s">
        <v>173</v>
      </c>
      <c r="C2041" t="s">
        <v>45</v>
      </c>
      <c r="D2041" t="str">
        <f>HYPERLINK("http://service.sap.com/sap/support/notes/1554239","1554239")</f>
        <v>1554239</v>
      </c>
      <c r="E2041">
        <v>2</v>
      </c>
      <c r="F2041" t="s">
        <v>2239</v>
      </c>
    </row>
    <row r="2042" spans="1:6" x14ac:dyDescent="0.25">
      <c r="A2042" t="s">
        <v>2565</v>
      </c>
      <c r="B2042" t="s">
        <v>173</v>
      </c>
      <c r="C2042" t="s">
        <v>45</v>
      </c>
      <c r="D2042" t="str">
        <f>HYPERLINK("http://service.sap.com/sap/support/notes/1555090","1555090")</f>
        <v>1555090</v>
      </c>
      <c r="E2042">
        <v>1</v>
      </c>
      <c r="F2042" t="s">
        <v>2240</v>
      </c>
    </row>
    <row r="2043" spans="1:6" x14ac:dyDescent="0.25">
      <c r="A2043" t="s">
        <v>2565</v>
      </c>
      <c r="B2043" t="s">
        <v>173</v>
      </c>
      <c r="C2043" t="s">
        <v>45</v>
      </c>
      <c r="D2043" t="str">
        <f>HYPERLINK("http://service.sap.com/sap/support/notes/1555942","1555942")</f>
        <v>1555942</v>
      </c>
      <c r="E2043">
        <v>1</v>
      </c>
      <c r="F2043" t="s">
        <v>2241</v>
      </c>
    </row>
    <row r="2044" spans="1:6" x14ac:dyDescent="0.25">
      <c r="A2044" t="s">
        <v>2565</v>
      </c>
      <c r="B2044" t="s">
        <v>173</v>
      </c>
      <c r="C2044" t="s">
        <v>45</v>
      </c>
      <c r="D2044" t="str">
        <f>HYPERLINK("http://service.sap.com/sap/support/notes/1555981","1555981")</f>
        <v>1555981</v>
      </c>
      <c r="E2044">
        <v>2</v>
      </c>
      <c r="F2044" t="s">
        <v>2242</v>
      </c>
    </row>
    <row r="2045" spans="1:6" x14ac:dyDescent="0.25">
      <c r="A2045" t="s">
        <v>2565</v>
      </c>
      <c r="B2045" t="s">
        <v>173</v>
      </c>
      <c r="C2045" t="s">
        <v>45</v>
      </c>
      <c r="D2045" t="str">
        <f>HYPERLINK("http://service.sap.com/sap/support/notes/1556167","1556167")</f>
        <v>1556167</v>
      </c>
      <c r="E2045">
        <v>3</v>
      </c>
      <c r="F2045" t="s">
        <v>2243</v>
      </c>
    </row>
    <row r="2046" spans="1:6" x14ac:dyDescent="0.25">
      <c r="A2046" t="s">
        <v>2565</v>
      </c>
      <c r="B2046" t="s">
        <v>173</v>
      </c>
      <c r="C2046" t="s">
        <v>45</v>
      </c>
      <c r="D2046" t="str">
        <f>HYPERLINK("http://service.sap.com/sap/support/notes/1556237","1556237")</f>
        <v>1556237</v>
      </c>
      <c r="E2046">
        <v>1</v>
      </c>
      <c r="F2046" t="s">
        <v>2244</v>
      </c>
    </row>
    <row r="2047" spans="1:6" x14ac:dyDescent="0.25">
      <c r="A2047" t="s">
        <v>2565</v>
      </c>
      <c r="B2047" t="s">
        <v>173</v>
      </c>
      <c r="C2047" t="s">
        <v>45</v>
      </c>
      <c r="D2047" t="str">
        <f>HYPERLINK("http://service.sap.com/sap/support/notes/1556519","1556519")</f>
        <v>1556519</v>
      </c>
      <c r="E2047">
        <v>2</v>
      </c>
      <c r="F2047" t="s">
        <v>2245</v>
      </c>
    </row>
    <row r="2048" spans="1:6" x14ac:dyDescent="0.25">
      <c r="A2048" t="s">
        <v>2565</v>
      </c>
      <c r="B2048" t="s">
        <v>173</v>
      </c>
      <c r="C2048" t="s">
        <v>45</v>
      </c>
      <c r="D2048" t="str">
        <f>HYPERLINK("http://service.sap.com/sap/support/notes/1556825","1556825")</f>
        <v>1556825</v>
      </c>
      <c r="E2048">
        <v>3</v>
      </c>
      <c r="F2048" t="s">
        <v>2246</v>
      </c>
    </row>
    <row r="2049" spans="1:6" x14ac:dyDescent="0.25">
      <c r="A2049" t="s">
        <v>2565</v>
      </c>
      <c r="B2049" t="s">
        <v>173</v>
      </c>
      <c r="C2049" t="s">
        <v>45</v>
      </c>
      <c r="D2049" t="str">
        <f>HYPERLINK("http://service.sap.com/sap/support/notes/1558996","1558996")</f>
        <v>1558996</v>
      </c>
      <c r="E2049">
        <v>2</v>
      </c>
      <c r="F2049" t="s">
        <v>2247</v>
      </c>
    </row>
    <row r="2050" spans="1:6" x14ac:dyDescent="0.25">
      <c r="A2050" t="s">
        <v>2565</v>
      </c>
      <c r="B2050" t="s">
        <v>173</v>
      </c>
      <c r="C2050" t="s">
        <v>45</v>
      </c>
      <c r="D2050" t="str">
        <f>HYPERLINK("http://service.sap.com/sap/support/notes/1558999","1558999")</f>
        <v>1558999</v>
      </c>
      <c r="E2050">
        <v>3</v>
      </c>
      <c r="F2050" t="s">
        <v>2248</v>
      </c>
    </row>
    <row r="2051" spans="1:6" x14ac:dyDescent="0.25">
      <c r="A2051" t="s">
        <v>2565</v>
      </c>
      <c r="B2051" t="s">
        <v>173</v>
      </c>
      <c r="C2051" t="s">
        <v>45</v>
      </c>
      <c r="D2051" t="str">
        <f>HYPERLINK("http://service.sap.com/sap/support/notes/1559035","1559035")</f>
        <v>1559035</v>
      </c>
      <c r="E2051">
        <v>2</v>
      </c>
      <c r="F2051" t="s">
        <v>2249</v>
      </c>
    </row>
    <row r="2052" spans="1:6" x14ac:dyDescent="0.25">
      <c r="A2052" t="s">
        <v>2565</v>
      </c>
      <c r="B2052" t="s">
        <v>173</v>
      </c>
      <c r="C2052" t="s">
        <v>45</v>
      </c>
      <c r="D2052" t="str">
        <f>HYPERLINK("http://service.sap.com/sap/support/notes/1559688","1559688")</f>
        <v>1559688</v>
      </c>
      <c r="E2052">
        <v>2</v>
      </c>
      <c r="F2052" t="s">
        <v>2250</v>
      </c>
    </row>
    <row r="2053" spans="1:6" x14ac:dyDescent="0.25">
      <c r="A2053" t="s">
        <v>2565</v>
      </c>
      <c r="B2053" t="s">
        <v>191</v>
      </c>
      <c r="C2053" t="s">
        <v>192</v>
      </c>
      <c r="D2053" t="str">
        <f>HYPERLINK("http://service.sap.com/sap/support/notes/1060819","1060819")</f>
        <v>1060819</v>
      </c>
      <c r="E2053">
        <v>1</v>
      </c>
      <c r="F2053" t="s">
        <v>193</v>
      </c>
    </row>
    <row r="2054" spans="1:6" x14ac:dyDescent="0.25">
      <c r="A2054" t="s">
        <v>2565</v>
      </c>
      <c r="B2054" t="s">
        <v>191</v>
      </c>
      <c r="C2054" t="s">
        <v>192</v>
      </c>
      <c r="D2054" t="str">
        <f>HYPERLINK("http://service.sap.com/sap/support/notes/1527132","1527132")</f>
        <v>1527132</v>
      </c>
      <c r="E2054">
        <v>5</v>
      </c>
      <c r="F2054" t="s">
        <v>2251</v>
      </c>
    </row>
    <row r="2055" spans="1:6" x14ac:dyDescent="0.25">
      <c r="A2055" t="s">
        <v>2565</v>
      </c>
      <c r="B2055" t="s">
        <v>191</v>
      </c>
      <c r="C2055" t="s">
        <v>192</v>
      </c>
      <c r="D2055" t="str">
        <f>HYPERLINK("http://service.sap.com/sap/support/notes/1542363","1542363")</f>
        <v>1542363</v>
      </c>
      <c r="E2055">
        <v>27</v>
      </c>
      <c r="F2055" t="s">
        <v>2252</v>
      </c>
    </row>
    <row r="2056" spans="1:6" x14ac:dyDescent="0.25">
      <c r="A2056" t="s">
        <v>2565</v>
      </c>
      <c r="B2056" t="s">
        <v>191</v>
      </c>
      <c r="C2056" t="s">
        <v>192</v>
      </c>
      <c r="D2056" t="str">
        <f>HYPERLINK("http://service.sap.com/sap/support/notes/1552450","1552450")</f>
        <v>1552450</v>
      </c>
      <c r="E2056">
        <v>2</v>
      </c>
      <c r="F2056" t="s">
        <v>2253</v>
      </c>
    </row>
    <row r="2057" spans="1:6" x14ac:dyDescent="0.25">
      <c r="A2057" t="s">
        <v>2565</v>
      </c>
      <c r="B2057" t="s">
        <v>191</v>
      </c>
      <c r="C2057" t="s">
        <v>192</v>
      </c>
      <c r="D2057" t="str">
        <f>HYPERLINK("http://service.sap.com/sap/support/notes/1552960","1552960")</f>
        <v>1552960</v>
      </c>
      <c r="E2057">
        <v>3</v>
      </c>
      <c r="F2057" t="s">
        <v>2254</v>
      </c>
    </row>
    <row r="2058" spans="1:6" x14ac:dyDescent="0.25">
      <c r="A2058" t="s">
        <v>2565</v>
      </c>
      <c r="B2058" t="s">
        <v>191</v>
      </c>
      <c r="C2058" t="s">
        <v>192</v>
      </c>
      <c r="D2058" t="str">
        <f>HYPERLINK("http://service.sap.com/sap/support/notes/1553891","1553891")</f>
        <v>1553891</v>
      </c>
      <c r="E2058">
        <v>4</v>
      </c>
      <c r="F2058" t="s">
        <v>2255</v>
      </c>
    </row>
    <row r="2059" spans="1:6" x14ac:dyDescent="0.25">
      <c r="A2059" t="s">
        <v>2565</v>
      </c>
      <c r="B2059" t="s">
        <v>191</v>
      </c>
      <c r="C2059" t="s">
        <v>192</v>
      </c>
      <c r="D2059" t="str">
        <f>HYPERLINK("http://service.sap.com/sap/support/notes/1556384","1556384")</f>
        <v>1556384</v>
      </c>
      <c r="E2059">
        <v>3</v>
      </c>
      <c r="F2059" t="s">
        <v>2256</v>
      </c>
    </row>
    <row r="2060" spans="1:6" x14ac:dyDescent="0.25">
      <c r="A2060" t="s">
        <v>2565</v>
      </c>
      <c r="B2060" t="s">
        <v>191</v>
      </c>
      <c r="C2060" t="s">
        <v>192</v>
      </c>
      <c r="D2060" t="str">
        <f>HYPERLINK("http://service.sap.com/sap/support/notes/1556561","1556561")</f>
        <v>1556561</v>
      </c>
      <c r="E2060">
        <v>1</v>
      </c>
      <c r="F2060" t="s">
        <v>2257</v>
      </c>
    </row>
    <row r="2061" spans="1:6" x14ac:dyDescent="0.25">
      <c r="A2061" t="s">
        <v>2565</v>
      </c>
      <c r="B2061" t="s">
        <v>191</v>
      </c>
      <c r="C2061" t="s">
        <v>192</v>
      </c>
      <c r="D2061" t="str">
        <f>HYPERLINK("http://service.sap.com/sap/support/notes/1556988","1556988")</f>
        <v>1556988</v>
      </c>
      <c r="E2061">
        <v>4</v>
      </c>
      <c r="F2061" t="s">
        <v>2258</v>
      </c>
    </row>
    <row r="2062" spans="1:6" x14ac:dyDescent="0.25">
      <c r="A2062" t="s">
        <v>2565</v>
      </c>
      <c r="B2062" t="s">
        <v>191</v>
      </c>
      <c r="C2062" t="s">
        <v>192</v>
      </c>
      <c r="D2062" t="str">
        <f>HYPERLINK("http://service.sap.com/sap/support/notes/1556991","1556991")</f>
        <v>1556991</v>
      </c>
      <c r="E2062">
        <v>4</v>
      </c>
      <c r="F2062" t="s">
        <v>2259</v>
      </c>
    </row>
    <row r="2063" spans="1:6" x14ac:dyDescent="0.25">
      <c r="A2063" t="s">
        <v>2565</v>
      </c>
      <c r="B2063" t="s">
        <v>191</v>
      </c>
      <c r="C2063" t="s">
        <v>192</v>
      </c>
      <c r="D2063" t="str">
        <f>HYPERLINK("http://service.sap.com/sap/support/notes/1557268","1557268")</f>
        <v>1557268</v>
      </c>
      <c r="E2063">
        <v>3</v>
      </c>
      <c r="F2063" t="s">
        <v>2260</v>
      </c>
    </row>
    <row r="2064" spans="1:6" x14ac:dyDescent="0.25">
      <c r="A2064" t="s">
        <v>2565</v>
      </c>
      <c r="B2064" t="s">
        <v>191</v>
      </c>
      <c r="C2064" t="s">
        <v>192</v>
      </c>
      <c r="D2064" t="str">
        <f>HYPERLINK("http://service.sap.com/sap/support/notes/1557514","1557514")</f>
        <v>1557514</v>
      </c>
      <c r="E2064">
        <v>2</v>
      </c>
      <c r="F2064" t="s">
        <v>2261</v>
      </c>
    </row>
    <row r="2065" spans="1:6" x14ac:dyDescent="0.25">
      <c r="A2065" t="s">
        <v>2565</v>
      </c>
      <c r="B2065" t="s">
        <v>191</v>
      </c>
      <c r="C2065" t="s">
        <v>192</v>
      </c>
      <c r="D2065" t="str">
        <f>HYPERLINK("http://service.sap.com/sap/support/notes/1561768","1561768")</f>
        <v>1561768</v>
      </c>
      <c r="E2065">
        <v>3</v>
      </c>
      <c r="F2065" t="s">
        <v>2262</v>
      </c>
    </row>
    <row r="2066" spans="1:6" x14ac:dyDescent="0.25">
      <c r="A2066" t="s">
        <v>2565</v>
      </c>
      <c r="B2066" t="s">
        <v>191</v>
      </c>
      <c r="C2066" t="s">
        <v>192</v>
      </c>
      <c r="D2066" t="str">
        <f>HYPERLINK("http://service.sap.com/sap/support/notes/1564011","1564011")</f>
        <v>1564011</v>
      </c>
      <c r="E2066">
        <v>1</v>
      </c>
      <c r="F2066" t="s">
        <v>2263</v>
      </c>
    </row>
    <row r="2067" spans="1:6" x14ac:dyDescent="0.25">
      <c r="A2067" t="s">
        <v>2565</v>
      </c>
      <c r="B2067" t="s">
        <v>201</v>
      </c>
      <c r="C2067" t="s">
        <v>202</v>
      </c>
      <c r="D2067" t="str">
        <f>HYPERLINK("http://service.sap.com/sap/support/notes/612934","612934")</f>
        <v>612934</v>
      </c>
      <c r="E2067">
        <v>1</v>
      </c>
      <c r="F2067" t="s">
        <v>203</v>
      </c>
    </row>
    <row r="2068" spans="1:6" x14ac:dyDescent="0.25">
      <c r="A2068" t="s">
        <v>2565</v>
      </c>
      <c r="B2068" t="s">
        <v>201</v>
      </c>
      <c r="C2068" t="s">
        <v>202</v>
      </c>
      <c r="D2068" t="str">
        <f>HYPERLINK("http://service.sap.com/sap/support/notes/1555314","1555314")</f>
        <v>1555314</v>
      </c>
      <c r="E2068">
        <v>1</v>
      </c>
      <c r="F2068" t="s">
        <v>2264</v>
      </c>
    </row>
    <row r="2069" spans="1:6" x14ac:dyDescent="0.25">
      <c r="A2069" t="s">
        <v>2565</v>
      </c>
      <c r="B2069" t="s">
        <v>964</v>
      </c>
      <c r="C2069" t="s">
        <v>299</v>
      </c>
      <c r="D2069" t="str">
        <f>HYPERLINK("http://service.sap.com/sap/support/notes/1541700","1541700")</f>
        <v>1541700</v>
      </c>
      <c r="E2069">
        <v>1</v>
      </c>
      <c r="F2069" t="s">
        <v>2265</v>
      </c>
    </row>
    <row r="2070" spans="1:6" x14ac:dyDescent="0.25">
      <c r="A2070" t="s">
        <v>2565</v>
      </c>
      <c r="B2070" t="s">
        <v>964</v>
      </c>
      <c r="C2070" t="s">
        <v>299</v>
      </c>
      <c r="D2070" t="str">
        <f>HYPERLINK("http://service.sap.com/sap/support/notes/1552223","1552223")</f>
        <v>1552223</v>
      </c>
      <c r="E2070">
        <v>2</v>
      </c>
      <c r="F2070" t="s">
        <v>2266</v>
      </c>
    </row>
    <row r="2071" spans="1:6" x14ac:dyDescent="0.25">
      <c r="A2071" t="s">
        <v>2565</v>
      </c>
      <c r="B2071" t="s">
        <v>964</v>
      </c>
      <c r="C2071" t="s">
        <v>299</v>
      </c>
      <c r="D2071" t="str">
        <f>HYPERLINK("http://service.sap.com/sap/support/notes/1552666","1552666")</f>
        <v>1552666</v>
      </c>
      <c r="E2071">
        <v>2</v>
      </c>
      <c r="F2071" t="s">
        <v>2267</v>
      </c>
    </row>
    <row r="2072" spans="1:6" x14ac:dyDescent="0.25">
      <c r="A2072" t="s">
        <v>2565</v>
      </c>
      <c r="B2072" t="s">
        <v>964</v>
      </c>
      <c r="C2072" t="s">
        <v>299</v>
      </c>
      <c r="D2072" t="str">
        <f>HYPERLINK("http://service.sap.com/sap/support/notes/1552667","1552667")</f>
        <v>1552667</v>
      </c>
      <c r="E2072">
        <v>1</v>
      </c>
      <c r="F2072" t="s">
        <v>2268</v>
      </c>
    </row>
    <row r="2073" spans="1:6" x14ac:dyDescent="0.25">
      <c r="A2073" t="s">
        <v>2565</v>
      </c>
      <c r="B2073" t="s">
        <v>964</v>
      </c>
      <c r="C2073" t="s">
        <v>299</v>
      </c>
      <c r="D2073" t="str">
        <f>HYPERLINK("http://service.sap.com/sap/support/notes/1552669","1552669")</f>
        <v>1552669</v>
      </c>
      <c r="E2073">
        <v>2</v>
      </c>
      <c r="F2073" t="s">
        <v>2269</v>
      </c>
    </row>
    <row r="2074" spans="1:6" x14ac:dyDescent="0.25">
      <c r="A2074" t="s">
        <v>2565</v>
      </c>
      <c r="B2074" t="s">
        <v>964</v>
      </c>
      <c r="C2074" t="s">
        <v>299</v>
      </c>
      <c r="D2074" t="str">
        <f>HYPERLINK("http://service.sap.com/sap/support/notes/1553457","1553457")</f>
        <v>1553457</v>
      </c>
      <c r="E2074">
        <v>1</v>
      </c>
      <c r="F2074" t="s">
        <v>2270</v>
      </c>
    </row>
    <row r="2075" spans="1:6" x14ac:dyDescent="0.25">
      <c r="A2075" t="s">
        <v>2565</v>
      </c>
      <c r="B2075" t="s">
        <v>964</v>
      </c>
      <c r="C2075" t="s">
        <v>299</v>
      </c>
      <c r="D2075" t="str">
        <f>HYPERLINK("http://service.sap.com/sap/support/notes/1555773","1555773")</f>
        <v>1555773</v>
      </c>
      <c r="E2075">
        <v>1</v>
      </c>
      <c r="F2075" t="s">
        <v>2271</v>
      </c>
    </row>
    <row r="2076" spans="1:6" x14ac:dyDescent="0.25">
      <c r="A2076" t="s">
        <v>2565</v>
      </c>
      <c r="B2076" t="s">
        <v>964</v>
      </c>
      <c r="C2076" t="s">
        <v>299</v>
      </c>
      <c r="D2076" t="str">
        <f>HYPERLINK("http://service.sap.com/sap/support/notes/1556617","1556617")</f>
        <v>1556617</v>
      </c>
      <c r="E2076">
        <v>1</v>
      </c>
      <c r="F2076" t="s">
        <v>2272</v>
      </c>
    </row>
    <row r="2077" spans="1:6" x14ac:dyDescent="0.25">
      <c r="A2077" t="s">
        <v>2565</v>
      </c>
      <c r="B2077" t="s">
        <v>964</v>
      </c>
      <c r="C2077" t="s">
        <v>299</v>
      </c>
      <c r="D2077" t="str">
        <f>HYPERLINK("http://service.sap.com/sap/support/notes/1558033","1558033")</f>
        <v>1558033</v>
      </c>
      <c r="E2077">
        <v>1</v>
      </c>
      <c r="F2077" t="s">
        <v>2273</v>
      </c>
    </row>
    <row r="2078" spans="1:6" x14ac:dyDescent="0.25">
      <c r="A2078" t="s">
        <v>2565</v>
      </c>
      <c r="B2078" t="s">
        <v>964</v>
      </c>
      <c r="C2078" t="s">
        <v>299</v>
      </c>
      <c r="D2078" t="str">
        <f>HYPERLINK("http://service.sap.com/sap/support/notes/1559337","1559337")</f>
        <v>1559337</v>
      </c>
      <c r="E2078">
        <v>1</v>
      </c>
      <c r="F2078" t="s">
        <v>2274</v>
      </c>
    </row>
    <row r="2079" spans="1:6" x14ac:dyDescent="0.25">
      <c r="A2079" t="s">
        <v>2565</v>
      </c>
      <c r="B2079" t="s">
        <v>2275</v>
      </c>
      <c r="C2079" t="s">
        <v>2276</v>
      </c>
      <c r="D2079" t="str">
        <f>HYPERLINK("http://service.sap.com/sap/support/notes/1554485","1554485")</f>
        <v>1554485</v>
      </c>
      <c r="E2079">
        <v>1</v>
      </c>
      <c r="F2079" t="s">
        <v>2277</v>
      </c>
    </row>
    <row r="2080" spans="1:6" x14ac:dyDescent="0.25">
      <c r="A2080" t="s">
        <v>2565</v>
      </c>
      <c r="B2080" t="s">
        <v>2275</v>
      </c>
      <c r="C2080" t="s">
        <v>2276</v>
      </c>
      <c r="D2080" t="str">
        <f>HYPERLINK("http://service.sap.com/sap/support/notes/1555793","1555793")</f>
        <v>1555793</v>
      </c>
      <c r="E2080">
        <v>1</v>
      </c>
      <c r="F2080" t="s">
        <v>2278</v>
      </c>
    </row>
    <row r="2081" spans="1:6" x14ac:dyDescent="0.25">
      <c r="A2081" t="s">
        <v>2565</v>
      </c>
      <c r="B2081" t="s">
        <v>207</v>
      </c>
      <c r="C2081" t="s">
        <v>208</v>
      </c>
      <c r="D2081" t="str">
        <f>HYPERLINK("http://service.sap.com/sap/support/notes/1520823","1520823")</f>
        <v>1520823</v>
      </c>
      <c r="E2081">
        <v>2</v>
      </c>
      <c r="F2081" t="s">
        <v>2279</v>
      </c>
    </row>
    <row r="2082" spans="1:6" x14ac:dyDescent="0.25">
      <c r="A2082" t="s">
        <v>2565</v>
      </c>
      <c r="B2082" t="s">
        <v>207</v>
      </c>
      <c r="C2082" t="s">
        <v>208</v>
      </c>
      <c r="D2082" t="str">
        <f>HYPERLINK("http://service.sap.com/sap/support/notes/1533573","1533573")</f>
        <v>1533573</v>
      </c>
      <c r="E2082">
        <v>1</v>
      </c>
      <c r="F2082" t="s">
        <v>2280</v>
      </c>
    </row>
    <row r="2083" spans="1:6" x14ac:dyDescent="0.25">
      <c r="A2083" t="s">
        <v>2565</v>
      </c>
      <c r="B2083" t="s">
        <v>207</v>
      </c>
      <c r="C2083" t="s">
        <v>208</v>
      </c>
      <c r="D2083" t="str">
        <f>HYPERLINK("http://service.sap.com/sap/support/notes/1545617","1545617")</f>
        <v>1545617</v>
      </c>
      <c r="E2083">
        <v>2</v>
      </c>
      <c r="F2083" t="s">
        <v>2281</v>
      </c>
    </row>
    <row r="2084" spans="1:6" x14ac:dyDescent="0.25">
      <c r="A2084" t="s">
        <v>2565</v>
      </c>
      <c r="B2084" t="s">
        <v>207</v>
      </c>
      <c r="C2084" t="s">
        <v>208</v>
      </c>
      <c r="D2084" t="str">
        <f>HYPERLINK("http://service.sap.com/sap/support/notes/1548508","1548508")</f>
        <v>1548508</v>
      </c>
      <c r="E2084">
        <v>3</v>
      </c>
      <c r="F2084" t="s">
        <v>2282</v>
      </c>
    </row>
    <row r="2085" spans="1:6" x14ac:dyDescent="0.25">
      <c r="A2085" t="s">
        <v>2565</v>
      </c>
      <c r="B2085" t="s">
        <v>213</v>
      </c>
      <c r="C2085" t="s">
        <v>214</v>
      </c>
      <c r="D2085" t="str">
        <f>HYPERLINK("http://service.sap.com/sap/support/notes/1520598","1520598")</f>
        <v>1520598</v>
      </c>
      <c r="E2085">
        <v>3</v>
      </c>
      <c r="F2085" t="s">
        <v>2283</v>
      </c>
    </row>
    <row r="2086" spans="1:6" x14ac:dyDescent="0.25">
      <c r="A2086" t="s">
        <v>2565</v>
      </c>
      <c r="B2086" t="s">
        <v>213</v>
      </c>
      <c r="C2086" t="s">
        <v>214</v>
      </c>
      <c r="D2086" t="str">
        <f>HYPERLINK("http://service.sap.com/sap/support/notes/1536832","1536832")</f>
        <v>1536832</v>
      </c>
      <c r="E2086">
        <v>4</v>
      </c>
      <c r="F2086" t="s">
        <v>2284</v>
      </c>
    </row>
    <row r="2087" spans="1:6" x14ac:dyDescent="0.25">
      <c r="A2087" t="s">
        <v>2565</v>
      </c>
      <c r="B2087" t="s">
        <v>213</v>
      </c>
      <c r="C2087" t="s">
        <v>214</v>
      </c>
      <c r="D2087" t="str">
        <f>HYPERLINK("http://service.sap.com/sap/support/notes/1537937","1537937")</f>
        <v>1537937</v>
      </c>
      <c r="E2087">
        <v>3</v>
      </c>
      <c r="F2087" t="s">
        <v>2285</v>
      </c>
    </row>
    <row r="2088" spans="1:6" x14ac:dyDescent="0.25">
      <c r="A2088" t="s">
        <v>2565</v>
      </c>
      <c r="B2088" t="s">
        <v>213</v>
      </c>
      <c r="C2088" t="s">
        <v>214</v>
      </c>
      <c r="D2088" t="str">
        <f>HYPERLINK("http://service.sap.com/sap/support/notes/1544070","1544070")</f>
        <v>1544070</v>
      </c>
      <c r="E2088">
        <v>5</v>
      </c>
      <c r="F2088" t="s">
        <v>2286</v>
      </c>
    </row>
    <row r="2089" spans="1:6" x14ac:dyDescent="0.25">
      <c r="A2089" t="s">
        <v>2565</v>
      </c>
      <c r="B2089" t="s">
        <v>213</v>
      </c>
      <c r="C2089" t="s">
        <v>214</v>
      </c>
      <c r="D2089" t="str">
        <f>HYPERLINK("http://service.sap.com/sap/support/notes/1554352","1554352")</f>
        <v>1554352</v>
      </c>
      <c r="E2089">
        <v>2</v>
      </c>
      <c r="F2089" t="s">
        <v>2287</v>
      </c>
    </row>
    <row r="2090" spans="1:6" x14ac:dyDescent="0.25">
      <c r="A2090" t="s">
        <v>2565</v>
      </c>
      <c r="B2090" t="s">
        <v>223</v>
      </c>
      <c r="C2090" t="s">
        <v>49</v>
      </c>
      <c r="D2090" t="str">
        <f>HYPERLINK("http://service.sap.com/sap/support/notes/1459905","1459905")</f>
        <v>1459905</v>
      </c>
      <c r="E2090">
        <v>1</v>
      </c>
      <c r="F2090" t="s">
        <v>1858</v>
      </c>
    </row>
    <row r="2091" spans="1:6" x14ac:dyDescent="0.25">
      <c r="A2091" t="s">
        <v>2565</v>
      </c>
      <c r="B2091" t="s">
        <v>223</v>
      </c>
      <c r="C2091" t="s">
        <v>49</v>
      </c>
      <c r="D2091" t="str">
        <f>HYPERLINK("http://service.sap.com/sap/support/notes/1503354","1503354")</f>
        <v>1503354</v>
      </c>
      <c r="E2091">
        <v>1</v>
      </c>
      <c r="F2091" t="s">
        <v>224</v>
      </c>
    </row>
    <row r="2092" spans="1:6" x14ac:dyDescent="0.25">
      <c r="A2092" t="s">
        <v>2565</v>
      </c>
      <c r="B2092" t="s">
        <v>223</v>
      </c>
      <c r="C2092" t="s">
        <v>49</v>
      </c>
      <c r="D2092" t="str">
        <f>HYPERLINK("http://service.sap.com/sap/support/notes/1539037","1539037")</f>
        <v>1539037</v>
      </c>
      <c r="E2092">
        <v>1</v>
      </c>
      <c r="F2092" t="s">
        <v>2288</v>
      </c>
    </row>
    <row r="2093" spans="1:6" x14ac:dyDescent="0.25">
      <c r="A2093" t="s">
        <v>2565</v>
      </c>
      <c r="B2093" t="s">
        <v>223</v>
      </c>
      <c r="C2093" t="s">
        <v>49</v>
      </c>
      <c r="D2093" t="str">
        <f>HYPERLINK("http://service.sap.com/sap/support/notes/1553117","1553117")</f>
        <v>1553117</v>
      </c>
      <c r="E2093">
        <v>1</v>
      </c>
      <c r="F2093" t="s">
        <v>2289</v>
      </c>
    </row>
    <row r="2094" spans="1:6" x14ac:dyDescent="0.25">
      <c r="A2094" t="s">
        <v>2565</v>
      </c>
      <c r="B2094" t="s">
        <v>226</v>
      </c>
      <c r="C2094" t="s">
        <v>52</v>
      </c>
    </row>
    <row r="2095" spans="1:6" x14ac:dyDescent="0.25">
      <c r="A2095" t="s">
        <v>2565</v>
      </c>
      <c r="B2095" t="s">
        <v>227</v>
      </c>
      <c r="C2095" t="s">
        <v>228</v>
      </c>
      <c r="D2095" t="str">
        <f>HYPERLINK("http://service.sap.com/sap/support/notes/1545509","1545509")</f>
        <v>1545509</v>
      </c>
      <c r="E2095">
        <v>1</v>
      </c>
      <c r="F2095" t="s">
        <v>2290</v>
      </c>
    </row>
    <row r="2096" spans="1:6" x14ac:dyDescent="0.25">
      <c r="A2096" t="s">
        <v>2565</v>
      </c>
      <c r="B2096" t="s">
        <v>227</v>
      </c>
      <c r="C2096" t="s">
        <v>228</v>
      </c>
      <c r="D2096" t="str">
        <f>HYPERLINK("http://service.sap.com/sap/support/notes/1554311","1554311")</f>
        <v>1554311</v>
      </c>
      <c r="E2096">
        <v>1</v>
      </c>
      <c r="F2096" t="s">
        <v>2291</v>
      </c>
    </row>
    <row r="2097" spans="1:6" x14ac:dyDescent="0.25">
      <c r="A2097" t="s">
        <v>2565</v>
      </c>
      <c r="B2097" t="s">
        <v>227</v>
      </c>
      <c r="C2097" t="s">
        <v>228</v>
      </c>
      <c r="D2097" t="str">
        <f>HYPERLINK("http://service.sap.com/sap/support/notes/1554912","1554912")</f>
        <v>1554912</v>
      </c>
      <c r="E2097">
        <v>1</v>
      </c>
      <c r="F2097" t="s">
        <v>2292</v>
      </c>
    </row>
    <row r="2098" spans="1:6" x14ac:dyDescent="0.25">
      <c r="A2098" t="s">
        <v>2565</v>
      </c>
      <c r="B2098" t="s">
        <v>232</v>
      </c>
      <c r="C2098" t="s">
        <v>233</v>
      </c>
      <c r="D2098" t="str">
        <f>HYPERLINK("http://service.sap.com/sap/support/notes/1536530","1536530")</f>
        <v>1536530</v>
      </c>
      <c r="E2098">
        <v>2</v>
      </c>
      <c r="F2098" t="s">
        <v>2293</v>
      </c>
    </row>
    <row r="2099" spans="1:6" x14ac:dyDescent="0.25">
      <c r="A2099" t="s">
        <v>2565</v>
      </c>
      <c r="B2099" t="s">
        <v>232</v>
      </c>
      <c r="C2099" t="s">
        <v>233</v>
      </c>
      <c r="D2099" t="str">
        <f>HYPERLINK("http://service.sap.com/sap/support/notes/1551780","1551780")</f>
        <v>1551780</v>
      </c>
      <c r="E2099">
        <v>1</v>
      </c>
      <c r="F2099" t="s">
        <v>2294</v>
      </c>
    </row>
    <row r="2100" spans="1:6" x14ac:dyDescent="0.25">
      <c r="A2100" t="s">
        <v>2565</v>
      </c>
      <c r="B2100" t="s">
        <v>232</v>
      </c>
      <c r="C2100" t="s">
        <v>233</v>
      </c>
      <c r="D2100" t="str">
        <f>HYPERLINK("http://service.sap.com/sap/support/notes/1554355","1554355")</f>
        <v>1554355</v>
      </c>
      <c r="E2100">
        <v>1</v>
      </c>
      <c r="F2100" t="s">
        <v>2295</v>
      </c>
    </row>
    <row r="2101" spans="1:6" x14ac:dyDescent="0.25">
      <c r="A2101" t="s">
        <v>2565</v>
      </c>
      <c r="B2101" t="s">
        <v>235</v>
      </c>
      <c r="C2101" t="s">
        <v>236</v>
      </c>
    </row>
    <row r="2102" spans="1:6" x14ac:dyDescent="0.25">
      <c r="A2102" t="s">
        <v>2565</v>
      </c>
      <c r="B2102" t="s">
        <v>237</v>
      </c>
      <c r="C2102" t="s">
        <v>238</v>
      </c>
      <c r="D2102" t="str">
        <f>HYPERLINK("http://service.sap.com/sap/support/notes/1547375","1547375")</f>
        <v>1547375</v>
      </c>
      <c r="E2102">
        <v>2</v>
      </c>
      <c r="F2102" t="s">
        <v>2296</v>
      </c>
    </row>
    <row r="2103" spans="1:6" x14ac:dyDescent="0.25">
      <c r="A2103" t="s">
        <v>2565</v>
      </c>
      <c r="B2103" t="s">
        <v>237</v>
      </c>
      <c r="C2103" t="s">
        <v>238</v>
      </c>
      <c r="D2103" t="str">
        <f>HYPERLINK("http://service.sap.com/sap/support/notes/1550756","1550756")</f>
        <v>1550756</v>
      </c>
      <c r="E2103">
        <v>2</v>
      </c>
      <c r="F2103" t="s">
        <v>1532</v>
      </c>
    </row>
    <row r="2104" spans="1:6" x14ac:dyDescent="0.25">
      <c r="A2104" t="s">
        <v>2565</v>
      </c>
      <c r="B2104" t="s">
        <v>237</v>
      </c>
      <c r="C2104" t="s">
        <v>238</v>
      </c>
      <c r="D2104" t="str">
        <f>HYPERLINK("http://service.sap.com/sap/support/notes/1552607","1552607")</f>
        <v>1552607</v>
      </c>
      <c r="E2104">
        <v>4</v>
      </c>
      <c r="F2104" t="s">
        <v>2297</v>
      </c>
    </row>
    <row r="2105" spans="1:6" x14ac:dyDescent="0.25">
      <c r="A2105" t="s">
        <v>2565</v>
      </c>
      <c r="B2105" t="s">
        <v>237</v>
      </c>
      <c r="C2105" t="s">
        <v>238</v>
      </c>
      <c r="D2105" t="str">
        <f>HYPERLINK("http://service.sap.com/sap/support/notes/1553829","1553829")</f>
        <v>1553829</v>
      </c>
      <c r="E2105">
        <v>1</v>
      </c>
      <c r="F2105" t="s">
        <v>2298</v>
      </c>
    </row>
    <row r="2106" spans="1:6" x14ac:dyDescent="0.25">
      <c r="A2106" t="s">
        <v>2565</v>
      </c>
      <c r="B2106" t="s">
        <v>237</v>
      </c>
      <c r="C2106" t="s">
        <v>238</v>
      </c>
      <c r="D2106" t="str">
        <f>HYPERLINK("http://service.sap.com/sap/support/notes/1555965","1555965")</f>
        <v>1555965</v>
      </c>
      <c r="E2106">
        <v>1</v>
      </c>
      <c r="F2106" t="s">
        <v>2299</v>
      </c>
    </row>
    <row r="2107" spans="1:6" x14ac:dyDescent="0.25">
      <c r="A2107" t="s">
        <v>2565</v>
      </c>
      <c r="B2107" t="s">
        <v>242</v>
      </c>
      <c r="C2107" t="s">
        <v>243</v>
      </c>
      <c r="D2107" t="str">
        <f>HYPERLINK("http://service.sap.com/sap/support/notes/1550033","1550033")</f>
        <v>1550033</v>
      </c>
      <c r="E2107">
        <v>2</v>
      </c>
      <c r="F2107" t="s">
        <v>2300</v>
      </c>
    </row>
    <row r="2108" spans="1:6" x14ac:dyDescent="0.25">
      <c r="A2108" t="s">
        <v>2565</v>
      </c>
      <c r="B2108" t="s">
        <v>242</v>
      </c>
      <c r="C2108" t="s">
        <v>243</v>
      </c>
      <c r="D2108" t="str">
        <f>HYPERLINK("http://service.sap.com/sap/support/notes/1553860","1553860")</f>
        <v>1553860</v>
      </c>
      <c r="E2108">
        <v>2</v>
      </c>
      <c r="F2108" t="s">
        <v>2301</v>
      </c>
    </row>
    <row r="2109" spans="1:6" x14ac:dyDescent="0.25">
      <c r="A2109" t="s">
        <v>2565</v>
      </c>
      <c r="B2109" t="s">
        <v>246</v>
      </c>
      <c r="C2109" t="s">
        <v>247</v>
      </c>
      <c r="D2109" t="str">
        <f>HYPERLINK("http://service.sap.com/sap/support/notes/1554346","1554346")</f>
        <v>1554346</v>
      </c>
      <c r="E2109">
        <v>2</v>
      </c>
      <c r="F2109" t="s">
        <v>2302</v>
      </c>
    </row>
    <row r="2110" spans="1:6" x14ac:dyDescent="0.25">
      <c r="A2110" t="s">
        <v>2565</v>
      </c>
      <c r="B2110" t="s">
        <v>1009</v>
      </c>
      <c r="C2110" t="s">
        <v>1010</v>
      </c>
      <c r="D2110" t="str">
        <f>HYPERLINK("http://service.sap.com/sap/support/notes/1551955","1551955")</f>
        <v>1551955</v>
      </c>
      <c r="E2110">
        <v>1</v>
      </c>
      <c r="F2110" t="s">
        <v>2303</v>
      </c>
    </row>
    <row r="2111" spans="1:6" x14ac:dyDescent="0.25">
      <c r="A2111" t="s">
        <v>2565</v>
      </c>
      <c r="B2111" t="s">
        <v>1009</v>
      </c>
      <c r="C2111" t="s">
        <v>1010</v>
      </c>
      <c r="D2111" t="str">
        <f>HYPERLINK("http://service.sap.com/sap/support/notes/1551984","1551984")</f>
        <v>1551984</v>
      </c>
      <c r="E2111">
        <v>1</v>
      </c>
      <c r="F2111" t="s">
        <v>2304</v>
      </c>
    </row>
    <row r="2112" spans="1:6" x14ac:dyDescent="0.25">
      <c r="A2112" t="s">
        <v>2565</v>
      </c>
      <c r="B2112" t="s">
        <v>1009</v>
      </c>
      <c r="C2112" t="s">
        <v>1010</v>
      </c>
      <c r="D2112" t="str">
        <f>HYPERLINK("http://service.sap.com/sap/support/notes/1558741","1558741")</f>
        <v>1558741</v>
      </c>
      <c r="E2112">
        <v>1</v>
      </c>
      <c r="F2112" t="s">
        <v>2305</v>
      </c>
    </row>
    <row r="2113" spans="1:6" x14ac:dyDescent="0.25">
      <c r="A2113" t="s">
        <v>2565</v>
      </c>
      <c r="B2113" t="s">
        <v>250</v>
      </c>
      <c r="C2113" t="s">
        <v>251</v>
      </c>
    </row>
    <row r="2114" spans="1:6" x14ac:dyDescent="0.25">
      <c r="A2114" t="s">
        <v>2565</v>
      </c>
      <c r="B2114" t="s">
        <v>252</v>
      </c>
      <c r="C2114" t="s">
        <v>253</v>
      </c>
      <c r="D2114" t="str">
        <f>HYPERLINK("http://service.sap.com/sap/support/notes/1555855","1555855")</f>
        <v>1555855</v>
      </c>
      <c r="E2114">
        <v>2</v>
      </c>
      <c r="F2114" t="s">
        <v>2306</v>
      </c>
    </row>
    <row r="2115" spans="1:6" x14ac:dyDescent="0.25">
      <c r="A2115" t="s">
        <v>2565</v>
      </c>
      <c r="B2115" t="s">
        <v>255</v>
      </c>
      <c r="C2115" t="s">
        <v>256</v>
      </c>
      <c r="D2115" t="str">
        <f>HYPERLINK("http://service.sap.com/sap/support/notes/1552069","1552069")</f>
        <v>1552069</v>
      </c>
      <c r="E2115">
        <v>1</v>
      </c>
      <c r="F2115" t="s">
        <v>2307</v>
      </c>
    </row>
    <row r="2116" spans="1:6" x14ac:dyDescent="0.25">
      <c r="A2116" t="s">
        <v>2565</v>
      </c>
      <c r="B2116" t="s">
        <v>255</v>
      </c>
      <c r="C2116" t="s">
        <v>256</v>
      </c>
      <c r="D2116" t="str">
        <f>HYPERLINK("http://service.sap.com/sap/support/notes/1552297","1552297")</f>
        <v>1552297</v>
      </c>
      <c r="E2116">
        <v>1</v>
      </c>
      <c r="F2116" t="s">
        <v>2308</v>
      </c>
    </row>
    <row r="2117" spans="1:6" x14ac:dyDescent="0.25">
      <c r="A2117" t="s">
        <v>2565</v>
      </c>
      <c r="B2117" t="s">
        <v>258</v>
      </c>
      <c r="C2117" t="s">
        <v>259</v>
      </c>
      <c r="D2117" t="str">
        <f>HYPERLINK("http://service.sap.com/sap/support/notes/1536678","1536678")</f>
        <v>1536678</v>
      </c>
      <c r="E2117">
        <v>2</v>
      </c>
      <c r="F2117" t="s">
        <v>2309</v>
      </c>
    </row>
    <row r="2118" spans="1:6" x14ac:dyDescent="0.25">
      <c r="A2118" t="s">
        <v>2565</v>
      </c>
      <c r="B2118" t="s">
        <v>258</v>
      </c>
      <c r="C2118" t="s">
        <v>259</v>
      </c>
      <c r="D2118" t="str">
        <f>HYPERLINK("http://service.sap.com/sap/support/notes/1551441","1551441")</f>
        <v>1551441</v>
      </c>
      <c r="E2118">
        <v>1</v>
      </c>
      <c r="F2118" t="s">
        <v>2310</v>
      </c>
    </row>
    <row r="2119" spans="1:6" x14ac:dyDescent="0.25">
      <c r="A2119" t="s">
        <v>2565</v>
      </c>
      <c r="B2119" t="s">
        <v>258</v>
      </c>
      <c r="C2119" t="s">
        <v>259</v>
      </c>
      <c r="D2119" t="str">
        <f>HYPERLINK("http://service.sap.com/sap/support/notes/1552784","1552784")</f>
        <v>1552784</v>
      </c>
      <c r="E2119">
        <v>2</v>
      </c>
      <c r="F2119" t="s">
        <v>2311</v>
      </c>
    </row>
    <row r="2120" spans="1:6" x14ac:dyDescent="0.25">
      <c r="A2120" t="s">
        <v>2565</v>
      </c>
      <c r="B2120" t="s">
        <v>258</v>
      </c>
      <c r="C2120" t="s">
        <v>259</v>
      </c>
      <c r="D2120" t="str">
        <f>HYPERLINK("http://service.sap.com/sap/support/notes/1555511","1555511")</f>
        <v>1555511</v>
      </c>
      <c r="E2120">
        <v>3</v>
      </c>
      <c r="F2120" t="s">
        <v>2312</v>
      </c>
    </row>
    <row r="2121" spans="1:6" x14ac:dyDescent="0.25">
      <c r="A2121" t="s">
        <v>2565</v>
      </c>
      <c r="B2121" t="s">
        <v>258</v>
      </c>
      <c r="C2121" t="s">
        <v>259</v>
      </c>
      <c r="D2121" t="str">
        <f>HYPERLINK("http://service.sap.com/sap/support/notes/1555532","1555532")</f>
        <v>1555532</v>
      </c>
      <c r="E2121">
        <v>2</v>
      </c>
      <c r="F2121" t="s">
        <v>2313</v>
      </c>
    </row>
    <row r="2122" spans="1:6" x14ac:dyDescent="0.25">
      <c r="A2122" t="s">
        <v>2565</v>
      </c>
      <c r="B2122" t="s">
        <v>258</v>
      </c>
      <c r="C2122" t="s">
        <v>259</v>
      </c>
      <c r="D2122" t="str">
        <f>HYPERLINK("http://service.sap.com/sap/support/notes/1555579","1555579")</f>
        <v>1555579</v>
      </c>
      <c r="E2122">
        <v>1</v>
      </c>
      <c r="F2122" t="s">
        <v>2314</v>
      </c>
    </row>
    <row r="2123" spans="1:6" x14ac:dyDescent="0.25">
      <c r="A2123" t="s">
        <v>2565</v>
      </c>
      <c r="B2123" t="s">
        <v>258</v>
      </c>
      <c r="C2123" t="s">
        <v>259</v>
      </c>
      <c r="D2123" t="str">
        <f>HYPERLINK("http://service.sap.com/sap/support/notes/1555909","1555909")</f>
        <v>1555909</v>
      </c>
      <c r="E2123">
        <v>1</v>
      </c>
      <c r="F2123" t="s">
        <v>2315</v>
      </c>
    </row>
    <row r="2124" spans="1:6" x14ac:dyDescent="0.25">
      <c r="A2124" t="s">
        <v>2565</v>
      </c>
      <c r="B2124" t="s">
        <v>258</v>
      </c>
      <c r="C2124" t="s">
        <v>259</v>
      </c>
      <c r="D2124" t="str">
        <f>HYPERLINK("http://service.sap.com/sap/support/notes/1557304","1557304")</f>
        <v>1557304</v>
      </c>
      <c r="E2124">
        <v>1</v>
      </c>
      <c r="F2124" t="s">
        <v>2316</v>
      </c>
    </row>
    <row r="2125" spans="1:6" x14ac:dyDescent="0.25">
      <c r="A2125" t="s">
        <v>2565</v>
      </c>
      <c r="B2125" t="s">
        <v>258</v>
      </c>
      <c r="C2125" t="s">
        <v>259</v>
      </c>
      <c r="D2125" t="str">
        <f>HYPERLINK("http://service.sap.com/sap/support/notes/1558506","1558506")</f>
        <v>1558506</v>
      </c>
      <c r="E2125">
        <v>2</v>
      </c>
      <c r="F2125" t="s">
        <v>2317</v>
      </c>
    </row>
    <row r="2126" spans="1:6" x14ac:dyDescent="0.25">
      <c r="A2126" t="s">
        <v>2565</v>
      </c>
      <c r="B2126" t="s">
        <v>258</v>
      </c>
      <c r="C2126" t="s">
        <v>259</v>
      </c>
      <c r="D2126" t="str">
        <f>HYPERLINK("http://service.sap.com/sap/support/notes/1559460","1559460")</f>
        <v>1559460</v>
      </c>
      <c r="E2126">
        <v>1</v>
      </c>
      <c r="F2126" t="s">
        <v>2318</v>
      </c>
    </row>
    <row r="2127" spans="1:6" x14ac:dyDescent="0.25">
      <c r="A2127" t="s">
        <v>2565</v>
      </c>
      <c r="B2127" t="s">
        <v>258</v>
      </c>
      <c r="C2127" t="s">
        <v>259</v>
      </c>
      <c r="D2127" t="str">
        <f>HYPERLINK("http://service.sap.com/sap/support/notes/1560286","1560286")</f>
        <v>1560286</v>
      </c>
      <c r="E2127">
        <v>2</v>
      </c>
      <c r="F2127" t="s">
        <v>2319</v>
      </c>
    </row>
    <row r="2128" spans="1:6" x14ac:dyDescent="0.25">
      <c r="A2128" t="s">
        <v>2565</v>
      </c>
      <c r="B2128" t="s">
        <v>264</v>
      </c>
      <c r="C2128" t="s">
        <v>265</v>
      </c>
      <c r="D2128" t="str">
        <f>HYPERLINK("http://service.sap.com/sap/support/notes/1552525","1552525")</f>
        <v>1552525</v>
      </c>
      <c r="E2128">
        <v>1</v>
      </c>
      <c r="F2128" t="s">
        <v>2320</v>
      </c>
    </row>
    <row r="2129" spans="1:6" x14ac:dyDescent="0.25">
      <c r="A2129" t="s">
        <v>2565</v>
      </c>
      <c r="B2129" t="s">
        <v>264</v>
      </c>
      <c r="C2129" t="s">
        <v>265</v>
      </c>
      <c r="D2129" t="str">
        <f>HYPERLINK("http://service.sap.com/sap/support/notes/1552843","1552843")</f>
        <v>1552843</v>
      </c>
      <c r="E2129">
        <v>1</v>
      </c>
      <c r="F2129" t="s">
        <v>2321</v>
      </c>
    </row>
    <row r="2130" spans="1:6" x14ac:dyDescent="0.25">
      <c r="A2130" t="s">
        <v>2565</v>
      </c>
      <c r="B2130" t="s">
        <v>264</v>
      </c>
      <c r="C2130" t="s">
        <v>265</v>
      </c>
      <c r="D2130" t="str">
        <f>HYPERLINK("http://service.sap.com/sap/support/notes/1552904","1552904")</f>
        <v>1552904</v>
      </c>
      <c r="E2130">
        <v>1</v>
      </c>
      <c r="F2130" t="s">
        <v>2322</v>
      </c>
    </row>
    <row r="2131" spans="1:6" x14ac:dyDescent="0.25">
      <c r="A2131" t="s">
        <v>2565</v>
      </c>
      <c r="B2131" t="s">
        <v>264</v>
      </c>
      <c r="C2131" t="s">
        <v>265</v>
      </c>
      <c r="D2131" t="str">
        <f>HYPERLINK("http://service.sap.com/sap/support/notes/1553110","1553110")</f>
        <v>1553110</v>
      </c>
      <c r="E2131">
        <v>2</v>
      </c>
      <c r="F2131" t="s">
        <v>2323</v>
      </c>
    </row>
    <row r="2132" spans="1:6" x14ac:dyDescent="0.25">
      <c r="A2132" t="s">
        <v>2565</v>
      </c>
      <c r="B2132" t="s">
        <v>264</v>
      </c>
      <c r="C2132" t="s">
        <v>265</v>
      </c>
      <c r="D2132" t="str">
        <f>HYPERLINK("http://service.sap.com/sap/support/notes/1554974","1554974")</f>
        <v>1554974</v>
      </c>
      <c r="E2132">
        <v>1</v>
      </c>
      <c r="F2132" t="s">
        <v>2324</v>
      </c>
    </row>
    <row r="2133" spans="1:6" x14ac:dyDescent="0.25">
      <c r="A2133" t="s">
        <v>2565</v>
      </c>
      <c r="B2133" t="s">
        <v>264</v>
      </c>
      <c r="C2133" t="s">
        <v>265</v>
      </c>
      <c r="D2133" t="str">
        <f>HYPERLINK("http://service.sap.com/sap/support/notes/1557000","1557000")</f>
        <v>1557000</v>
      </c>
      <c r="E2133">
        <v>1</v>
      </c>
      <c r="F2133" t="s">
        <v>2325</v>
      </c>
    </row>
    <row r="2134" spans="1:6" x14ac:dyDescent="0.25">
      <c r="A2134" t="s">
        <v>2565</v>
      </c>
      <c r="B2134" t="s">
        <v>264</v>
      </c>
      <c r="C2134" t="s">
        <v>265</v>
      </c>
      <c r="D2134" t="str">
        <f>HYPERLINK("http://service.sap.com/sap/support/notes/1558079","1558079")</f>
        <v>1558079</v>
      </c>
      <c r="E2134">
        <v>4</v>
      </c>
      <c r="F2134" t="s">
        <v>2326</v>
      </c>
    </row>
    <row r="2135" spans="1:6" x14ac:dyDescent="0.25">
      <c r="A2135" t="s">
        <v>2565</v>
      </c>
      <c r="B2135" t="s">
        <v>264</v>
      </c>
      <c r="C2135" t="s">
        <v>265</v>
      </c>
      <c r="D2135" t="str">
        <f>HYPERLINK("http://service.sap.com/sap/support/notes/1559488","1559488")</f>
        <v>1559488</v>
      </c>
      <c r="E2135">
        <v>5</v>
      </c>
      <c r="F2135" t="s">
        <v>2327</v>
      </c>
    </row>
    <row r="2136" spans="1:6" x14ac:dyDescent="0.25">
      <c r="A2136" t="s">
        <v>2565</v>
      </c>
      <c r="B2136" t="s">
        <v>273</v>
      </c>
      <c r="C2136" t="s">
        <v>153</v>
      </c>
      <c r="D2136" t="str">
        <f>HYPERLINK("http://service.sap.com/sap/support/notes/1543996","1543996")</f>
        <v>1543996</v>
      </c>
      <c r="E2136">
        <v>3</v>
      </c>
      <c r="F2136" t="s">
        <v>2328</v>
      </c>
    </row>
    <row r="2137" spans="1:6" x14ac:dyDescent="0.25">
      <c r="A2137" t="s">
        <v>2565</v>
      </c>
      <c r="B2137" t="s">
        <v>273</v>
      </c>
      <c r="C2137" t="s">
        <v>153</v>
      </c>
      <c r="D2137" t="str">
        <f>HYPERLINK("http://service.sap.com/sap/support/notes/1551833","1551833")</f>
        <v>1551833</v>
      </c>
      <c r="E2137">
        <v>4</v>
      </c>
      <c r="F2137" t="s">
        <v>2329</v>
      </c>
    </row>
    <row r="2138" spans="1:6" x14ac:dyDescent="0.25">
      <c r="A2138" t="s">
        <v>2565</v>
      </c>
      <c r="B2138" t="s">
        <v>273</v>
      </c>
      <c r="C2138" t="s">
        <v>153</v>
      </c>
      <c r="D2138" t="str">
        <f>HYPERLINK("http://service.sap.com/sap/support/notes/1553579","1553579")</f>
        <v>1553579</v>
      </c>
      <c r="E2138">
        <v>2</v>
      </c>
      <c r="F2138" t="s">
        <v>2330</v>
      </c>
    </row>
    <row r="2139" spans="1:6" x14ac:dyDescent="0.25">
      <c r="A2139" t="s">
        <v>2565</v>
      </c>
      <c r="B2139" t="s">
        <v>273</v>
      </c>
      <c r="C2139" t="s">
        <v>153</v>
      </c>
      <c r="D2139" t="str">
        <f>HYPERLINK("http://service.sap.com/sap/support/notes/1558338","1558338")</f>
        <v>1558338</v>
      </c>
      <c r="E2139">
        <v>1</v>
      </c>
      <c r="F2139" t="s">
        <v>2331</v>
      </c>
    </row>
    <row r="2140" spans="1:6" x14ac:dyDescent="0.25">
      <c r="A2140" t="s">
        <v>2565</v>
      </c>
      <c r="B2140" t="s">
        <v>273</v>
      </c>
      <c r="C2140" t="s">
        <v>153</v>
      </c>
      <c r="D2140" t="str">
        <f>HYPERLINK("http://service.sap.com/sap/support/notes/1559702","1559702")</f>
        <v>1559702</v>
      </c>
      <c r="E2140">
        <v>2</v>
      </c>
      <c r="F2140" t="s">
        <v>2332</v>
      </c>
    </row>
    <row r="2141" spans="1:6" x14ac:dyDescent="0.25">
      <c r="A2141" t="s">
        <v>2565</v>
      </c>
      <c r="B2141" t="s">
        <v>273</v>
      </c>
      <c r="C2141" t="s">
        <v>153</v>
      </c>
      <c r="D2141" t="str">
        <f>HYPERLINK("http://service.sap.com/sap/support/notes/1560006","1560006")</f>
        <v>1560006</v>
      </c>
      <c r="E2141">
        <v>2</v>
      </c>
      <c r="F2141" t="s">
        <v>2333</v>
      </c>
    </row>
    <row r="2142" spans="1:6" x14ac:dyDescent="0.25">
      <c r="A2142" t="s">
        <v>2565</v>
      </c>
      <c r="B2142" t="s">
        <v>284</v>
      </c>
      <c r="C2142" t="s">
        <v>285</v>
      </c>
      <c r="D2142" t="str">
        <f>HYPERLINK("http://service.sap.com/sap/support/notes/1545538","1545538")</f>
        <v>1545538</v>
      </c>
      <c r="E2142">
        <v>1</v>
      </c>
      <c r="F2142" t="s">
        <v>2334</v>
      </c>
    </row>
    <row r="2143" spans="1:6" x14ac:dyDescent="0.25">
      <c r="A2143" t="s">
        <v>2565</v>
      </c>
      <c r="B2143" t="s">
        <v>284</v>
      </c>
      <c r="C2143" t="s">
        <v>285</v>
      </c>
      <c r="D2143" t="str">
        <f>HYPERLINK("http://service.sap.com/sap/support/notes/1549602","1549602")</f>
        <v>1549602</v>
      </c>
      <c r="E2143">
        <v>1</v>
      </c>
      <c r="F2143" t="s">
        <v>2335</v>
      </c>
    </row>
    <row r="2144" spans="1:6" x14ac:dyDescent="0.25">
      <c r="A2144" t="s">
        <v>2565</v>
      </c>
      <c r="B2144" t="s">
        <v>284</v>
      </c>
      <c r="C2144" t="s">
        <v>285</v>
      </c>
      <c r="D2144" t="str">
        <f>HYPERLINK("http://service.sap.com/sap/support/notes/1550405","1550405")</f>
        <v>1550405</v>
      </c>
      <c r="E2144">
        <v>1</v>
      </c>
      <c r="F2144" t="s">
        <v>2336</v>
      </c>
    </row>
    <row r="2145" spans="1:6" x14ac:dyDescent="0.25">
      <c r="A2145" t="s">
        <v>2565</v>
      </c>
      <c r="B2145" t="s">
        <v>284</v>
      </c>
      <c r="C2145" t="s">
        <v>285</v>
      </c>
      <c r="D2145" t="str">
        <f>HYPERLINK("http://service.sap.com/sap/support/notes/1552210","1552210")</f>
        <v>1552210</v>
      </c>
      <c r="E2145">
        <v>1</v>
      </c>
      <c r="F2145" t="s">
        <v>2337</v>
      </c>
    </row>
    <row r="2146" spans="1:6" x14ac:dyDescent="0.25">
      <c r="A2146" t="s">
        <v>2565</v>
      </c>
      <c r="B2146" t="s">
        <v>284</v>
      </c>
      <c r="C2146" t="s">
        <v>285</v>
      </c>
      <c r="D2146" t="str">
        <f>HYPERLINK("http://service.sap.com/sap/support/notes/1552965","1552965")</f>
        <v>1552965</v>
      </c>
      <c r="E2146">
        <v>6</v>
      </c>
      <c r="F2146" t="s">
        <v>2338</v>
      </c>
    </row>
    <row r="2147" spans="1:6" x14ac:dyDescent="0.25">
      <c r="A2147" t="s">
        <v>2565</v>
      </c>
      <c r="B2147" t="s">
        <v>284</v>
      </c>
      <c r="C2147" t="s">
        <v>285</v>
      </c>
      <c r="D2147" t="str">
        <f>HYPERLINK("http://service.sap.com/sap/support/notes/1554209","1554209")</f>
        <v>1554209</v>
      </c>
      <c r="E2147">
        <v>1</v>
      </c>
      <c r="F2147" t="s">
        <v>2339</v>
      </c>
    </row>
    <row r="2148" spans="1:6" x14ac:dyDescent="0.25">
      <c r="A2148" t="s">
        <v>2565</v>
      </c>
      <c r="B2148" t="s">
        <v>284</v>
      </c>
      <c r="C2148" t="s">
        <v>285</v>
      </c>
      <c r="D2148" t="str">
        <f>HYPERLINK("http://service.sap.com/sap/support/notes/1554269","1554269")</f>
        <v>1554269</v>
      </c>
      <c r="E2148">
        <v>1</v>
      </c>
      <c r="F2148" t="s">
        <v>1925</v>
      </c>
    </row>
    <row r="2149" spans="1:6" x14ac:dyDescent="0.25">
      <c r="A2149" t="s">
        <v>2565</v>
      </c>
      <c r="B2149" t="s">
        <v>284</v>
      </c>
      <c r="C2149" t="s">
        <v>285</v>
      </c>
      <c r="D2149" t="str">
        <f>HYPERLINK("http://service.sap.com/sap/support/notes/1554805","1554805")</f>
        <v>1554805</v>
      </c>
      <c r="E2149">
        <v>1</v>
      </c>
      <c r="F2149" t="s">
        <v>2340</v>
      </c>
    </row>
    <row r="2150" spans="1:6" x14ac:dyDescent="0.25">
      <c r="A2150" t="s">
        <v>2565</v>
      </c>
      <c r="B2150" t="s">
        <v>284</v>
      </c>
      <c r="C2150" t="s">
        <v>285</v>
      </c>
      <c r="D2150" t="str">
        <f>HYPERLINK("http://service.sap.com/sap/support/notes/1555912","1555912")</f>
        <v>1555912</v>
      </c>
      <c r="E2150">
        <v>1</v>
      </c>
      <c r="F2150" t="s">
        <v>2341</v>
      </c>
    </row>
    <row r="2151" spans="1:6" x14ac:dyDescent="0.25">
      <c r="A2151" t="s">
        <v>2565</v>
      </c>
      <c r="B2151" t="s">
        <v>284</v>
      </c>
      <c r="C2151" t="s">
        <v>285</v>
      </c>
      <c r="D2151" t="str">
        <f>HYPERLINK("http://service.sap.com/sap/support/notes/1556007","1556007")</f>
        <v>1556007</v>
      </c>
      <c r="E2151">
        <v>1</v>
      </c>
      <c r="F2151" t="s">
        <v>2342</v>
      </c>
    </row>
    <row r="2152" spans="1:6" x14ac:dyDescent="0.25">
      <c r="A2152" t="s">
        <v>2565</v>
      </c>
      <c r="B2152" t="s">
        <v>284</v>
      </c>
      <c r="C2152" t="s">
        <v>285</v>
      </c>
      <c r="D2152" t="str">
        <f>HYPERLINK("http://service.sap.com/sap/support/notes/1556381","1556381")</f>
        <v>1556381</v>
      </c>
      <c r="E2152">
        <v>1</v>
      </c>
      <c r="F2152" t="s">
        <v>2343</v>
      </c>
    </row>
    <row r="2153" spans="1:6" x14ac:dyDescent="0.25">
      <c r="A2153" t="s">
        <v>2565</v>
      </c>
      <c r="B2153" t="s">
        <v>284</v>
      </c>
      <c r="C2153" t="s">
        <v>285</v>
      </c>
      <c r="D2153" t="str">
        <f>HYPERLINK("http://service.sap.com/sap/support/notes/1557087","1557087")</f>
        <v>1557087</v>
      </c>
      <c r="E2153">
        <v>1</v>
      </c>
      <c r="F2153" t="s">
        <v>2344</v>
      </c>
    </row>
    <row r="2154" spans="1:6" x14ac:dyDescent="0.25">
      <c r="A2154" t="s">
        <v>2565</v>
      </c>
      <c r="B2154" t="s">
        <v>284</v>
      </c>
      <c r="C2154" t="s">
        <v>285</v>
      </c>
      <c r="D2154" t="str">
        <f>HYPERLINK("http://service.sap.com/sap/support/notes/1557413","1557413")</f>
        <v>1557413</v>
      </c>
      <c r="E2154">
        <v>1</v>
      </c>
      <c r="F2154" t="s">
        <v>2345</v>
      </c>
    </row>
    <row r="2155" spans="1:6" x14ac:dyDescent="0.25">
      <c r="A2155" t="s">
        <v>2565</v>
      </c>
      <c r="B2155" t="s">
        <v>284</v>
      </c>
      <c r="C2155" t="s">
        <v>285</v>
      </c>
      <c r="D2155" t="str">
        <f>HYPERLINK("http://service.sap.com/sap/support/notes/1557718","1557718")</f>
        <v>1557718</v>
      </c>
      <c r="E2155">
        <v>1</v>
      </c>
      <c r="F2155" t="s">
        <v>2346</v>
      </c>
    </row>
    <row r="2156" spans="1:6" x14ac:dyDescent="0.25">
      <c r="A2156" t="s">
        <v>2565</v>
      </c>
      <c r="B2156" t="s">
        <v>293</v>
      </c>
      <c r="C2156" t="s">
        <v>294</v>
      </c>
      <c r="D2156" t="str">
        <f>HYPERLINK("http://service.sap.com/sap/support/notes/1551798","1551798")</f>
        <v>1551798</v>
      </c>
      <c r="E2156">
        <v>3</v>
      </c>
      <c r="F2156" t="s">
        <v>2347</v>
      </c>
    </row>
    <row r="2157" spans="1:6" x14ac:dyDescent="0.25">
      <c r="A2157" t="s">
        <v>2565</v>
      </c>
      <c r="B2157" t="s">
        <v>293</v>
      </c>
      <c r="C2157" t="s">
        <v>294</v>
      </c>
      <c r="D2157" t="str">
        <f>HYPERLINK("http://service.sap.com/sap/support/notes/1552546","1552546")</f>
        <v>1552546</v>
      </c>
      <c r="E2157">
        <v>4</v>
      </c>
      <c r="F2157" t="s">
        <v>2348</v>
      </c>
    </row>
    <row r="2158" spans="1:6" x14ac:dyDescent="0.25">
      <c r="A2158" t="s">
        <v>2565</v>
      </c>
      <c r="B2158" t="s">
        <v>293</v>
      </c>
      <c r="C2158" t="s">
        <v>294</v>
      </c>
      <c r="D2158" t="str">
        <f>HYPERLINK("http://service.sap.com/sap/support/notes/1558702","1558702")</f>
        <v>1558702</v>
      </c>
      <c r="E2158">
        <v>2</v>
      </c>
      <c r="F2158" t="s">
        <v>2349</v>
      </c>
    </row>
    <row r="2159" spans="1:6" x14ac:dyDescent="0.25">
      <c r="A2159" t="s">
        <v>2565</v>
      </c>
      <c r="B2159" t="s">
        <v>293</v>
      </c>
      <c r="C2159" t="s">
        <v>294</v>
      </c>
      <c r="D2159" t="str">
        <f>HYPERLINK("http://service.sap.com/sap/support/notes/1559013","1559013")</f>
        <v>1559013</v>
      </c>
      <c r="E2159">
        <v>4</v>
      </c>
      <c r="F2159" t="s">
        <v>2350</v>
      </c>
    </row>
    <row r="2160" spans="1:6" x14ac:dyDescent="0.25">
      <c r="A2160" t="s">
        <v>2565</v>
      </c>
      <c r="B2160" t="s">
        <v>298</v>
      </c>
      <c r="C2160" t="s">
        <v>299</v>
      </c>
    </row>
    <row r="2161" spans="1:6" x14ac:dyDescent="0.25">
      <c r="A2161" t="s">
        <v>2565</v>
      </c>
      <c r="B2161" t="s">
        <v>1063</v>
      </c>
      <c r="C2161" t="s">
        <v>1565</v>
      </c>
      <c r="D2161" t="str">
        <f>HYPERLINK("http://service.sap.com/sap/support/notes/1522437","1522437")</f>
        <v>1522437</v>
      </c>
      <c r="E2161">
        <v>9</v>
      </c>
      <c r="F2161" t="s">
        <v>2351</v>
      </c>
    </row>
    <row r="2162" spans="1:6" x14ac:dyDescent="0.25">
      <c r="A2162" t="s">
        <v>2565</v>
      </c>
      <c r="B2162" t="s">
        <v>1063</v>
      </c>
      <c r="C2162" t="s">
        <v>1565</v>
      </c>
      <c r="D2162" t="str">
        <f>HYPERLINK("http://service.sap.com/sap/support/notes/1552117","1552117")</f>
        <v>1552117</v>
      </c>
      <c r="E2162">
        <v>1</v>
      </c>
      <c r="F2162" t="s">
        <v>2352</v>
      </c>
    </row>
    <row r="2163" spans="1:6" x14ac:dyDescent="0.25">
      <c r="A2163" t="s">
        <v>2565</v>
      </c>
      <c r="B2163" t="s">
        <v>1063</v>
      </c>
      <c r="C2163" t="s">
        <v>1565</v>
      </c>
      <c r="D2163" t="str">
        <f>HYPERLINK("http://service.sap.com/sap/support/notes/1554122","1554122")</f>
        <v>1554122</v>
      </c>
      <c r="E2163">
        <v>2</v>
      </c>
      <c r="F2163" t="s">
        <v>2353</v>
      </c>
    </row>
    <row r="2164" spans="1:6" x14ac:dyDescent="0.25">
      <c r="A2164" t="s">
        <v>2565</v>
      </c>
      <c r="B2164" t="s">
        <v>1063</v>
      </c>
      <c r="C2164" t="s">
        <v>1565</v>
      </c>
      <c r="D2164" t="str">
        <f>HYPERLINK("http://service.sap.com/sap/support/notes/1555943","1555943")</f>
        <v>1555943</v>
      </c>
      <c r="E2164">
        <v>2</v>
      </c>
      <c r="F2164" t="s">
        <v>2354</v>
      </c>
    </row>
    <row r="2165" spans="1:6" x14ac:dyDescent="0.25">
      <c r="A2165" t="s">
        <v>2565</v>
      </c>
      <c r="B2165" t="s">
        <v>1063</v>
      </c>
      <c r="C2165" t="s">
        <v>1565</v>
      </c>
      <c r="D2165" t="str">
        <f>HYPERLINK("http://service.sap.com/sap/support/notes/1558698","1558698")</f>
        <v>1558698</v>
      </c>
      <c r="E2165">
        <v>1</v>
      </c>
      <c r="F2165" t="s">
        <v>2355</v>
      </c>
    </row>
    <row r="2166" spans="1:6" x14ac:dyDescent="0.25">
      <c r="A2166" t="s">
        <v>2565</v>
      </c>
      <c r="B2166" t="s">
        <v>300</v>
      </c>
      <c r="C2166" t="s">
        <v>301</v>
      </c>
      <c r="D2166" t="str">
        <f>HYPERLINK("http://service.sap.com/sap/support/notes/1554646","1554646")</f>
        <v>1554646</v>
      </c>
      <c r="E2166">
        <v>2</v>
      </c>
      <c r="F2166" t="s">
        <v>2356</v>
      </c>
    </row>
    <row r="2167" spans="1:6" x14ac:dyDescent="0.25">
      <c r="A2167" t="s">
        <v>2565</v>
      </c>
      <c r="B2167" t="s">
        <v>304</v>
      </c>
      <c r="C2167" t="s">
        <v>305</v>
      </c>
      <c r="D2167" t="str">
        <f>HYPERLINK("http://service.sap.com/sap/support/notes/1017716","1017716")</f>
        <v>1017716</v>
      </c>
      <c r="E2167">
        <v>1</v>
      </c>
      <c r="F2167" t="s">
        <v>1074</v>
      </c>
    </row>
    <row r="2168" spans="1:6" x14ac:dyDescent="0.25">
      <c r="A2168" t="s">
        <v>2565</v>
      </c>
      <c r="B2168" t="s">
        <v>304</v>
      </c>
      <c r="C2168" t="s">
        <v>305</v>
      </c>
      <c r="D2168" t="str">
        <f>HYPERLINK("http://service.sap.com/sap/support/notes/1481863","1481863")</f>
        <v>1481863</v>
      </c>
      <c r="E2168">
        <v>3</v>
      </c>
      <c r="F2168" t="s">
        <v>2357</v>
      </c>
    </row>
    <row r="2169" spans="1:6" x14ac:dyDescent="0.25">
      <c r="A2169" t="s">
        <v>2565</v>
      </c>
      <c r="B2169" t="s">
        <v>304</v>
      </c>
      <c r="C2169" t="s">
        <v>305</v>
      </c>
      <c r="D2169" t="str">
        <f>HYPERLINK("http://service.sap.com/sap/support/notes/1526160","1526160")</f>
        <v>1526160</v>
      </c>
      <c r="E2169">
        <v>3</v>
      </c>
      <c r="F2169" t="s">
        <v>2358</v>
      </c>
    </row>
    <row r="2170" spans="1:6" x14ac:dyDescent="0.25">
      <c r="A2170" t="s">
        <v>2565</v>
      </c>
      <c r="B2170" t="s">
        <v>304</v>
      </c>
      <c r="C2170" t="s">
        <v>305</v>
      </c>
      <c r="D2170" t="str">
        <f>HYPERLINK("http://service.sap.com/sap/support/notes/1526205","1526205")</f>
        <v>1526205</v>
      </c>
      <c r="E2170">
        <v>1</v>
      </c>
      <c r="F2170" t="s">
        <v>2359</v>
      </c>
    </row>
    <row r="2171" spans="1:6" x14ac:dyDescent="0.25">
      <c r="A2171" t="s">
        <v>2565</v>
      </c>
      <c r="B2171" t="s">
        <v>304</v>
      </c>
      <c r="C2171" t="s">
        <v>305</v>
      </c>
      <c r="D2171" t="str">
        <f>HYPERLINK("http://service.sap.com/sap/support/notes/1538760","1538760")</f>
        <v>1538760</v>
      </c>
      <c r="E2171">
        <v>1</v>
      </c>
      <c r="F2171" t="s">
        <v>2360</v>
      </c>
    </row>
    <row r="2172" spans="1:6" x14ac:dyDescent="0.25">
      <c r="A2172" t="s">
        <v>2565</v>
      </c>
      <c r="B2172" t="s">
        <v>304</v>
      </c>
      <c r="C2172" t="s">
        <v>305</v>
      </c>
      <c r="D2172" t="str">
        <f>HYPERLINK("http://service.sap.com/sap/support/notes/1540596","1540596")</f>
        <v>1540596</v>
      </c>
      <c r="E2172">
        <v>2</v>
      </c>
      <c r="F2172" t="s">
        <v>2361</v>
      </c>
    </row>
    <row r="2173" spans="1:6" x14ac:dyDescent="0.25">
      <c r="A2173" t="s">
        <v>2565</v>
      </c>
      <c r="B2173" t="s">
        <v>304</v>
      </c>
      <c r="C2173" t="s">
        <v>305</v>
      </c>
      <c r="D2173" t="str">
        <f>HYPERLINK("http://service.sap.com/sap/support/notes/1548466","1548466")</f>
        <v>1548466</v>
      </c>
      <c r="E2173">
        <v>2</v>
      </c>
      <c r="F2173" t="s">
        <v>2362</v>
      </c>
    </row>
    <row r="2174" spans="1:6" x14ac:dyDescent="0.25">
      <c r="A2174" t="s">
        <v>2565</v>
      </c>
      <c r="B2174" t="s">
        <v>304</v>
      </c>
      <c r="C2174" t="s">
        <v>305</v>
      </c>
      <c r="D2174" t="str">
        <f>HYPERLINK("http://service.sap.com/sap/support/notes/1550780","1550780")</f>
        <v>1550780</v>
      </c>
      <c r="E2174">
        <v>2</v>
      </c>
      <c r="F2174" t="s">
        <v>2363</v>
      </c>
    </row>
    <row r="2175" spans="1:6" x14ac:dyDescent="0.25">
      <c r="A2175" t="s">
        <v>2565</v>
      </c>
      <c r="B2175" t="s">
        <v>304</v>
      </c>
      <c r="C2175" t="s">
        <v>305</v>
      </c>
      <c r="D2175" t="str">
        <f>HYPERLINK("http://service.sap.com/sap/support/notes/1551028","1551028")</f>
        <v>1551028</v>
      </c>
      <c r="E2175">
        <v>6</v>
      </c>
      <c r="F2175" t="s">
        <v>2364</v>
      </c>
    </row>
    <row r="2176" spans="1:6" x14ac:dyDescent="0.25">
      <c r="A2176" t="s">
        <v>2565</v>
      </c>
      <c r="B2176" t="s">
        <v>304</v>
      </c>
      <c r="C2176" t="s">
        <v>305</v>
      </c>
      <c r="D2176" t="str">
        <f>HYPERLINK("http://service.sap.com/sap/support/notes/1551703","1551703")</f>
        <v>1551703</v>
      </c>
      <c r="E2176">
        <v>4</v>
      </c>
      <c r="F2176" t="s">
        <v>2365</v>
      </c>
    </row>
    <row r="2177" spans="1:6" x14ac:dyDescent="0.25">
      <c r="A2177" t="s">
        <v>2565</v>
      </c>
      <c r="B2177" t="s">
        <v>304</v>
      </c>
      <c r="C2177" t="s">
        <v>305</v>
      </c>
      <c r="D2177" t="str">
        <f>HYPERLINK("http://service.sap.com/sap/support/notes/1552081","1552081")</f>
        <v>1552081</v>
      </c>
      <c r="E2177">
        <v>1</v>
      </c>
      <c r="F2177" t="s">
        <v>2366</v>
      </c>
    </row>
    <row r="2178" spans="1:6" x14ac:dyDescent="0.25">
      <c r="A2178" t="s">
        <v>2565</v>
      </c>
      <c r="B2178" t="s">
        <v>304</v>
      </c>
      <c r="C2178" t="s">
        <v>305</v>
      </c>
      <c r="D2178" t="str">
        <f>HYPERLINK("http://service.sap.com/sap/support/notes/1552088","1552088")</f>
        <v>1552088</v>
      </c>
      <c r="E2178">
        <v>2</v>
      </c>
      <c r="F2178" t="s">
        <v>2367</v>
      </c>
    </row>
    <row r="2179" spans="1:6" x14ac:dyDescent="0.25">
      <c r="A2179" t="s">
        <v>2565</v>
      </c>
      <c r="B2179" t="s">
        <v>304</v>
      </c>
      <c r="C2179" t="s">
        <v>305</v>
      </c>
      <c r="D2179" t="str">
        <f>HYPERLINK("http://service.sap.com/sap/support/notes/1552155","1552155")</f>
        <v>1552155</v>
      </c>
      <c r="E2179">
        <v>8</v>
      </c>
      <c r="F2179" t="s">
        <v>2368</v>
      </c>
    </row>
    <row r="2180" spans="1:6" x14ac:dyDescent="0.25">
      <c r="A2180" t="s">
        <v>2565</v>
      </c>
      <c r="B2180" t="s">
        <v>304</v>
      </c>
      <c r="C2180" t="s">
        <v>305</v>
      </c>
      <c r="D2180" t="str">
        <f>HYPERLINK("http://service.sap.com/sap/support/notes/1552157","1552157")</f>
        <v>1552157</v>
      </c>
      <c r="E2180">
        <v>2</v>
      </c>
      <c r="F2180" t="s">
        <v>2369</v>
      </c>
    </row>
    <row r="2181" spans="1:6" x14ac:dyDescent="0.25">
      <c r="A2181" t="s">
        <v>2565</v>
      </c>
      <c r="B2181" t="s">
        <v>304</v>
      </c>
      <c r="C2181" t="s">
        <v>305</v>
      </c>
      <c r="D2181" t="str">
        <f>HYPERLINK("http://service.sap.com/sap/support/notes/1552521","1552521")</f>
        <v>1552521</v>
      </c>
      <c r="E2181">
        <v>2</v>
      </c>
      <c r="F2181" t="s">
        <v>2370</v>
      </c>
    </row>
    <row r="2182" spans="1:6" x14ac:dyDescent="0.25">
      <c r="A2182" t="s">
        <v>2565</v>
      </c>
      <c r="B2182" t="s">
        <v>304</v>
      </c>
      <c r="C2182" t="s">
        <v>305</v>
      </c>
      <c r="D2182" t="str">
        <f>HYPERLINK("http://service.sap.com/sap/support/notes/1552522","1552522")</f>
        <v>1552522</v>
      </c>
      <c r="E2182">
        <v>6</v>
      </c>
      <c r="F2182" t="s">
        <v>2371</v>
      </c>
    </row>
    <row r="2183" spans="1:6" x14ac:dyDescent="0.25">
      <c r="A2183" t="s">
        <v>2565</v>
      </c>
      <c r="B2183" t="s">
        <v>304</v>
      </c>
      <c r="C2183" t="s">
        <v>305</v>
      </c>
      <c r="D2183" t="str">
        <f>HYPERLINK("http://service.sap.com/sap/support/notes/1552937","1552937")</f>
        <v>1552937</v>
      </c>
      <c r="E2183">
        <v>4</v>
      </c>
      <c r="F2183" t="s">
        <v>2372</v>
      </c>
    </row>
    <row r="2184" spans="1:6" x14ac:dyDescent="0.25">
      <c r="A2184" t="s">
        <v>2565</v>
      </c>
      <c r="B2184" t="s">
        <v>304</v>
      </c>
      <c r="C2184" t="s">
        <v>305</v>
      </c>
      <c r="D2184" t="str">
        <f>HYPERLINK("http://service.sap.com/sap/support/notes/1553280","1553280")</f>
        <v>1553280</v>
      </c>
      <c r="E2184">
        <v>2</v>
      </c>
      <c r="F2184" t="s">
        <v>2373</v>
      </c>
    </row>
    <row r="2185" spans="1:6" x14ac:dyDescent="0.25">
      <c r="A2185" t="s">
        <v>2565</v>
      </c>
      <c r="B2185" t="s">
        <v>304</v>
      </c>
      <c r="C2185" t="s">
        <v>305</v>
      </c>
      <c r="D2185" t="str">
        <f>HYPERLINK("http://service.sap.com/sap/support/notes/1553478","1553478")</f>
        <v>1553478</v>
      </c>
      <c r="E2185">
        <v>4</v>
      </c>
      <c r="F2185" t="s">
        <v>2374</v>
      </c>
    </row>
    <row r="2186" spans="1:6" x14ac:dyDescent="0.25">
      <c r="A2186" t="s">
        <v>2565</v>
      </c>
      <c r="B2186" t="s">
        <v>304</v>
      </c>
      <c r="C2186" t="s">
        <v>305</v>
      </c>
      <c r="D2186" t="str">
        <f>HYPERLINK("http://service.sap.com/sap/support/notes/1553515","1553515")</f>
        <v>1553515</v>
      </c>
      <c r="E2186">
        <v>4</v>
      </c>
      <c r="F2186" t="s">
        <v>2375</v>
      </c>
    </row>
    <row r="2187" spans="1:6" x14ac:dyDescent="0.25">
      <c r="A2187" t="s">
        <v>2565</v>
      </c>
      <c r="B2187" t="s">
        <v>304</v>
      </c>
      <c r="C2187" t="s">
        <v>305</v>
      </c>
      <c r="D2187" t="str">
        <f>HYPERLINK("http://service.sap.com/sap/support/notes/1554231","1554231")</f>
        <v>1554231</v>
      </c>
      <c r="E2187">
        <v>2</v>
      </c>
      <c r="F2187" t="s">
        <v>2376</v>
      </c>
    </row>
    <row r="2188" spans="1:6" x14ac:dyDescent="0.25">
      <c r="A2188" t="s">
        <v>2565</v>
      </c>
      <c r="B2188" t="s">
        <v>304</v>
      </c>
      <c r="C2188" t="s">
        <v>305</v>
      </c>
      <c r="D2188" t="str">
        <f>HYPERLINK("http://service.sap.com/sap/support/notes/1554390","1554390")</f>
        <v>1554390</v>
      </c>
      <c r="E2188">
        <v>1</v>
      </c>
      <c r="F2188" t="s">
        <v>2377</v>
      </c>
    </row>
    <row r="2189" spans="1:6" x14ac:dyDescent="0.25">
      <c r="A2189" t="s">
        <v>2565</v>
      </c>
      <c r="B2189" t="s">
        <v>304</v>
      </c>
      <c r="C2189" t="s">
        <v>305</v>
      </c>
      <c r="D2189" t="str">
        <f>HYPERLINK("http://service.sap.com/sap/support/notes/1555059","1555059")</f>
        <v>1555059</v>
      </c>
      <c r="E2189">
        <v>5</v>
      </c>
      <c r="F2189" t="s">
        <v>2378</v>
      </c>
    </row>
    <row r="2190" spans="1:6" x14ac:dyDescent="0.25">
      <c r="A2190" t="s">
        <v>2565</v>
      </c>
      <c r="B2190" t="s">
        <v>304</v>
      </c>
      <c r="C2190" t="s">
        <v>305</v>
      </c>
      <c r="D2190" t="str">
        <f>HYPERLINK("http://service.sap.com/sap/support/notes/1555111","1555111")</f>
        <v>1555111</v>
      </c>
      <c r="E2190">
        <v>3</v>
      </c>
      <c r="F2190" t="s">
        <v>2379</v>
      </c>
    </row>
    <row r="2191" spans="1:6" x14ac:dyDescent="0.25">
      <c r="A2191" t="s">
        <v>2565</v>
      </c>
      <c r="B2191" t="s">
        <v>304</v>
      </c>
      <c r="C2191" t="s">
        <v>305</v>
      </c>
      <c r="D2191" t="str">
        <f>HYPERLINK("http://service.sap.com/sap/support/notes/1556484","1556484")</f>
        <v>1556484</v>
      </c>
      <c r="E2191">
        <v>3</v>
      </c>
      <c r="F2191" t="s">
        <v>2380</v>
      </c>
    </row>
    <row r="2192" spans="1:6" x14ac:dyDescent="0.25">
      <c r="A2192" t="s">
        <v>2565</v>
      </c>
      <c r="B2192" t="s">
        <v>304</v>
      </c>
      <c r="C2192" t="s">
        <v>305</v>
      </c>
      <c r="D2192" t="str">
        <f>HYPERLINK("http://service.sap.com/sap/support/notes/1556864","1556864")</f>
        <v>1556864</v>
      </c>
      <c r="E2192">
        <v>1</v>
      </c>
      <c r="F2192" t="s">
        <v>2381</v>
      </c>
    </row>
    <row r="2193" spans="1:6" x14ac:dyDescent="0.25">
      <c r="A2193" t="s">
        <v>2565</v>
      </c>
      <c r="B2193" t="s">
        <v>304</v>
      </c>
      <c r="C2193" t="s">
        <v>305</v>
      </c>
      <c r="D2193" t="str">
        <f>HYPERLINK("http://service.sap.com/sap/support/notes/1557043","1557043")</f>
        <v>1557043</v>
      </c>
      <c r="E2193">
        <v>2</v>
      </c>
      <c r="F2193" t="s">
        <v>2382</v>
      </c>
    </row>
    <row r="2194" spans="1:6" x14ac:dyDescent="0.25">
      <c r="A2194" t="s">
        <v>2565</v>
      </c>
      <c r="B2194" t="s">
        <v>304</v>
      </c>
      <c r="C2194" t="s">
        <v>305</v>
      </c>
      <c r="D2194" t="str">
        <f>HYPERLINK("http://service.sap.com/sap/support/notes/1557285","1557285")</f>
        <v>1557285</v>
      </c>
      <c r="E2194">
        <v>2</v>
      </c>
      <c r="F2194" t="s">
        <v>2383</v>
      </c>
    </row>
    <row r="2195" spans="1:6" x14ac:dyDescent="0.25">
      <c r="A2195" t="s">
        <v>2565</v>
      </c>
      <c r="B2195" t="s">
        <v>304</v>
      </c>
      <c r="C2195" t="s">
        <v>305</v>
      </c>
      <c r="D2195" t="str">
        <f>HYPERLINK("http://service.sap.com/sap/support/notes/1557345","1557345")</f>
        <v>1557345</v>
      </c>
      <c r="E2195">
        <v>3</v>
      </c>
      <c r="F2195" t="s">
        <v>2384</v>
      </c>
    </row>
    <row r="2196" spans="1:6" x14ac:dyDescent="0.25">
      <c r="A2196" t="s">
        <v>2565</v>
      </c>
      <c r="B2196" t="s">
        <v>304</v>
      </c>
      <c r="C2196" t="s">
        <v>305</v>
      </c>
      <c r="D2196" t="str">
        <f>HYPERLINK("http://service.sap.com/sap/support/notes/1557497","1557497")</f>
        <v>1557497</v>
      </c>
      <c r="E2196">
        <v>2</v>
      </c>
      <c r="F2196" t="s">
        <v>2385</v>
      </c>
    </row>
    <row r="2197" spans="1:6" x14ac:dyDescent="0.25">
      <c r="A2197" t="s">
        <v>2565</v>
      </c>
      <c r="B2197" t="s">
        <v>304</v>
      </c>
      <c r="C2197" t="s">
        <v>305</v>
      </c>
      <c r="D2197" t="str">
        <f>HYPERLINK("http://service.sap.com/sap/support/notes/1557951","1557951")</f>
        <v>1557951</v>
      </c>
      <c r="E2197">
        <v>1</v>
      </c>
      <c r="F2197" t="s">
        <v>2386</v>
      </c>
    </row>
    <row r="2198" spans="1:6" x14ac:dyDescent="0.25">
      <c r="A2198" t="s">
        <v>2565</v>
      </c>
      <c r="B2198" t="s">
        <v>304</v>
      </c>
      <c r="C2198" t="s">
        <v>305</v>
      </c>
      <c r="D2198" t="str">
        <f>HYPERLINK("http://service.sap.com/sap/support/notes/1557987","1557987")</f>
        <v>1557987</v>
      </c>
      <c r="E2198">
        <v>2</v>
      </c>
      <c r="F2198" t="s">
        <v>2387</v>
      </c>
    </row>
    <row r="2199" spans="1:6" x14ac:dyDescent="0.25">
      <c r="A2199" t="s">
        <v>2565</v>
      </c>
      <c r="B2199" t="s">
        <v>304</v>
      </c>
      <c r="C2199" t="s">
        <v>305</v>
      </c>
      <c r="D2199" t="str">
        <f>HYPERLINK("http://service.sap.com/sap/support/notes/1558014","1558014")</f>
        <v>1558014</v>
      </c>
      <c r="E2199">
        <v>1</v>
      </c>
      <c r="F2199" t="s">
        <v>2388</v>
      </c>
    </row>
    <row r="2200" spans="1:6" x14ac:dyDescent="0.25">
      <c r="A2200" t="s">
        <v>2565</v>
      </c>
      <c r="B2200" t="s">
        <v>304</v>
      </c>
      <c r="C2200" t="s">
        <v>305</v>
      </c>
      <c r="D2200" t="str">
        <f>HYPERLINK("http://service.sap.com/sap/support/notes/1558395","1558395")</f>
        <v>1558395</v>
      </c>
      <c r="E2200">
        <v>1</v>
      </c>
      <c r="F2200" t="s">
        <v>2389</v>
      </c>
    </row>
    <row r="2201" spans="1:6" x14ac:dyDescent="0.25">
      <c r="A2201" t="s">
        <v>2565</v>
      </c>
      <c r="B2201" t="s">
        <v>304</v>
      </c>
      <c r="C2201" t="s">
        <v>305</v>
      </c>
      <c r="D2201" t="str">
        <f>HYPERLINK("http://service.sap.com/sap/support/notes/1558700","1558700")</f>
        <v>1558700</v>
      </c>
      <c r="E2201">
        <v>3</v>
      </c>
      <c r="F2201" t="s">
        <v>2390</v>
      </c>
    </row>
    <row r="2202" spans="1:6" x14ac:dyDescent="0.25">
      <c r="A2202" t="s">
        <v>2565</v>
      </c>
      <c r="B2202" t="s">
        <v>304</v>
      </c>
      <c r="C2202" t="s">
        <v>305</v>
      </c>
      <c r="D2202" t="str">
        <f>HYPERLINK("http://service.sap.com/sap/support/notes/1559271","1559271")</f>
        <v>1559271</v>
      </c>
      <c r="E2202">
        <v>2</v>
      </c>
      <c r="F2202" t="s">
        <v>2391</v>
      </c>
    </row>
    <row r="2203" spans="1:6" x14ac:dyDescent="0.25">
      <c r="A2203" t="s">
        <v>2565</v>
      </c>
      <c r="B2203" t="s">
        <v>304</v>
      </c>
      <c r="C2203" t="s">
        <v>305</v>
      </c>
      <c r="D2203" t="str">
        <f>HYPERLINK("http://service.sap.com/sap/support/notes/1559800","1559800")</f>
        <v>1559800</v>
      </c>
      <c r="E2203">
        <v>2</v>
      </c>
      <c r="F2203" t="s">
        <v>2392</v>
      </c>
    </row>
    <row r="2204" spans="1:6" x14ac:dyDescent="0.25">
      <c r="A2204" t="s">
        <v>2565</v>
      </c>
      <c r="B2204" t="s">
        <v>324</v>
      </c>
      <c r="C2204" t="s">
        <v>55</v>
      </c>
      <c r="D2204" t="str">
        <f>HYPERLINK("http://service.sap.com/sap/support/notes/1556206","1556206")</f>
        <v>1556206</v>
      </c>
      <c r="E2204">
        <v>1</v>
      </c>
      <c r="F2204" t="s">
        <v>2393</v>
      </c>
    </row>
    <row r="2205" spans="1:6" x14ac:dyDescent="0.25">
      <c r="A2205" t="s">
        <v>2565</v>
      </c>
      <c r="B2205" t="s">
        <v>324</v>
      </c>
      <c r="C2205" t="s">
        <v>55</v>
      </c>
      <c r="D2205" t="str">
        <f>HYPERLINK("http://service.sap.com/sap/support/notes/1558439","1558439")</f>
        <v>1558439</v>
      </c>
      <c r="E2205">
        <v>1</v>
      </c>
      <c r="F2205" t="s">
        <v>2394</v>
      </c>
    </row>
    <row r="2206" spans="1:6" x14ac:dyDescent="0.25">
      <c r="A2206" t="s">
        <v>2565</v>
      </c>
      <c r="B2206" t="s">
        <v>328</v>
      </c>
      <c r="C2206" t="s">
        <v>58</v>
      </c>
      <c r="D2206" t="str">
        <f>HYPERLINK("http://service.sap.com/sap/support/notes/1504109","1504109")</f>
        <v>1504109</v>
      </c>
      <c r="E2206">
        <v>25</v>
      </c>
      <c r="F2206" t="s">
        <v>1595</v>
      </c>
    </row>
    <row r="2207" spans="1:6" x14ac:dyDescent="0.25">
      <c r="A2207" t="s">
        <v>2565</v>
      </c>
      <c r="B2207" t="s">
        <v>328</v>
      </c>
      <c r="C2207" t="s">
        <v>58</v>
      </c>
      <c r="D2207" t="str">
        <f>HYPERLINK("http://service.sap.com/sap/support/notes/1508552","1508552")</f>
        <v>1508552</v>
      </c>
      <c r="E2207">
        <v>1</v>
      </c>
      <c r="F2207" t="s">
        <v>1097</v>
      </c>
    </row>
    <row r="2208" spans="1:6" x14ac:dyDescent="0.25">
      <c r="A2208" t="s">
        <v>2565</v>
      </c>
      <c r="B2208" t="s">
        <v>328</v>
      </c>
      <c r="C2208" t="s">
        <v>58</v>
      </c>
      <c r="D2208" t="str">
        <f>HYPERLINK("http://service.sap.com/sap/support/notes/1533764","1533764")</f>
        <v>1533764</v>
      </c>
      <c r="E2208">
        <v>2</v>
      </c>
      <c r="F2208" t="s">
        <v>2395</v>
      </c>
    </row>
    <row r="2209" spans="1:6" x14ac:dyDescent="0.25">
      <c r="A2209" t="s">
        <v>2565</v>
      </c>
      <c r="B2209" t="s">
        <v>328</v>
      </c>
      <c r="C2209" t="s">
        <v>58</v>
      </c>
      <c r="D2209" t="str">
        <f>HYPERLINK("http://service.sap.com/sap/support/notes/1537310","1537310")</f>
        <v>1537310</v>
      </c>
      <c r="E2209">
        <v>6</v>
      </c>
      <c r="F2209" t="s">
        <v>2396</v>
      </c>
    </row>
    <row r="2210" spans="1:6" x14ac:dyDescent="0.25">
      <c r="A2210" t="s">
        <v>2565</v>
      </c>
      <c r="B2210" t="s">
        <v>328</v>
      </c>
      <c r="C2210" t="s">
        <v>58</v>
      </c>
      <c r="D2210" t="str">
        <f>HYPERLINK("http://service.sap.com/sap/support/notes/1547411","1547411")</f>
        <v>1547411</v>
      </c>
      <c r="E2210">
        <v>5</v>
      </c>
      <c r="F2210" t="s">
        <v>2397</v>
      </c>
    </row>
    <row r="2211" spans="1:6" x14ac:dyDescent="0.25">
      <c r="A2211" t="s">
        <v>2565</v>
      </c>
      <c r="B2211" t="s">
        <v>328</v>
      </c>
      <c r="C2211" t="s">
        <v>58</v>
      </c>
      <c r="D2211" t="str">
        <f>HYPERLINK("http://service.sap.com/sap/support/notes/1547752","1547752")</f>
        <v>1547752</v>
      </c>
      <c r="E2211">
        <v>5</v>
      </c>
      <c r="F2211" t="s">
        <v>2398</v>
      </c>
    </row>
    <row r="2212" spans="1:6" x14ac:dyDescent="0.25">
      <c r="A2212" t="s">
        <v>2565</v>
      </c>
      <c r="B2212" t="s">
        <v>328</v>
      </c>
      <c r="C2212" t="s">
        <v>58</v>
      </c>
      <c r="D2212" t="str">
        <f>HYPERLINK("http://service.sap.com/sap/support/notes/1548641","1548641")</f>
        <v>1548641</v>
      </c>
      <c r="E2212">
        <v>1</v>
      </c>
      <c r="F2212" t="s">
        <v>2399</v>
      </c>
    </row>
    <row r="2213" spans="1:6" x14ac:dyDescent="0.25">
      <c r="A2213" t="s">
        <v>2565</v>
      </c>
      <c r="B2213" t="s">
        <v>328</v>
      </c>
      <c r="C2213" t="s">
        <v>58</v>
      </c>
      <c r="D2213" t="str">
        <f>HYPERLINK("http://service.sap.com/sap/support/notes/1550534","1550534")</f>
        <v>1550534</v>
      </c>
      <c r="E2213">
        <v>3</v>
      </c>
      <c r="F2213" t="s">
        <v>2400</v>
      </c>
    </row>
    <row r="2214" spans="1:6" x14ac:dyDescent="0.25">
      <c r="A2214" t="s">
        <v>2565</v>
      </c>
      <c r="B2214" t="s">
        <v>328</v>
      </c>
      <c r="C2214" t="s">
        <v>58</v>
      </c>
      <c r="D2214" t="str">
        <f>HYPERLINK("http://service.sap.com/sap/support/notes/1551638","1551638")</f>
        <v>1551638</v>
      </c>
      <c r="E2214">
        <v>2</v>
      </c>
      <c r="F2214" t="s">
        <v>2401</v>
      </c>
    </row>
    <row r="2215" spans="1:6" x14ac:dyDescent="0.25">
      <c r="A2215" t="s">
        <v>2565</v>
      </c>
      <c r="B2215" t="s">
        <v>328</v>
      </c>
      <c r="C2215" t="s">
        <v>58</v>
      </c>
      <c r="D2215" t="str">
        <f>HYPERLINK("http://service.sap.com/sap/support/notes/1552101","1552101")</f>
        <v>1552101</v>
      </c>
      <c r="E2215">
        <v>4</v>
      </c>
      <c r="F2215" t="s">
        <v>2402</v>
      </c>
    </row>
    <row r="2216" spans="1:6" x14ac:dyDescent="0.25">
      <c r="A2216" t="s">
        <v>2565</v>
      </c>
      <c r="B2216" t="s">
        <v>328</v>
      </c>
      <c r="C2216" t="s">
        <v>58</v>
      </c>
      <c r="D2216" t="str">
        <f>HYPERLINK("http://service.sap.com/sap/support/notes/1552163","1552163")</f>
        <v>1552163</v>
      </c>
      <c r="E2216">
        <v>2</v>
      </c>
      <c r="F2216" t="s">
        <v>2403</v>
      </c>
    </row>
    <row r="2217" spans="1:6" x14ac:dyDescent="0.25">
      <c r="A2217" t="s">
        <v>2565</v>
      </c>
      <c r="B2217" t="s">
        <v>328</v>
      </c>
      <c r="C2217" t="s">
        <v>58</v>
      </c>
      <c r="D2217" t="str">
        <f>HYPERLINK("http://service.sap.com/sap/support/notes/1553224","1553224")</f>
        <v>1553224</v>
      </c>
      <c r="E2217">
        <v>3</v>
      </c>
      <c r="F2217" t="s">
        <v>2404</v>
      </c>
    </row>
    <row r="2218" spans="1:6" x14ac:dyDescent="0.25">
      <c r="A2218" t="s">
        <v>2565</v>
      </c>
      <c r="B2218" t="s">
        <v>328</v>
      </c>
      <c r="C2218" t="s">
        <v>58</v>
      </c>
      <c r="D2218" t="str">
        <f>HYPERLINK("http://service.sap.com/sap/support/notes/1554171","1554171")</f>
        <v>1554171</v>
      </c>
      <c r="E2218">
        <v>3</v>
      </c>
      <c r="F2218" t="s">
        <v>2405</v>
      </c>
    </row>
    <row r="2219" spans="1:6" x14ac:dyDescent="0.25">
      <c r="A2219" t="s">
        <v>2565</v>
      </c>
      <c r="B2219" t="s">
        <v>328</v>
      </c>
      <c r="C2219" t="s">
        <v>58</v>
      </c>
      <c r="D2219" t="str">
        <f>HYPERLINK("http://service.sap.com/sap/support/notes/1554309","1554309")</f>
        <v>1554309</v>
      </c>
      <c r="E2219">
        <v>6</v>
      </c>
      <c r="F2219" t="s">
        <v>2406</v>
      </c>
    </row>
    <row r="2220" spans="1:6" x14ac:dyDescent="0.25">
      <c r="A2220" t="s">
        <v>2565</v>
      </c>
      <c r="B2220" t="s">
        <v>328</v>
      </c>
      <c r="C2220" t="s">
        <v>58</v>
      </c>
      <c r="D2220" t="str">
        <f>HYPERLINK("http://service.sap.com/sap/support/notes/1555934","1555934")</f>
        <v>1555934</v>
      </c>
      <c r="E2220">
        <v>1</v>
      </c>
      <c r="F2220" t="s">
        <v>2407</v>
      </c>
    </row>
    <row r="2221" spans="1:6" x14ac:dyDescent="0.25">
      <c r="A2221" t="s">
        <v>2565</v>
      </c>
      <c r="B2221" t="s">
        <v>328</v>
      </c>
      <c r="C2221" t="s">
        <v>58</v>
      </c>
      <c r="D2221" t="str">
        <f>HYPERLINK("http://service.sap.com/sap/support/notes/1556989","1556989")</f>
        <v>1556989</v>
      </c>
      <c r="E2221">
        <v>2</v>
      </c>
      <c r="F2221" t="s">
        <v>2408</v>
      </c>
    </row>
    <row r="2222" spans="1:6" x14ac:dyDescent="0.25">
      <c r="A2222" t="s">
        <v>2565</v>
      </c>
      <c r="B2222" t="s">
        <v>328</v>
      </c>
      <c r="C2222" t="s">
        <v>58</v>
      </c>
      <c r="D2222" t="str">
        <f>HYPERLINK("http://service.sap.com/sap/support/notes/1557377","1557377")</f>
        <v>1557377</v>
      </c>
      <c r="E2222">
        <v>1</v>
      </c>
      <c r="F2222" t="s">
        <v>2409</v>
      </c>
    </row>
    <row r="2223" spans="1:6" x14ac:dyDescent="0.25">
      <c r="A2223" t="s">
        <v>2565</v>
      </c>
      <c r="B2223" t="s">
        <v>328</v>
      </c>
      <c r="C2223" t="s">
        <v>58</v>
      </c>
      <c r="D2223" t="str">
        <f>HYPERLINK("http://service.sap.com/sap/support/notes/1557944","1557944")</f>
        <v>1557944</v>
      </c>
      <c r="E2223">
        <v>3</v>
      </c>
      <c r="F2223" t="s">
        <v>2410</v>
      </c>
    </row>
    <row r="2224" spans="1:6" x14ac:dyDescent="0.25">
      <c r="A2224" t="s">
        <v>2565</v>
      </c>
      <c r="B2224" t="s">
        <v>328</v>
      </c>
      <c r="C2224" t="s">
        <v>58</v>
      </c>
      <c r="D2224" t="str">
        <f>HYPERLINK("http://service.sap.com/sap/support/notes/1559169","1559169")</f>
        <v>1559169</v>
      </c>
      <c r="E2224">
        <v>2</v>
      </c>
      <c r="F2224" t="s">
        <v>2411</v>
      </c>
    </row>
    <row r="2225" spans="1:6" x14ac:dyDescent="0.25">
      <c r="A2225" t="s">
        <v>2565</v>
      </c>
      <c r="B2225" t="s">
        <v>328</v>
      </c>
      <c r="C2225" t="s">
        <v>58</v>
      </c>
      <c r="D2225" t="str">
        <f>HYPERLINK("http://service.sap.com/sap/support/notes/1559285","1559285")</f>
        <v>1559285</v>
      </c>
      <c r="E2225">
        <v>2</v>
      </c>
      <c r="F2225" t="s">
        <v>2412</v>
      </c>
    </row>
    <row r="2226" spans="1:6" x14ac:dyDescent="0.25">
      <c r="A2226" t="s">
        <v>2565</v>
      </c>
      <c r="B2226" t="s">
        <v>328</v>
      </c>
      <c r="C2226" t="s">
        <v>58</v>
      </c>
      <c r="D2226" t="str">
        <f>HYPERLINK("http://service.sap.com/sap/support/notes/1559567","1559567")</f>
        <v>1559567</v>
      </c>
      <c r="E2226">
        <v>2</v>
      </c>
      <c r="F2226" t="s">
        <v>2413</v>
      </c>
    </row>
    <row r="2227" spans="1:6" x14ac:dyDescent="0.25">
      <c r="A2227" t="s">
        <v>2565</v>
      </c>
      <c r="B2227" t="s">
        <v>328</v>
      </c>
      <c r="C2227" t="s">
        <v>58</v>
      </c>
      <c r="D2227" t="str">
        <f>HYPERLINK("http://service.sap.com/sap/support/notes/1560199","1560199")</f>
        <v>1560199</v>
      </c>
      <c r="E2227">
        <v>1</v>
      </c>
      <c r="F2227" t="s">
        <v>2414</v>
      </c>
    </row>
    <row r="2228" spans="1:6" x14ac:dyDescent="0.25">
      <c r="A2228" t="s">
        <v>2565</v>
      </c>
      <c r="B2228" t="s">
        <v>2415</v>
      </c>
      <c r="C2228" t="s">
        <v>153</v>
      </c>
      <c r="D2228" t="str">
        <f>HYPERLINK("http://service.sap.com/sap/support/notes/1550173","1550173")</f>
        <v>1550173</v>
      </c>
      <c r="E2228">
        <v>3</v>
      </c>
      <c r="F2228" t="s">
        <v>2416</v>
      </c>
    </row>
    <row r="2229" spans="1:6" x14ac:dyDescent="0.25">
      <c r="A2229" t="s">
        <v>2565</v>
      </c>
      <c r="B2229" t="s">
        <v>343</v>
      </c>
      <c r="C2229" t="s">
        <v>344</v>
      </c>
      <c r="D2229" t="str">
        <f>HYPERLINK("http://service.sap.com/sap/support/notes/1129168","1129168")</f>
        <v>1129168</v>
      </c>
      <c r="E2229">
        <v>1</v>
      </c>
      <c r="F2229" t="s">
        <v>345</v>
      </c>
    </row>
    <row r="2230" spans="1:6" x14ac:dyDescent="0.25">
      <c r="A2230" t="s">
        <v>2565</v>
      </c>
      <c r="B2230" t="s">
        <v>343</v>
      </c>
      <c r="C2230" t="s">
        <v>344</v>
      </c>
      <c r="D2230" t="str">
        <f>HYPERLINK("http://service.sap.com/sap/support/notes/1550162","1550162")</f>
        <v>1550162</v>
      </c>
      <c r="E2230">
        <v>3</v>
      </c>
      <c r="F2230" t="s">
        <v>2417</v>
      </c>
    </row>
    <row r="2231" spans="1:6" x14ac:dyDescent="0.25">
      <c r="A2231" t="s">
        <v>2565</v>
      </c>
      <c r="B2231" t="s">
        <v>343</v>
      </c>
      <c r="C2231" t="s">
        <v>344</v>
      </c>
      <c r="D2231" t="str">
        <f>HYPERLINK("http://service.sap.com/sap/support/notes/1551338","1551338")</f>
        <v>1551338</v>
      </c>
      <c r="E2231">
        <v>1</v>
      </c>
      <c r="F2231" t="s">
        <v>1609</v>
      </c>
    </row>
    <row r="2232" spans="1:6" x14ac:dyDescent="0.25">
      <c r="A2232" t="s">
        <v>2565</v>
      </c>
      <c r="B2232" t="s">
        <v>343</v>
      </c>
      <c r="C2232" t="s">
        <v>344</v>
      </c>
      <c r="D2232" t="str">
        <f>HYPERLINK("http://service.sap.com/sap/support/notes/1559563","1559563")</f>
        <v>1559563</v>
      </c>
      <c r="E2232">
        <v>1</v>
      </c>
      <c r="F2232" t="s">
        <v>2418</v>
      </c>
    </row>
    <row r="2233" spans="1:6" x14ac:dyDescent="0.25">
      <c r="A2233" t="s">
        <v>2565</v>
      </c>
      <c r="B2233" t="s">
        <v>2021</v>
      </c>
      <c r="C2233" t="s">
        <v>1010</v>
      </c>
    </row>
    <row r="2234" spans="1:6" x14ac:dyDescent="0.25">
      <c r="A2234" t="s">
        <v>2565</v>
      </c>
      <c r="B2234" t="s">
        <v>2022</v>
      </c>
      <c r="C2234" t="s">
        <v>2023</v>
      </c>
      <c r="D2234" t="str">
        <f>HYPERLINK("http://service.sap.com/sap/support/notes/1539220","1539220")</f>
        <v>1539220</v>
      </c>
      <c r="E2234">
        <v>2</v>
      </c>
      <c r="F2234" t="s">
        <v>2419</v>
      </c>
    </row>
    <row r="2235" spans="1:6" x14ac:dyDescent="0.25">
      <c r="A2235" t="s">
        <v>2565</v>
      </c>
      <c r="B2235" t="s">
        <v>2022</v>
      </c>
      <c r="C2235" t="s">
        <v>2023</v>
      </c>
      <c r="D2235" t="str">
        <f>HYPERLINK("http://service.sap.com/sap/support/notes/1553532","1553532")</f>
        <v>1553532</v>
      </c>
      <c r="E2235">
        <v>3</v>
      </c>
      <c r="F2235" t="s">
        <v>2420</v>
      </c>
    </row>
    <row r="2236" spans="1:6" x14ac:dyDescent="0.25">
      <c r="A2236" t="s">
        <v>2565</v>
      </c>
      <c r="B2236" t="s">
        <v>2022</v>
      </c>
      <c r="C2236" t="s">
        <v>2023</v>
      </c>
      <c r="D2236" t="str">
        <f>HYPERLINK("http://service.sap.com/sap/support/notes/1558223","1558223")</f>
        <v>1558223</v>
      </c>
      <c r="E2236">
        <v>1</v>
      </c>
      <c r="F2236" t="s">
        <v>2421</v>
      </c>
    </row>
    <row r="2237" spans="1:6" x14ac:dyDescent="0.25">
      <c r="A2237" t="s">
        <v>2565</v>
      </c>
      <c r="B2237" t="s">
        <v>1121</v>
      </c>
      <c r="C2237" t="s">
        <v>251</v>
      </c>
    </row>
    <row r="2238" spans="1:6" x14ac:dyDescent="0.25">
      <c r="A2238" t="s">
        <v>2565</v>
      </c>
      <c r="B2238" t="s">
        <v>2422</v>
      </c>
      <c r="C2238" t="s">
        <v>2423</v>
      </c>
      <c r="D2238" t="str">
        <f>HYPERLINK("http://service.sap.com/sap/support/notes/1546285","1546285")</f>
        <v>1546285</v>
      </c>
      <c r="E2238">
        <v>1</v>
      </c>
      <c r="F2238" t="s">
        <v>2424</v>
      </c>
    </row>
    <row r="2239" spans="1:6" x14ac:dyDescent="0.25">
      <c r="A2239" t="s">
        <v>2565</v>
      </c>
      <c r="B2239" t="s">
        <v>2422</v>
      </c>
      <c r="C2239" t="s">
        <v>2423</v>
      </c>
      <c r="D2239" t="str">
        <f>HYPERLINK("http://service.sap.com/sap/support/notes/1546800","1546800")</f>
        <v>1546800</v>
      </c>
      <c r="E2239">
        <v>1</v>
      </c>
      <c r="F2239" t="s">
        <v>2425</v>
      </c>
    </row>
    <row r="2240" spans="1:6" x14ac:dyDescent="0.25">
      <c r="A2240" t="s">
        <v>2565</v>
      </c>
      <c r="B2240" t="s">
        <v>349</v>
      </c>
      <c r="C2240" t="s">
        <v>299</v>
      </c>
    </row>
    <row r="2241" spans="1:6" x14ac:dyDescent="0.25">
      <c r="A2241" t="s">
        <v>2565</v>
      </c>
      <c r="B2241" t="s">
        <v>350</v>
      </c>
      <c r="C2241" t="s">
        <v>351</v>
      </c>
      <c r="D2241" t="str">
        <f>HYPERLINK("http://service.sap.com/sap/support/notes/1552349","1552349")</f>
        <v>1552349</v>
      </c>
      <c r="E2241">
        <v>1</v>
      </c>
      <c r="F2241" t="s">
        <v>2426</v>
      </c>
    </row>
    <row r="2242" spans="1:6" x14ac:dyDescent="0.25">
      <c r="A2242" t="s">
        <v>2565</v>
      </c>
      <c r="B2242" t="s">
        <v>350</v>
      </c>
      <c r="C2242" t="s">
        <v>351</v>
      </c>
      <c r="D2242" t="str">
        <f>HYPERLINK("http://service.sap.com/sap/support/notes/1559402","1559402")</f>
        <v>1559402</v>
      </c>
      <c r="E2242">
        <v>1</v>
      </c>
      <c r="F2242" t="s">
        <v>2427</v>
      </c>
    </row>
    <row r="2243" spans="1:6" x14ac:dyDescent="0.25">
      <c r="A2243" t="s">
        <v>2565</v>
      </c>
      <c r="B2243" t="s">
        <v>353</v>
      </c>
      <c r="C2243" t="s">
        <v>354</v>
      </c>
      <c r="D2243" t="str">
        <f>HYPERLINK("http://service.sap.com/sap/support/notes/1552246","1552246")</f>
        <v>1552246</v>
      </c>
      <c r="E2243">
        <v>1</v>
      </c>
      <c r="F2243" t="s">
        <v>2428</v>
      </c>
    </row>
    <row r="2244" spans="1:6" x14ac:dyDescent="0.25">
      <c r="A2244" t="s">
        <v>2565</v>
      </c>
      <c r="B2244" t="s">
        <v>356</v>
      </c>
      <c r="C2244" t="s">
        <v>71</v>
      </c>
      <c r="D2244" t="str">
        <f>HYPERLINK("http://service.sap.com/sap/support/notes/1531511","1531511")</f>
        <v>1531511</v>
      </c>
      <c r="E2244">
        <v>1</v>
      </c>
      <c r="F2244" t="s">
        <v>2429</v>
      </c>
    </row>
    <row r="2245" spans="1:6" x14ac:dyDescent="0.25">
      <c r="A2245" t="s">
        <v>2565</v>
      </c>
      <c r="B2245" t="s">
        <v>358</v>
      </c>
      <c r="C2245" t="s">
        <v>359</v>
      </c>
      <c r="D2245" t="str">
        <f>HYPERLINK("http://service.sap.com/sap/support/notes/1147798","1147798")</f>
        <v>1147798</v>
      </c>
      <c r="E2245">
        <v>1</v>
      </c>
      <c r="F2245" t="s">
        <v>360</v>
      </c>
    </row>
    <row r="2246" spans="1:6" x14ac:dyDescent="0.25">
      <c r="A2246" t="s">
        <v>2565</v>
      </c>
      <c r="B2246" t="s">
        <v>358</v>
      </c>
      <c r="C2246" t="s">
        <v>359</v>
      </c>
      <c r="D2246" t="str">
        <f>HYPERLINK("http://service.sap.com/sap/support/notes/1549856","1549856")</f>
        <v>1549856</v>
      </c>
      <c r="E2246">
        <v>2</v>
      </c>
      <c r="F2246" t="s">
        <v>2430</v>
      </c>
    </row>
    <row r="2247" spans="1:6" x14ac:dyDescent="0.25">
      <c r="A2247" t="s">
        <v>2565</v>
      </c>
      <c r="B2247" t="s">
        <v>358</v>
      </c>
      <c r="C2247" t="s">
        <v>359</v>
      </c>
      <c r="D2247" t="str">
        <f>HYPERLINK("http://service.sap.com/sap/support/notes/1552340","1552340")</f>
        <v>1552340</v>
      </c>
      <c r="E2247">
        <v>1</v>
      </c>
      <c r="F2247" t="s">
        <v>2431</v>
      </c>
    </row>
    <row r="2248" spans="1:6" x14ac:dyDescent="0.25">
      <c r="A2248" t="s">
        <v>2565</v>
      </c>
      <c r="B2248" t="s">
        <v>358</v>
      </c>
      <c r="C2248" t="s">
        <v>359</v>
      </c>
      <c r="D2248" t="str">
        <f>HYPERLINK("http://service.sap.com/sap/support/notes/1553086","1553086")</f>
        <v>1553086</v>
      </c>
      <c r="E2248">
        <v>1</v>
      </c>
      <c r="F2248" t="s">
        <v>2432</v>
      </c>
    </row>
    <row r="2249" spans="1:6" x14ac:dyDescent="0.25">
      <c r="A2249" t="s">
        <v>2565</v>
      </c>
      <c r="B2249" t="s">
        <v>358</v>
      </c>
      <c r="C2249" t="s">
        <v>359</v>
      </c>
      <c r="D2249" t="str">
        <f>HYPERLINK("http://service.sap.com/sap/support/notes/1553164","1553164")</f>
        <v>1553164</v>
      </c>
      <c r="E2249">
        <v>1</v>
      </c>
      <c r="F2249" t="s">
        <v>2433</v>
      </c>
    </row>
    <row r="2250" spans="1:6" x14ac:dyDescent="0.25">
      <c r="A2250" t="s">
        <v>2565</v>
      </c>
      <c r="B2250" t="s">
        <v>358</v>
      </c>
      <c r="C2250" t="s">
        <v>359</v>
      </c>
      <c r="D2250" t="str">
        <f>HYPERLINK("http://service.sap.com/sap/support/notes/1554469","1554469")</f>
        <v>1554469</v>
      </c>
      <c r="E2250">
        <v>1</v>
      </c>
      <c r="F2250" t="s">
        <v>2434</v>
      </c>
    </row>
    <row r="2251" spans="1:6" x14ac:dyDescent="0.25">
      <c r="A2251" t="s">
        <v>2565</v>
      </c>
      <c r="B2251" t="s">
        <v>358</v>
      </c>
      <c r="C2251" t="s">
        <v>359</v>
      </c>
      <c r="D2251" t="str">
        <f>HYPERLINK("http://service.sap.com/sap/support/notes/1554927","1554927")</f>
        <v>1554927</v>
      </c>
      <c r="E2251">
        <v>1</v>
      </c>
      <c r="F2251" t="s">
        <v>2435</v>
      </c>
    </row>
    <row r="2252" spans="1:6" x14ac:dyDescent="0.25">
      <c r="A2252" t="s">
        <v>2565</v>
      </c>
      <c r="B2252" t="s">
        <v>358</v>
      </c>
      <c r="C2252" t="s">
        <v>359</v>
      </c>
      <c r="D2252" t="str">
        <f>HYPERLINK("http://service.sap.com/sap/support/notes/1557805","1557805")</f>
        <v>1557805</v>
      </c>
      <c r="E2252">
        <v>2</v>
      </c>
      <c r="F2252" t="s">
        <v>2436</v>
      </c>
    </row>
    <row r="2253" spans="1:6" x14ac:dyDescent="0.25">
      <c r="A2253" t="s">
        <v>2565</v>
      </c>
      <c r="B2253" t="s">
        <v>363</v>
      </c>
      <c r="C2253" t="s">
        <v>74</v>
      </c>
      <c r="D2253" t="str">
        <f>HYPERLINK("http://service.sap.com/sap/support/notes/1337155","1337155")</f>
        <v>1337155</v>
      </c>
      <c r="E2253">
        <v>1</v>
      </c>
      <c r="F2253" t="s">
        <v>2437</v>
      </c>
    </row>
    <row r="2254" spans="1:6" x14ac:dyDescent="0.25">
      <c r="A2254" t="s">
        <v>2565</v>
      </c>
      <c r="B2254" t="s">
        <v>363</v>
      </c>
      <c r="C2254" t="s">
        <v>74</v>
      </c>
      <c r="D2254" t="str">
        <f>HYPERLINK("http://service.sap.com/sap/support/notes/1509129","1509129")</f>
        <v>1509129</v>
      </c>
      <c r="E2254">
        <v>1</v>
      </c>
      <c r="F2254" t="s">
        <v>1622</v>
      </c>
    </row>
    <row r="2255" spans="1:6" x14ac:dyDescent="0.25">
      <c r="A2255" t="s">
        <v>2565</v>
      </c>
      <c r="B2255" t="s">
        <v>374</v>
      </c>
      <c r="C2255" t="s">
        <v>77</v>
      </c>
      <c r="D2255" t="str">
        <f>HYPERLINK("http://service.sap.com/sap/support/notes/1453489","1453489")</f>
        <v>1453489</v>
      </c>
      <c r="E2255">
        <v>1</v>
      </c>
      <c r="F2255" t="s">
        <v>2438</v>
      </c>
    </row>
    <row r="2256" spans="1:6" x14ac:dyDescent="0.25">
      <c r="A2256" t="s">
        <v>2565</v>
      </c>
      <c r="B2256" t="s">
        <v>374</v>
      </c>
      <c r="C2256" t="s">
        <v>77</v>
      </c>
      <c r="D2256" t="str">
        <f>HYPERLINK("http://service.sap.com/sap/support/notes/1524171","1524171")</f>
        <v>1524171</v>
      </c>
      <c r="E2256">
        <v>1</v>
      </c>
      <c r="F2256" t="s">
        <v>2439</v>
      </c>
    </row>
    <row r="2257" spans="1:6" x14ac:dyDescent="0.25">
      <c r="A2257" t="s">
        <v>2565</v>
      </c>
      <c r="B2257" t="s">
        <v>374</v>
      </c>
      <c r="C2257" t="s">
        <v>77</v>
      </c>
      <c r="D2257" t="str">
        <f>HYPERLINK("http://service.sap.com/sap/support/notes/1528106","1528106")</f>
        <v>1528106</v>
      </c>
      <c r="E2257">
        <v>2</v>
      </c>
      <c r="F2257" t="s">
        <v>2440</v>
      </c>
    </row>
    <row r="2258" spans="1:6" x14ac:dyDescent="0.25">
      <c r="A2258" t="s">
        <v>2565</v>
      </c>
      <c r="B2258" t="s">
        <v>374</v>
      </c>
      <c r="C2258" t="s">
        <v>77</v>
      </c>
      <c r="D2258" t="str">
        <f>HYPERLINK("http://service.sap.com/sap/support/notes/1534511","1534511")</f>
        <v>1534511</v>
      </c>
      <c r="E2258">
        <v>1</v>
      </c>
      <c r="F2258" t="s">
        <v>2441</v>
      </c>
    </row>
    <row r="2259" spans="1:6" x14ac:dyDescent="0.25">
      <c r="A2259" t="s">
        <v>2565</v>
      </c>
      <c r="B2259" t="s">
        <v>374</v>
      </c>
      <c r="C2259" t="s">
        <v>77</v>
      </c>
      <c r="D2259" t="str">
        <f>HYPERLINK("http://service.sap.com/sap/support/notes/1536194","1536194")</f>
        <v>1536194</v>
      </c>
      <c r="E2259">
        <v>5</v>
      </c>
      <c r="F2259" t="s">
        <v>2442</v>
      </c>
    </row>
    <row r="2260" spans="1:6" x14ac:dyDescent="0.25">
      <c r="A2260" t="s">
        <v>2565</v>
      </c>
      <c r="B2260" t="s">
        <v>374</v>
      </c>
      <c r="C2260" t="s">
        <v>77</v>
      </c>
      <c r="D2260" t="str">
        <f>HYPERLINK("http://service.sap.com/sap/support/notes/1544097","1544097")</f>
        <v>1544097</v>
      </c>
      <c r="E2260">
        <v>2</v>
      </c>
      <c r="F2260" t="s">
        <v>2443</v>
      </c>
    </row>
    <row r="2261" spans="1:6" x14ac:dyDescent="0.25">
      <c r="A2261" t="s">
        <v>2565</v>
      </c>
      <c r="B2261" t="s">
        <v>374</v>
      </c>
      <c r="C2261" t="s">
        <v>77</v>
      </c>
      <c r="D2261" t="str">
        <f>HYPERLINK("http://service.sap.com/sap/support/notes/1545737","1545737")</f>
        <v>1545737</v>
      </c>
      <c r="E2261">
        <v>2</v>
      </c>
      <c r="F2261" t="s">
        <v>2444</v>
      </c>
    </row>
    <row r="2262" spans="1:6" x14ac:dyDescent="0.25">
      <c r="A2262" t="s">
        <v>2565</v>
      </c>
      <c r="B2262" t="s">
        <v>374</v>
      </c>
      <c r="C2262" t="s">
        <v>77</v>
      </c>
      <c r="D2262" t="str">
        <f>HYPERLINK("http://service.sap.com/sap/support/notes/1549157","1549157")</f>
        <v>1549157</v>
      </c>
      <c r="E2262">
        <v>1</v>
      </c>
      <c r="F2262" t="s">
        <v>2445</v>
      </c>
    </row>
    <row r="2263" spans="1:6" x14ac:dyDescent="0.25">
      <c r="A2263" t="s">
        <v>2565</v>
      </c>
      <c r="B2263" t="s">
        <v>374</v>
      </c>
      <c r="C2263" t="s">
        <v>77</v>
      </c>
      <c r="D2263" t="str">
        <f>HYPERLINK("http://service.sap.com/sap/support/notes/1554695","1554695")</f>
        <v>1554695</v>
      </c>
      <c r="E2263">
        <v>1</v>
      </c>
      <c r="F2263" t="s">
        <v>2446</v>
      </c>
    </row>
    <row r="2264" spans="1:6" x14ac:dyDescent="0.25">
      <c r="A2264" t="s">
        <v>2565</v>
      </c>
      <c r="B2264" t="s">
        <v>374</v>
      </c>
      <c r="C2264" t="s">
        <v>77</v>
      </c>
      <c r="D2264" t="str">
        <f>HYPERLINK("http://service.sap.com/sap/support/notes/1558004","1558004")</f>
        <v>1558004</v>
      </c>
      <c r="E2264">
        <v>1</v>
      </c>
      <c r="F2264" t="s">
        <v>2447</v>
      </c>
    </row>
    <row r="2265" spans="1:6" x14ac:dyDescent="0.25">
      <c r="A2265" t="s">
        <v>2565</v>
      </c>
      <c r="B2265" t="s">
        <v>374</v>
      </c>
      <c r="C2265" t="s">
        <v>77</v>
      </c>
      <c r="D2265" t="str">
        <f>HYPERLINK("http://service.sap.com/sap/support/notes/1560354","1560354")</f>
        <v>1560354</v>
      </c>
      <c r="E2265">
        <v>1</v>
      </c>
      <c r="F2265" t="s">
        <v>2448</v>
      </c>
    </row>
    <row r="2266" spans="1:6" x14ac:dyDescent="0.25">
      <c r="A2266" t="s">
        <v>2565</v>
      </c>
      <c r="B2266" t="s">
        <v>379</v>
      </c>
      <c r="C2266" t="s">
        <v>80</v>
      </c>
      <c r="D2266" t="str">
        <f>HYPERLINK("http://service.sap.com/sap/support/notes/1550392","1550392")</f>
        <v>1550392</v>
      </c>
      <c r="E2266">
        <v>5</v>
      </c>
      <c r="F2266" t="s">
        <v>2449</v>
      </c>
    </row>
    <row r="2267" spans="1:6" x14ac:dyDescent="0.25">
      <c r="A2267" t="s">
        <v>2565</v>
      </c>
      <c r="B2267" t="s">
        <v>379</v>
      </c>
      <c r="C2267" t="s">
        <v>80</v>
      </c>
      <c r="D2267" t="str">
        <f>HYPERLINK("http://service.sap.com/sap/support/notes/1554074","1554074")</f>
        <v>1554074</v>
      </c>
      <c r="E2267">
        <v>1</v>
      </c>
      <c r="F2267" t="s">
        <v>2450</v>
      </c>
    </row>
    <row r="2268" spans="1:6" x14ac:dyDescent="0.25">
      <c r="A2268" t="s">
        <v>2565</v>
      </c>
      <c r="B2268" t="s">
        <v>379</v>
      </c>
      <c r="C2268" t="s">
        <v>80</v>
      </c>
      <c r="D2268" t="str">
        <f>HYPERLINK("http://service.sap.com/sap/support/notes/1554089","1554089")</f>
        <v>1554089</v>
      </c>
      <c r="E2268">
        <v>1</v>
      </c>
      <c r="F2268" t="s">
        <v>2451</v>
      </c>
    </row>
    <row r="2269" spans="1:6" x14ac:dyDescent="0.25">
      <c r="A2269" t="s">
        <v>2565</v>
      </c>
      <c r="B2269" t="s">
        <v>379</v>
      </c>
      <c r="C2269" t="s">
        <v>80</v>
      </c>
      <c r="D2269" t="str">
        <f>HYPERLINK("http://service.sap.com/sap/support/notes/1558507","1558507")</f>
        <v>1558507</v>
      </c>
      <c r="E2269">
        <v>1</v>
      </c>
      <c r="F2269" t="s">
        <v>2452</v>
      </c>
    </row>
    <row r="2270" spans="1:6" x14ac:dyDescent="0.25">
      <c r="A2270" t="s">
        <v>2565</v>
      </c>
      <c r="B2270" t="s">
        <v>388</v>
      </c>
      <c r="C2270" t="s">
        <v>87</v>
      </c>
      <c r="D2270" t="str">
        <f>HYPERLINK("http://service.sap.com/sap/support/notes/1545722","1545722")</f>
        <v>1545722</v>
      </c>
      <c r="E2270">
        <v>3</v>
      </c>
      <c r="F2270" t="s">
        <v>1635</v>
      </c>
    </row>
    <row r="2271" spans="1:6" x14ac:dyDescent="0.25">
      <c r="A2271" t="s">
        <v>2565</v>
      </c>
      <c r="B2271" t="s">
        <v>388</v>
      </c>
      <c r="C2271" t="s">
        <v>87</v>
      </c>
      <c r="D2271" t="str">
        <f>HYPERLINK("http://service.sap.com/sap/support/notes/1549423","1549423")</f>
        <v>1549423</v>
      </c>
      <c r="E2271">
        <v>3</v>
      </c>
      <c r="F2271" t="s">
        <v>2453</v>
      </c>
    </row>
    <row r="2272" spans="1:6" x14ac:dyDescent="0.25">
      <c r="A2272" t="s">
        <v>2565</v>
      </c>
      <c r="B2272" t="s">
        <v>388</v>
      </c>
      <c r="C2272" t="s">
        <v>87</v>
      </c>
      <c r="D2272" t="str">
        <f>HYPERLINK("http://service.sap.com/sap/support/notes/1552175","1552175")</f>
        <v>1552175</v>
      </c>
      <c r="E2272">
        <v>4</v>
      </c>
      <c r="F2272" t="s">
        <v>2454</v>
      </c>
    </row>
    <row r="2273" spans="1:6" x14ac:dyDescent="0.25">
      <c r="A2273" t="s">
        <v>2565</v>
      </c>
      <c r="B2273" t="s">
        <v>388</v>
      </c>
      <c r="C2273" t="s">
        <v>87</v>
      </c>
      <c r="D2273" t="str">
        <f>HYPERLINK("http://service.sap.com/sap/support/notes/1553120","1553120")</f>
        <v>1553120</v>
      </c>
      <c r="E2273">
        <v>2</v>
      </c>
      <c r="F2273" t="s">
        <v>2455</v>
      </c>
    </row>
    <row r="2274" spans="1:6" x14ac:dyDescent="0.25">
      <c r="A2274" t="s">
        <v>2565</v>
      </c>
      <c r="B2274" t="s">
        <v>388</v>
      </c>
      <c r="C2274" t="s">
        <v>87</v>
      </c>
      <c r="D2274" t="str">
        <f>HYPERLINK("http://service.sap.com/sap/support/notes/1557225","1557225")</f>
        <v>1557225</v>
      </c>
      <c r="E2274">
        <v>5</v>
      </c>
      <c r="F2274" t="s">
        <v>2456</v>
      </c>
    </row>
    <row r="2275" spans="1:6" x14ac:dyDescent="0.25">
      <c r="A2275" t="s">
        <v>2565</v>
      </c>
      <c r="B2275" t="s">
        <v>388</v>
      </c>
      <c r="C2275" t="s">
        <v>87</v>
      </c>
      <c r="D2275" t="str">
        <f>HYPERLINK("http://service.sap.com/sap/support/notes/1559453","1559453")</f>
        <v>1559453</v>
      </c>
      <c r="E2275">
        <v>2</v>
      </c>
      <c r="F2275" t="s">
        <v>2457</v>
      </c>
    </row>
    <row r="2276" spans="1:6" x14ac:dyDescent="0.25">
      <c r="A2276" t="s">
        <v>2565</v>
      </c>
      <c r="B2276" t="s">
        <v>396</v>
      </c>
      <c r="C2276" t="s">
        <v>397</v>
      </c>
      <c r="D2276" t="str">
        <f>HYPERLINK("http://service.sap.com/sap/support/notes/1527613","1527613")</f>
        <v>1527613</v>
      </c>
      <c r="E2276">
        <v>5</v>
      </c>
      <c r="F2276" t="s">
        <v>2458</v>
      </c>
    </row>
    <row r="2277" spans="1:6" x14ac:dyDescent="0.25">
      <c r="A2277" t="s">
        <v>2565</v>
      </c>
      <c r="B2277" t="s">
        <v>396</v>
      </c>
      <c r="C2277" t="s">
        <v>397</v>
      </c>
      <c r="D2277" t="str">
        <f>HYPERLINK("http://service.sap.com/sap/support/notes/1548254","1548254")</f>
        <v>1548254</v>
      </c>
      <c r="E2277">
        <v>3</v>
      </c>
      <c r="F2277" t="s">
        <v>2459</v>
      </c>
    </row>
    <row r="2278" spans="1:6" x14ac:dyDescent="0.25">
      <c r="A2278" t="s">
        <v>2565</v>
      </c>
      <c r="B2278" t="s">
        <v>396</v>
      </c>
      <c r="C2278" t="s">
        <v>397</v>
      </c>
      <c r="D2278" t="str">
        <f>HYPERLINK("http://service.sap.com/sap/support/notes/1549628","1549628")</f>
        <v>1549628</v>
      </c>
      <c r="E2278">
        <v>3</v>
      </c>
      <c r="F2278" t="s">
        <v>2460</v>
      </c>
    </row>
    <row r="2279" spans="1:6" x14ac:dyDescent="0.25">
      <c r="A2279" t="s">
        <v>2565</v>
      </c>
      <c r="B2279" t="s">
        <v>396</v>
      </c>
      <c r="C2279" t="s">
        <v>397</v>
      </c>
      <c r="D2279" t="str">
        <f>HYPERLINK("http://service.sap.com/sap/support/notes/1551503","1551503")</f>
        <v>1551503</v>
      </c>
      <c r="E2279">
        <v>3</v>
      </c>
      <c r="F2279" t="s">
        <v>2461</v>
      </c>
    </row>
    <row r="2280" spans="1:6" x14ac:dyDescent="0.25">
      <c r="A2280" t="s">
        <v>2565</v>
      </c>
      <c r="B2280" t="s">
        <v>396</v>
      </c>
      <c r="C2280" t="s">
        <v>397</v>
      </c>
      <c r="D2280" t="str">
        <f>HYPERLINK("http://service.sap.com/sap/support/notes/1553212","1553212")</f>
        <v>1553212</v>
      </c>
      <c r="E2280">
        <v>4</v>
      </c>
      <c r="F2280" t="s">
        <v>2462</v>
      </c>
    </row>
    <row r="2281" spans="1:6" x14ac:dyDescent="0.25">
      <c r="A2281" t="s">
        <v>2565</v>
      </c>
      <c r="B2281" t="s">
        <v>396</v>
      </c>
      <c r="C2281" t="s">
        <v>397</v>
      </c>
      <c r="D2281" t="str">
        <f>HYPERLINK("http://service.sap.com/sap/support/notes/1554238","1554238")</f>
        <v>1554238</v>
      </c>
      <c r="E2281">
        <v>1</v>
      </c>
      <c r="F2281" t="s">
        <v>2463</v>
      </c>
    </row>
    <row r="2282" spans="1:6" x14ac:dyDescent="0.25">
      <c r="A2282" t="s">
        <v>2565</v>
      </c>
      <c r="B2282" t="s">
        <v>396</v>
      </c>
      <c r="C2282" t="s">
        <v>397</v>
      </c>
      <c r="D2282" t="str">
        <f>HYPERLINK("http://service.sap.com/sap/support/notes/1556548","1556548")</f>
        <v>1556548</v>
      </c>
      <c r="E2282">
        <v>4</v>
      </c>
      <c r="F2282" t="s">
        <v>2464</v>
      </c>
    </row>
    <row r="2283" spans="1:6" x14ac:dyDescent="0.25">
      <c r="A2283" t="s">
        <v>2565</v>
      </c>
      <c r="B2283" t="s">
        <v>396</v>
      </c>
      <c r="C2283" t="s">
        <v>397</v>
      </c>
      <c r="D2283" t="str">
        <f>HYPERLINK("http://service.sap.com/sap/support/notes/1557275","1557275")</f>
        <v>1557275</v>
      </c>
      <c r="E2283">
        <v>1</v>
      </c>
      <c r="F2283" t="s">
        <v>2465</v>
      </c>
    </row>
    <row r="2284" spans="1:6" x14ac:dyDescent="0.25">
      <c r="A2284" t="s">
        <v>2565</v>
      </c>
      <c r="B2284" t="s">
        <v>396</v>
      </c>
      <c r="C2284" t="s">
        <v>397</v>
      </c>
      <c r="D2284" t="str">
        <f>HYPERLINK("http://service.sap.com/sap/support/notes/1557449","1557449")</f>
        <v>1557449</v>
      </c>
      <c r="E2284">
        <v>3</v>
      </c>
      <c r="F2284" t="s">
        <v>2466</v>
      </c>
    </row>
    <row r="2285" spans="1:6" x14ac:dyDescent="0.25">
      <c r="A2285" t="s">
        <v>2565</v>
      </c>
      <c r="B2285" t="s">
        <v>396</v>
      </c>
      <c r="C2285" t="s">
        <v>397</v>
      </c>
      <c r="D2285" t="str">
        <f>HYPERLINK("http://service.sap.com/sap/support/notes/1558724","1558724")</f>
        <v>1558724</v>
      </c>
      <c r="E2285">
        <v>3</v>
      </c>
      <c r="F2285" t="s">
        <v>2467</v>
      </c>
    </row>
    <row r="2286" spans="1:6" x14ac:dyDescent="0.25">
      <c r="A2286" t="s">
        <v>2565</v>
      </c>
      <c r="B2286" t="s">
        <v>401</v>
      </c>
      <c r="C2286" t="s">
        <v>402</v>
      </c>
      <c r="D2286" t="str">
        <f>HYPERLINK("http://service.sap.com/sap/support/notes/1531768","1531768")</f>
        <v>1531768</v>
      </c>
      <c r="E2286">
        <v>8</v>
      </c>
      <c r="F2286" t="s">
        <v>2468</v>
      </c>
    </row>
    <row r="2287" spans="1:6" x14ac:dyDescent="0.25">
      <c r="A2287" t="s">
        <v>2565</v>
      </c>
      <c r="B2287" t="s">
        <v>405</v>
      </c>
      <c r="C2287" t="s">
        <v>90</v>
      </c>
      <c r="D2287" t="str">
        <f>HYPERLINK("http://service.sap.com/sap/support/notes/1549829","1549829")</f>
        <v>1549829</v>
      </c>
      <c r="E2287">
        <v>2</v>
      </c>
      <c r="F2287" t="s">
        <v>2469</v>
      </c>
    </row>
    <row r="2288" spans="1:6" x14ac:dyDescent="0.25">
      <c r="A2288" t="s">
        <v>2565</v>
      </c>
      <c r="B2288" t="s">
        <v>405</v>
      </c>
      <c r="C2288" t="s">
        <v>90</v>
      </c>
      <c r="D2288" t="str">
        <f>HYPERLINK("http://service.sap.com/sap/support/notes/1550839","1550839")</f>
        <v>1550839</v>
      </c>
      <c r="E2288">
        <v>3</v>
      </c>
      <c r="F2288" t="s">
        <v>2470</v>
      </c>
    </row>
    <row r="2289" spans="1:6" x14ac:dyDescent="0.25">
      <c r="A2289" t="s">
        <v>2565</v>
      </c>
      <c r="B2289" t="s">
        <v>405</v>
      </c>
      <c r="C2289" t="s">
        <v>90</v>
      </c>
      <c r="D2289" t="str">
        <f>HYPERLINK("http://service.sap.com/sap/support/notes/1552190","1552190")</f>
        <v>1552190</v>
      </c>
      <c r="E2289">
        <v>2</v>
      </c>
      <c r="F2289" t="s">
        <v>2471</v>
      </c>
    </row>
    <row r="2290" spans="1:6" x14ac:dyDescent="0.25">
      <c r="A2290" t="s">
        <v>2565</v>
      </c>
      <c r="B2290" t="s">
        <v>405</v>
      </c>
      <c r="C2290" t="s">
        <v>90</v>
      </c>
      <c r="D2290" t="str">
        <f>HYPERLINK("http://service.sap.com/sap/support/notes/1555816","1555816")</f>
        <v>1555816</v>
      </c>
      <c r="E2290">
        <v>1</v>
      </c>
      <c r="F2290" t="s">
        <v>2472</v>
      </c>
    </row>
    <row r="2291" spans="1:6" x14ac:dyDescent="0.25">
      <c r="A2291" t="s">
        <v>2565</v>
      </c>
      <c r="B2291" t="s">
        <v>405</v>
      </c>
      <c r="C2291" t="s">
        <v>90</v>
      </c>
      <c r="D2291" t="str">
        <f>HYPERLINK("http://service.sap.com/sap/support/notes/1557071","1557071")</f>
        <v>1557071</v>
      </c>
      <c r="E2291">
        <v>1</v>
      </c>
      <c r="F2291" t="s">
        <v>2473</v>
      </c>
    </row>
    <row r="2292" spans="1:6" x14ac:dyDescent="0.25">
      <c r="A2292" t="s">
        <v>2565</v>
      </c>
      <c r="B2292" t="s">
        <v>411</v>
      </c>
      <c r="C2292" t="s">
        <v>412</v>
      </c>
      <c r="D2292" t="str">
        <f>HYPERLINK("http://service.sap.com/sap/support/notes/1547687","1547687")</f>
        <v>1547687</v>
      </c>
      <c r="E2292">
        <v>1</v>
      </c>
      <c r="F2292" t="s">
        <v>2474</v>
      </c>
    </row>
    <row r="2293" spans="1:6" x14ac:dyDescent="0.25">
      <c r="A2293" t="s">
        <v>2565</v>
      </c>
      <c r="B2293" t="s">
        <v>411</v>
      </c>
      <c r="C2293" t="s">
        <v>412</v>
      </c>
      <c r="D2293" t="str">
        <f>HYPERLINK("http://service.sap.com/sap/support/notes/1551806","1551806")</f>
        <v>1551806</v>
      </c>
      <c r="E2293">
        <v>2</v>
      </c>
      <c r="F2293" t="s">
        <v>2475</v>
      </c>
    </row>
    <row r="2294" spans="1:6" x14ac:dyDescent="0.25">
      <c r="A2294" t="s">
        <v>2565</v>
      </c>
      <c r="B2294" t="s">
        <v>411</v>
      </c>
      <c r="C2294" t="s">
        <v>412</v>
      </c>
      <c r="D2294" t="str">
        <f>HYPERLINK("http://service.sap.com/sap/support/notes/1552291","1552291")</f>
        <v>1552291</v>
      </c>
      <c r="E2294">
        <v>2</v>
      </c>
      <c r="F2294" t="s">
        <v>2476</v>
      </c>
    </row>
    <row r="2295" spans="1:6" x14ac:dyDescent="0.25">
      <c r="A2295" t="s">
        <v>2565</v>
      </c>
      <c r="B2295" t="s">
        <v>411</v>
      </c>
      <c r="C2295" t="s">
        <v>412</v>
      </c>
      <c r="D2295" t="str">
        <f>HYPERLINK("http://service.sap.com/sap/support/notes/1553616","1553616")</f>
        <v>1553616</v>
      </c>
      <c r="E2295">
        <v>2</v>
      </c>
      <c r="F2295" t="s">
        <v>2477</v>
      </c>
    </row>
    <row r="2296" spans="1:6" x14ac:dyDescent="0.25">
      <c r="A2296" t="s">
        <v>2565</v>
      </c>
      <c r="B2296" t="s">
        <v>411</v>
      </c>
      <c r="C2296" t="s">
        <v>412</v>
      </c>
      <c r="D2296" t="str">
        <f>HYPERLINK("http://service.sap.com/sap/support/notes/1554833","1554833")</f>
        <v>1554833</v>
      </c>
      <c r="E2296">
        <v>1</v>
      </c>
      <c r="F2296" t="s">
        <v>2478</v>
      </c>
    </row>
    <row r="2297" spans="1:6" x14ac:dyDescent="0.25">
      <c r="A2297" t="s">
        <v>2565</v>
      </c>
      <c r="B2297" t="s">
        <v>411</v>
      </c>
      <c r="C2297" t="s">
        <v>412</v>
      </c>
      <c r="D2297" t="str">
        <f>HYPERLINK("http://service.sap.com/sap/support/notes/1556542","1556542")</f>
        <v>1556542</v>
      </c>
      <c r="E2297">
        <v>3</v>
      </c>
      <c r="F2297" t="s">
        <v>2479</v>
      </c>
    </row>
    <row r="2298" spans="1:6" x14ac:dyDescent="0.25">
      <c r="A2298" t="s">
        <v>2565</v>
      </c>
      <c r="B2298" t="s">
        <v>411</v>
      </c>
      <c r="C2298" t="s">
        <v>412</v>
      </c>
      <c r="D2298" t="str">
        <f>HYPERLINK("http://service.sap.com/sap/support/notes/1558679","1558679")</f>
        <v>1558679</v>
      </c>
      <c r="E2298">
        <v>1</v>
      </c>
      <c r="F2298" t="s">
        <v>2480</v>
      </c>
    </row>
    <row r="2299" spans="1:6" x14ac:dyDescent="0.25">
      <c r="A2299" t="s">
        <v>2565</v>
      </c>
      <c r="B2299" t="s">
        <v>415</v>
      </c>
      <c r="C2299" t="s">
        <v>416</v>
      </c>
      <c r="D2299" t="str">
        <f>HYPERLINK("http://service.sap.com/sap/support/notes/1550355","1550355")</f>
        <v>1550355</v>
      </c>
      <c r="E2299">
        <v>1</v>
      </c>
      <c r="F2299" t="s">
        <v>1666</v>
      </c>
    </row>
    <row r="2300" spans="1:6" x14ac:dyDescent="0.25">
      <c r="A2300" t="s">
        <v>2565</v>
      </c>
      <c r="B2300" t="s">
        <v>415</v>
      </c>
      <c r="C2300" t="s">
        <v>416</v>
      </c>
      <c r="D2300" t="str">
        <f>HYPERLINK("http://service.sap.com/sap/support/notes/1552388","1552388")</f>
        <v>1552388</v>
      </c>
      <c r="E2300">
        <v>1</v>
      </c>
      <c r="F2300" t="s">
        <v>2481</v>
      </c>
    </row>
    <row r="2301" spans="1:6" x14ac:dyDescent="0.25">
      <c r="A2301" t="s">
        <v>2565</v>
      </c>
      <c r="B2301" t="s">
        <v>415</v>
      </c>
      <c r="C2301" t="s">
        <v>416</v>
      </c>
      <c r="D2301" t="str">
        <f>HYPERLINK("http://service.sap.com/sap/support/notes/1552435","1552435")</f>
        <v>1552435</v>
      </c>
      <c r="E2301">
        <v>1</v>
      </c>
      <c r="F2301" t="s">
        <v>2482</v>
      </c>
    </row>
    <row r="2302" spans="1:6" x14ac:dyDescent="0.25">
      <c r="A2302" t="s">
        <v>2565</v>
      </c>
      <c r="B2302" t="s">
        <v>415</v>
      </c>
      <c r="C2302" t="s">
        <v>416</v>
      </c>
      <c r="D2302" t="str">
        <f>HYPERLINK("http://service.sap.com/sap/support/notes/1554073","1554073")</f>
        <v>1554073</v>
      </c>
      <c r="E2302">
        <v>1</v>
      </c>
      <c r="F2302" t="s">
        <v>1670</v>
      </c>
    </row>
    <row r="2303" spans="1:6" x14ac:dyDescent="0.25">
      <c r="A2303" t="s">
        <v>2565</v>
      </c>
      <c r="B2303" t="s">
        <v>415</v>
      </c>
      <c r="C2303" t="s">
        <v>416</v>
      </c>
      <c r="D2303" t="str">
        <f>HYPERLINK("http://service.sap.com/sap/support/notes/1555359","1555359")</f>
        <v>1555359</v>
      </c>
      <c r="E2303">
        <v>2</v>
      </c>
      <c r="F2303" t="s">
        <v>2483</v>
      </c>
    </row>
    <row r="2304" spans="1:6" x14ac:dyDescent="0.25">
      <c r="A2304" t="s">
        <v>2565</v>
      </c>
      <c r="B2304" t="s">
        <v>415</v>
      </c>
      <c r="C2304" t="s">
        <v>416</v>
      </c>
      <c r="D2304" t="str">
        <f>HYPERLINK("http://service.sap.com/sap/support/notes/1556582","1556582")</f>
        <v>1556582</v>
      </c>
      <c r="E2304">
        <v>1</v>
      </c>
      <c r="F2304" t="s">
        <v>2484</v>
      </c>
    </row>
    <row r="2305" spans="1:6" x14ac:dyDescent="0.25">
      <c r="A2305" t="s">
        <v>2565</v>
      </c>
      <c r="B2305" t="s">
        <v>415</v>
      </c>
      <c r="C2305" t="s">
        <v>416</v>
      </c>
      <c r="D2305" t="str">
        <f>HYPERLINK("http://service.sap.com/sap/support/notes/1557052","1557052")</f>
        <v>1557052</v>
      </c>
      <c r="E2305">
        <v>1</v>
      </c>
      <c r="F2305" t="s">
        <v>2485</v>
      </c>
    </row>
    <row r="2306" spans="1:6" x14ac:dyDescent="0.25">
      <c r="A2306" t="s">
        <v>2565</v>
      </c>
      <c r="B2306" t="s">
        <v>425</v>
      </c>
      <c r="C2306" t="s">
        <v>426</v>
      </c>
      <c r="D2306" t="str">
        <f>HYPERLINK("http://service.sap.com/sap/support/notes/1472773","1472773")</f>
        <v>1472773</v>
      </c>
      <c r="E2306">
        <v>2</v>
      </c>
      <c r="F2306" t="s">
        <v>2486</v>
      </c>
    </row>
    <row r="2307" spans="1:6" x14ac:dyDescent="0.25">
      <c r="A2307" t="s">
        <v>2565</v>
      </c>
      <c r="B2307" t="s">
        <v>431</v>
      </c>
      <c r="C2307" t="s">
        <v>432</v>
      </c>
      <c r="D2307" t="str">
        <f>HYPERLINK("http://service.sap.com/sap/support/notes/1532940","1532940")</f>
        <v>1532940</v>
      </c>
      <c r="E2307">
        <v>1</v>
      </c>
      <c r="F2307" t="s">
        <v>2487</v>
      </c>
    </row>
    <row r="2308" spans="1:6" x14ac:dyDescent="0.25">
      <c r="A2308" t="s">
        <v>2565</v>
      </c>
      <c r="B2308" t="s">
        <v>431</v>
      </c>
      <c r="C2308" t="s">
        <v>432</v>
      </c>
      <c r="D2308" t="str">
        <f>HYPERLINK("http://service.sap.com/sap/support/notes/1533614","1533614")</f>
        <v>1533614</v>
      </c>
      <c r="E2308">
        <v>1</v>
      </c>
      <c r="F2308" t="s">
        <v>2488</v>
      </c>
    </row>
    <row r="2309" spans="1:6" x14ac:dyDescent="0.25">
      <c r="A2309" t="s">
        <v>2565</v>
      </c>
      <c r="B2309" t="s">
        <v>431</v>
      </c>
      <c r="C2309" t="s">
        <v>432</v>
      </c>
      <c r="D2309" t="str">
        <f>HYPERLINK("http://service.sap.com/sap/support/notes/1555019","1555019")</f>
        <v>1555019</v>
      </c>
      <c r="E2309">
        <v>1</v>
      </c>
      <c r="F2309" t="s">
        <v>2489</v>
      </c>
    </row>
    <row r="2310" spans="1:6" x14ac:dyDescent="0.25">
      <c r="A2310" t="s">
        <v>2565</v>
      </c>
      <c r="B2310" t="s">
        <v>431</v>
      </c>
      <c r="C2310" t="s">
        <v>432</v>
      </c>
      <c r="D2310" t="str">
        <f>HYPERLINK("http://service.sap.com/sap/support/notes/1555515","1555515")</f>
        <v>1555515</v>
      </c>
      <c r="E2310">
        <v>2</v>
      </c>
      <c r="F2310" t="s">
        <v>2490</v>
      </c>
    </row>
    <row r="2311" spans="1:6" x14ac:dyDescent="0.25">
      <c r="A2311" t="s">
        <v>2565</v>
      </c>
      <c r="B2311" t="s">
        <v>431</v>
      </c>
      <c r="C2311" t="s">
        <v>432</v>
      </c>
      <c r="D2311" t="str">
        <f>HYPERLINK("http://service.sap.com/sap/support/notes/1555673","1555673")</f>
        <v>1555673</v>
      </c>
      <c r="E2311">
        <v>3</v>
      </c>
      <c r="F2311" t="s">
        <v>2491</v>
      </c>
    </row>
    <row r="2312" spans="1:6" x14ac:dyDescent="0.25">
      <c r="A2312" t="s">
        <v>2565</v>
      </c>
      <c r="B2312" t="s">
        <v>431</v>
      </c>
      <c r="C2312" t="s">
        <v>432</v>
      </c>
      <c r="D2312" t="str">
        <f>HYPERLINK("http://service.sap.com/sap/support/notes/1556225","1556225")</f>
        <v>1556225</v>
      </c>
      <c r="E2312">
        <v>2</v>
      </c>
      <c r="F2312" t="s">
        <v>2492</v>
      </c>
    </row>
    <row r="2313" spans="1:6" x14ac:dyDescent="0.25">
      <c r="A2313" t="s">
        <v>2565</v>
      </c>
      <c r="B2313" t="s">
        <v>436</v>
      </c>
      <c r="C2313" t="s">
        <v>437</v>
      </c>
      <c r="D2313" t="str">
        <f>HYPERLINK("http://service.sap.com/sap/support/notes/1536638","1536638")</f>
        <v>1536638</v>
      </c>
      <c r="E2313">
        <v>1</v>
      </c>
      <c r="F2313" t="s">
        <v>2493</v>
      </c>
    </row>
    <row r="2314" spans="1:6" x14ac:dyDescent="0.25">
      <c r="A2314" t="s">
        <v>2565</v>
      </c>
      <c r="B2314" t="s">
        <v>436</v>
      </c>
      <c r="C2314" t="s">
        <v>437</v>
      </c>
      <c r="D2314" t="str">
        <f>HYPERLINK("http://service.sap.com/sap/support/notes/1553123","1553123")</f>
        <v>1553123</v>
      </c>
      <c r="E2314">
        <v>1</v>
      </c>
      <c r="F2314" t="s">
        <v>2494</v>
      </c>
    </row>
    <row r="2315" spans="1:6" x14ac:dyDescent="0.25">
      <c r="A2315" t="s">
        <v>2565</v>
      </c>
      <c r="B2315" t="s">
        <v>436</v>
      </c>
      <c r="C2315" t="s">
        <v>437</v>
      </c>
      <c r="D2315" t="str">
        <f>HYPERLINK("http://service.sap.com/sap/support/notes/1554928","1554928")</f>
        <v>1554928</v>
      </c>
      <c r="E2315">
        <v>1</v>
      </c>
      <c r="F2315" t="s">
        <v>2495</v>
      </c>
    </row>
    <row r="2316" spans="1:6" x14ac:dyDescent="0.25">
      <c r="A2316" t="s">
        <v>2565</v>
      </c>
      <c r="B2316" t="s">
        <v>440</v>
      </c>
      <c r="C2316" t="s">
        <v>441</v>
      </c>
      <c r="D2316" t="str">
        <f>HYPERLINK("http://service.sap.com/sap/support/notes/1060820","1060820")</f>
        <v>1060820</v>
      </c>
      <c r="E2316">
        <v>1</v>
      </c>
      <c r="F2316" t="s">
        <v>2104</v>
      </c>
    </row>
    <row r="2317" spans="1:6" x14ac:dyDescent="0.25">
      <c r="A2317" t="s">
        <v>2565</v>
      </c>
      <c r="B2317" t="s">
        <v>440</v>
      </c>
      <c r="C2317" t="s">
        <v>441</v>
      </c>
      <c r="D2317" t="str">
        <f>HYPERLINK("http://service.sap.com/sap/support/notes/1551964","1551964")</f>
        <v>1551964</v>
      </c>
      <c r="E2317">
        <v>2</v>
      </c>
      <c r="F2317" t="s">
        <v>2496</v>
      </c>
    </row>
    <row r="2318" spans="1:6" x14ac:dyDescent="0.25">
      <c r="A2318" t="s">
        <v>2565</v>
      </c>
      <c r="B2318" t="s">
        <v>440</v>
      </c>
      <c r="C2318" t="s">
        <v>441</v>
      </c>
      <c r="D2318" t="str">
        <f>HYPERLINK("http://service.sap.com/sap/support/notes/1552591","1552591")</f>
        <v>1552591</v>
      </c>
      <c r="E2318">
        <v>3</v>
      </c>
      <c r="F2318" t="s">
        <v>2497</v>
      </c>
    </row>
    <row r="2319" spans="1:6" x14ac:dyDescent="0.25">
      <c r="A2319" t="s">
        <v>2565</v>
      </c>
      <c r="B2319" t="s">
        <v>440</v>
      </c>
      <c r="C2319" t="s">
        <v>441</v>
      </c>
      <c r="D2319" t="str">
        <f>HYPERLINK("http://service.sap.com/sap/support/notes/1553929","1553929")</f>
        <v>1553929</v>
      </c>
      <c r="E2319">
        <v>2</v>
      </c>
      <c r="F2319" t="s">
        <v>2498</v>
      </c>
    </row>
    <row r="2320" spans="1:6" x14ac:dyDescent="0.25">
      <c r="A2320" t="s">
        <v>2565</v>
      </c>
      <c r="B2320" t="s">
        <v>449</v>
      </c>
      <c r="C2320" t="s">
        <v>450</v>
      </c>
      <c r="D2320" t="str">
        <f>HYPERLINK("http://service.sap.com/sap/support/notes/1552626","1552626")</f>
        <v>1552626</v>
      </c>
      <c r="E2320">
        <v>1</v>
      </c>
      <c r="F2320" t="s">
        <v>2499</v>
      </c>
    </row>
    <row r="2321" spans="1:6" x14ac:dyDescent="0.25">
      <c r="A2321" t="s">
        <v>2565</v>
      </c>
      <c r="B2321" t="s">
        <v>449</v>
      </c>
      <c r="C2321" t="s">
        <v>450</v>
      </c>
      <c r="D2321" t="str">
        <f>HYPERLINK("http://service.sap.com/sap/support/notes/1553496","1553496")</f>
        <v>1553496</v>
      </c>
      <c r="E2321">
        <v>2</v>
      </c>
      <c r="F2321" t="s">
        <v>2500</v>
      </c>
    </row>
    <row r="2322" spans="1:6" x14ac:dyDescent="0.25">
      <c r="A2322" t="s">
        <v>2565</v>
      </c>
      <c r="B2322" t="s">
        <v>449</v>
      </c>
      <c r="C2322" t="s">
        <v>450</v>
      </c>
      <c r="D2322" t="str">
        <f>HYPERLINK("http://service.sap.com/sap/support/notes/1555158","1555158")</f>
        <v>1555158</v>
      </c>
      <c r="E2322">
        <v>9</v>
      </c>
      <c r="F2322" t="s">
        <v>2501</v>
      </c>
    </row>
    <row r="2323" spans="1:6" x14ac:dyDescent="0.25">
      <c r="A2323" t="s">
        <v>2565</v>
      </c>
      <c r="B2323" t="s">
        <v>449</v>
      </c>
      <c r="C2323" t="s">
        <v>450</v>
      </c>
      <c r="D2323" t="str">
        <f>HYPERLINK("http://service.sap.com/sap/support/notes/1556560","1556560")</f>
        <v>1556560</v>
      </c>
      <c r="E2323">
        <v>4</v>
      </c>
      <c r="F2323" t="s">
        <v>2502</v>
      </c>
    </row>
    <row r="2324" spans="1:6" x14ac:dyDescent="0.25">
      <c r="A2324" t="s">
        <v>2565</v>
      </c>
      <c r="B2324" t="s">
        <v>449</v>
      </c>
      <c r="C2324" t="s">
        <v>450</v>
      </c>
      <c r="D2324" t="str">
        <f>HYPERLINK("http://service.sap.com/sap/support/notes/1559309","1559309")</f>
        <v>1559309</v>
      </c>
      <c r="E2324">
        <v>4</v>
      </c>
      <c r="F2324" t="s">
        <v>2503</v>
      </c>
    </row>
    <row r="2325" spans="1:6" x14ac:dyDescent="0.25">
      <c r="A2325" t="s">
        <v>2565</v>
      </c>
      <c r="B2325" t="s">
        <v>449</v>
      </c>
      <c r="C2325" t="s">
        <v>450</v>
      </c>
      <c r="D2325" t="str">
        <f>HYPERLINK("http://service.sap.com/sap/support/notes/1559731","1559731")</f>
        <v>1559731</v>
      </c>
      <c r="E2325">
        <v>6</v>
      </c>
      <c r="F2325" t="s">
        <v>2504</v>
      </c>
    </row>
    <row r="2326" spans="1:6" x14ac:dyDescent="0.25">
      <c r="A2326" t="s">
        <v>2565</v>
      </c>
      <c r="B2326" t="s">
        <v>460</v>
      </c>
      <c r="C2326" t="s">
        <v>461</v>
      </c>
      <c r="D2326" t="str">
        <f>HYPERLINK("http://service.sap.com/sap/support/notes/1548206","1548206")</f>
        <v>1548206</v>
      </c>
      <c r="E2326">
        <v>1</v>
      </c>
      <c r="F2326" t="s">
        <v>2505</v>
      </c>
    </row>
    <row r="2327" spans="1:6" x14ac:dyDescent="0.25">
      <c r="A2327" t="s">
        <v>2565</v>
      </c>
      <c r="B2327" t="s">
        <v>460</v>
      </c>
      <c r="C2327" t="s">
        <v>461</v>
      </c>
      <c r="D2327" t="str">
        <f>HYPERLINK("http://service.sap.com/sap/support/notes/1551710","1551710")</f>
        <v>1551710</v>
      </c>
      <c r="E2327">
        <v>4</v>
      </c>
      <c r="F2327" t="s">
        <v>1688</v>
      </c>
    </row>
    <row r="2328" spans="1:6" x14ac:dyDescent="0.25">
      <c r="A2328" t="s">
        <v>2565</v>
      </c>
      <c r="B2328" t="s">
        <v>460</v>
      </c>
      <c r="C2328" t="s">
        <v>461</v>
      </c>
      <c r="D2328" t="str">
        <f>HYPERLINK("http://service.sap.com/sap/support/notes/1552239","1552239")</f>
        <v>1552239</v>
      </c>
      <c r="E2328">
        <v>1</v>
      </c>
      <c r="F2328" t="s">
        <v>2506</v>
      </c>
    </row>
    <row r="2329" spans="1:6" x14ac:dyDescent="0.25">
      <c r="A2329" t="s">
        <v>2565</v>
      </c>
      <c r="B2329" t="s">
        <v>460</v>
      </c>
      <c r="C2329" t="s">
        <v>461</v>
      </c>
      <c r="D2329" t="str">
        <f>HYPERLINK("http://service.sap.com/sap/support/notes/1553343","1553343")</f>
        <v>1553343</v>
      </c>
      <c r="E2329">
        <v>1</v>
      </c>
      <c r="F2329" t="s">
        <v>2507</v>
      </c>
    </row>
    <row r="2330" spans="1:6" x14ac:dyDescent="0.25">
      <c r="A2330" t="s">
        <v>2565</v>
      </c>
      <c r="B2330" t="s">
        <v>460</v>
      </c>
      <c r="C2330" t="s">
        <v>461</v>
      </c>
      <c r="D2330" t="str">
        <f>HYPERLINK("http://service.sap.com/sap/support/notes/1554935","1554935")</f>
        <v>1554935</v>
      </c>
      <c r="E2330">
        <v>4</v>
      </c>
      <c r="F2330" t="s">
        <v>2508</v>
      </c>
    </row>
    <row r="2331" spans="1:6" x14ac:dyDescent="0.25">
      <c r="A2331" t="s">
        <v>2565</v>
      </c>
      <c r="B2331" t="s">
        <v>460</v>
      </c>
      <c r="C2331" t="s">
        <v>461</v>
      </c>
      <c r="D2331" t="str">
        <f>HYPERLINK("http://service.sap.com/sap/support/notes/1554962","1554962")</f>
        <v>1554962</v>
      </c>
      <c r="E2331">
        <v>2</v>
      </c>
      <c r="F2331" t="s">
        <v>2509</v>
      </c>
    </row>
    <row r="2332" spans="1:6" x14ac:dyDescent="0.25">
      <c r="A2332" t="s">
        <v>2565</v>
      </c>
      <c r="B2332" t="s">
        <v>460</v>
      </c>
      <c r="C2332" t="s">
        <v>461</v>
      </c>
      <c r="D2332" t="str">
        <f>HYPERLINK("http://service.sap.com/sap/support/notes/1555598","1555598")</f>
        <v>1555598</v>
      </c>
      <c r="E2332">
        <v>1</v>
      </c>
      <c r="F2332" t="s">
        <v>2510</v>
      </c>
    </row>
    <row r="2333" spans="1:6" x14ac:dyDescent="0.25">
      <c r="A2333" t="s">
        <v>2565</v>
      </c>
      <c r="B2333" t="s">
        <v>460</v>
      </c>
      <c r="C2333" t="s">
        <v>461</v>
      </c>
      <c r="D2333" t="str">
        <f>HYPERLINK("http://service.sap.com/sap/support/notes/1555858","1555858")</f>
        <v>1555858</v>
      </c>
      <c r="E2333">
        <v>2</v>
      </c>
      <c r="F2333" t="s">
        <v>2511</v>
      </c>
    </row>
    <row r="2334" spans="1:6" x14ac:dyDescent="0.25">
      <c r="A2334" t="s">
        <v>2565</v>
      </c>
      <c r="B2334" t="s">
        <v>460</v>
      </c>
      <c r="C2334" t="s">
        <v>461</v>
      </c>
      <c r="D2334" t="str">
        <f>HYPERLINK("http://service.sap.com/sap/support/notes/1556415","1556415")</f>
        <v>1556415</v>
      </c>
      <c r="E2334">
        <v>5</v>
      </c>
      <c r="F2334" t="s">
        <v>2512</v>
      </c>
    </row>
    <row r="2335" spans="1:6" x14ac:dyDescent="0.25">
      <c r="A2335" t="s">
        <v>2565</v>
      </c>
      <c r="B2335" t="s">
        <v>460</v>
      </c>
      <c r="C2335" t="s">
        <v>461</v>
      </c>
      <c r="D2335" t="str">
        <f>HYPERLINK("http://service.sap.com/sap/support/notes/1556454","1556454")</f>
        <v>1556454</v>
      </c>
      <c r="E2335">
        <v>1</v>
      </c>
      <c r="F2335" t="s">
        <v>2513</v>
      </c>
    </row>
    <row r="2336" spans="1:6" x14ac:dyDescent="0.25">
      <c r="A2336" t="s">
        <v>2565</v>
      </c>
      <c r="B2336" t="s">
        <v>460</v>
      </c>
      <c r="C2336" t="s">
        <v>461</v>
      </c>
      <c r="D2336" t="str">
        <f>HYPERLINK("http://service.sap.com/sap/support/notes/1557595","1557595")</f>
        <v>1557595</v>
      </c>
      <c r="E2336">
        <v>2</v>
      </c>
      <c r="F2336" t="s">
        <v>2514</v>
      </c>
    </row>
    <row r="2337" spans="1:6" x14ac:dyDescent="0.25">
      <c r="A2337" t="s">
        <v>2565</v>
      </c>
      <c r="B2337" t="s">
        <v>460</v>
      </c>
      <c r="C2337" t="s">
        <v>461</v>
      </c>
      <c r="D2337" t="str">
        <f>HYPERLINK("http://service.sap.com/sap/support/notes/1557735","1557735")</f>
        <v>1557735</v>
      </c>
      <c r="E2337">
        <v>1</v>
      </c>
      <c r="F2337" t="s">
        <v>2515</v>
      </c>
    </row>
    <row r="2338" spans="1:6" x14ac:dyDescent="0.25">
      <c r="A2338" t="s">
        <v>2565</v>
      </c>
      <c r="B2338" t="s">
        <v>460</v>
      </c>
      <c r="C2338" t="s">
        <v>461</v>
      </c>
      <c r="D2338" t="str">
        <f>HYPERLINK("http://service.sap.com/sap/support/notes/1559141","1559141")</f>
        <v>1559141</v>
      </c>
      <c r="E2338">
        <v>1</v>
      </c>
      <c r="F2338" t="s">
        <v>2516</v>
      </c>
    </row>
    <row r="2339" spans="1:6" x14ac:dyDescent="0.25">
      <c r="A2339" t="s">
        <v>2565</v>
      </c>
      <c r="B2339" t="s">
        <v>460</v>
      </c>
      <c r="C2339" t="s">
        <v>461</v>
      </c>
      <c r="D2339" t="str">
        <f>HYPERLINK("http://service.sap.com/sap/support/notes/1559978","1559978")</f>
        <v>1559978</v>
      </c>
      <c r="E2339">
        <v>1</v>
      </c>
      <c r="F2339" t="s">
        <v>2517</v>
      </c>
    </row>
    <row r="2340" spans="1:6" x14ac:dyDescent="0.25">
      <c r="A2340" t="s">
        <v>2565</v>
      </c>
      <c r="B2340" t="s">
        <v>472</v>
      </c>
      <c r="C2340" t="s">
        <v>473</v>
      </c>
      <c r="D2340" t="str">
        <f>HYPERLINK("http://service.sap.com/sap/support/notes/1548042","1548042")</f>
        <v>1548042</v>
      </c>
      <c r="E2340">
        <v>3</v>
      </c>
      <c r="F2340" t="s">
        <v>2518</v>
      </c>
    </row>
    <row r="2341" spans="1:6" x14ac:dyDescent="0.25">
      <c r="A2341" t="s">
        <v>2565</v>
      </c>
      <c r="B2341" t="s">
        <v>472</v>
      </c>
      <c r="C2341" t="s">
        <v>473</v>
      </c>
      <c r="D2341" t="str">
        <f>HYPERLINK("http://service.sap.com/sap/support/notes/1548655","1548655")</f>
        <v>1548655</v>
      </c>
      <c r="E2341">
        <v>1</v>
      </c>
      <c r="F2341" t="s">
        <v>2519</v>
      </c>
    </row>
    <row r="2342" spans="1:6" x14ac:dyDescent="0.25">
      <c r="A2342" t="s">
        <v>2565</v>
      </c>
      <c r="B2342" t="s">
        <v>472</v>
      </c>
      <c r="C2342" t="s">
        <v>473</v>
      </c>
      <c r="D2342" t="str">
        <f>HYPERLINK("http://service.sap.com/sap/support/notes/1551232","1551232")</f>
        <v>1551232</v>
      </c>
      <c r="E2342">
        <v>1</v>
      </c>
      <c r="F2342" t="s">
        <v>2520</v>
      </c>
    </row>
    <row r="2343" spans="1:6" x14ac:dyDescent="0.25">
      <c r="A2343" t="s">
        <v>2565</v>
      </c>
      <c r="B2343" t="s">
        <v>472</v>
      </c>
      <c r="C2343" t="s">
        <v>473</v>
      </c>
      <c r="D2343" t="str">
        <f>HYPERLINK("http://service.sap.com/sap/support/notes/1553050","1553050")</f>
        <v>1553050</v>
      </c>
      <c r="E2343">
        <v>1</v>
      </c>
      <c r="F2343" t="s">
        <v>2521</v>
      </c>
    </row>
    <row r="2344" spans="1:6" x14ac:dyDescent="0.25">
      <c r="A2344" t="s">
        <v>2565</v>
      </c>
      <c r="B2344" t="s">
        <v>472</v>
      </c>
      <c r="C2344" t="s">
        <v>473</v>
      </c>
      <c r="D2344" t="str">
        <f>HYPERLINK("http://service.sap.com/sap/support/notes/1553718","1553718")</f>
        <v>1553718</v>
      </c>
      <c r="E2344">
        <v>1</v>
      </c>
      <c r="F2344" t="s">
        <v>2522</v>
      </c>
    </row>
    <row r="2345" spans="1:6" x14ac:dyDescent="0.25">
      <c r="A2345" t="s">
        <v>2565</v>
      </c>
      <c r="B2345" t="s">
        <v>472</v>
      </c>
      <c r="C2345" t="s">
        <v>473</v>
      </c>
      <c r="D2345" t="str">
        <f>HYPERLINK("http://service.sap.com/sap/support/notes/1555852","1555852")</f>
        <v>1555852</v>
      </c>
      <c r="E2345">
        <v>2</v>
      </c>
      <c r="F2345" t="s">
        <v>2523</v>
      </c>
    </row>
    <row r="2346" spans="1:6" x14ac:dyDescent="0.25">
      <c r="A2346" t="s">
        <v>2565</v>
      </c>
      <c r="B2346" t="s">
        <v>472</v>
      </c>
      <c r="C2346" t="s">
        <v>473</v>
      </c>
      <c r="D2346" t="str">
        <f>HYPERLINK("http://service.sap.com/sap/support/notes/1556835","1556835")</f>
        <v>1556835</v>
      </c>
      <c r="E2346">
        <v>2</v>
      </c>
      <c r="F2346" t="s">
        <v>2524</v>
      </c>
    </row>
    <row r="2347" spans="1:6" x14ac:dyDescent="0.25">
      <c r="A2347" t="s">
        <v>2565</v>
      </c>
      <c r="B2347" t="s">
        <v>472</v>
      </c>
      <c r="C2347" t="s">
        <v>473</v>
      </c>
      <c r="D2347" t="str">
        <f>HYPERLINK("http://service.sap.com/sap/support/notes/1558986","1558986")</f>
        <v>1558986</v>
      </c>
      <c r="E2347">
        <v>1</v>
      </c>
      <c r="F2347" t="s">
        <v>2525</v>
      </c>
    </row>
    <row r="2348" spans="1:6" x14ac:dyDescent="0.25">
      <c r="A2348" t="s">
        <v>2565</v>
      </c>
      <c r="B2348" t="s">
        <v>472</v>
      </c>
      <c r="C2348" t="s">
        <v>473</v>
      </c>
      <c r="D2348" t="str">
        <f>HYPERLINK("http://service.sap.com/sap/support/notes/1560379","1560379")</f>
        <v>1560379</v>
      </c>
      <c r="E2348">
        <v>1</v>
      </c>
      <c r="F2348" t="s">
        <v>2526</v>
      </c>
    </row>
    <row r="2349" spans="1:6" x14ac:dyDescent="0.25">
      <c r="A2349" t="s">
        <v>2565</v>
      </c>
      <c r="B2349" t="s">
        <v>479</v>
      </c>
      <c r="C2349" t="s">
        <v>480</v>
      </c>
      <c r="D2349" t="str">
        <f>HYPERLINK("http://service.sap.com/sap/support/notes/1493459","1493459")</f>
        <v>1493459</v>
      </c>
      <c r="E2349">
        <v>1</v>
      </c>
      <c r="F2349" t="s">
        <v>2527</v>
      </c>
    </row>
    <row r="2350" spans="1:6" x14ac:dyDescent="0.25">
      <c r="A2350" t="s">
        <v>2565</v>
      </c>
      <c r="B2350" t="s">
        <v>479</v>
      </c>
      <c r="C2350" t="s">
        <v>480</v>
      </c>
      <c r="D2350" t="str">
        <f>HYPERLINK("http://service.sap.com/sap/support/notes/1552228","1552228")</f>
        <v>1552228</v>
      </c>
      <c r="E2350">
        <v>1</v>
      </c>
      <c r="F2350" t="s">
        <v>2528</v>
      </c>
    </row>
    <row r="2351" spans="1:6" x14ac:dyDescent="0.25">
      <c r="A2351" t="s">
        <v>2565</v>
      </c>
      <c r="B2351" t="s">
        <v>479</v>
      </c>
      <c r="C2351" t="s">
        <v>480</v>
      </c>
      <c r="D2351" t="str">
        <f>HYPERLINK("http://service.sap.com/sap/support/notes/1552311","1552311")</f>
        <v>1552311</v>
      </c>
      <c r="E2351">
        <v>2</v>
      </c>
      <c r="F2351" t="s">
        <v>2529</v>
      </c>
    </row>
    <row r="2352" spans="1:6" x14ac:dyDescent="0.25">
      <c r="A2352" t="s">
        <v>2565</v>
      </c>
      <c r="B2352" t="s">
        <v>479</v>
      </c>
      <c r="C2352" t="s">
        <v>480</v>
      </c>
      <c r="D2352" t="str">
        <f>HYPERLINK("http://service.sap.com/sap/support/notes/1553681","1553681")</f>
        <v>1553681</v>
      </c>
      <c r="E2352">
        <v>1</v>
      </c>
      <c r="F2352" t="s">
        <v>2530</v>
      </c>
    </row>
    <row r="2353" spans="1:6" x14ac:dyDescent="0.25">
      <c r="A2353" t="s">
        <v>2565</v>
      </c>
      <c r="B2353" t="s">
        <v>479</v>
      </c>
      <c r="C2353" t="s">
        <v>480</v>
      </c>
      <c r="D2353" t="str">
        <f>HYPERLINK("http://service.sap.com/sap/support/notes/1557103","1557103")</f>
        <v>1557103</v>
      </c>
      <c r="E2353">
        <v>1</v>
      </c>
      <c r="F2353" t="s">
        <v>2531</v>
      </c>
    </row>
    <row r="2354" spans="1:6" x14ac:dyDescent="0.25">
      <c r="A2354" t="s">
        <v>2565</v>
      </c>
      <c r="B2354" t="s">
        <v>479</v>
      </c>
      <c r="C2354" t="s">
        <v>480</v>
      </c>
      <c r="D2354" t="str">
        <f>HYPERLINK("http://service.sap.com/sap/support/notes/1558932","1558932")</f>
        <v>1558932</v>
      </c>
      <c r="E2354">
        <v>1</v>
      </c>
      <c r="F2354" t="s">
        <v>2532</v>
      </c>
    </row>
    <row r="2355" spans="1:6" x14ac:dyDescent="0.25">
      <c r="A2355" t="s">
        <v>2565</v>
      </c>
      <c r="B2355" t="s">
        <v>479</v>
      </c>
      <c r="C2355" t="s">
        <v>480</v>
      </c>
      <c r="D2355" t="str">
        <f>HYPERLINK("http://service.sap.com/sap/support/notes/1560434","1560434")</f>
        <v>1560434</v>
      </c>
      <c r="E2355">
        <v>1</v>
      </c>
      <c r="F2355" t="s">
        <v>2533</v>
      </c>
    </row>
    <row r="2356" spans="1:6" x14ac:dyDescent="0.25">
      <c r="A2356" t="s">
        <v>2565</v>
      </c>
      <c r="B2356" t="s">
        <v>487</v>
      </c>
      <c r="C2356" t="s">
        <v>153</v>
      </c>
      <c r="D2356" t="str">
        <f>HYPERLINK("http://service.sap.com/sap/support/notes/1521132","1521132")</f>
        <v>1521132</v>
      </c>
      <c r="E2356">
        <v>1</v>
      </c>
      <c r="F2356" t="s">
        <v>2534</v>
      </c>
    </row>
    <row r="2357" spans="1:6" x14ac:dyDescent="0.25">
      <c r="A2357" t="s">
        <v>2565</v>
      </c>
      <c r="B2357" t="s">
        <v>487</v>
      </c>
      <c r="C2357" t="s">
        <v>153</v>
      </c>
      <c r="D2357" t="str">
        <f>HYPERLINK("http://service.sap.com/sap/support/notes/1556642","1556642")</f>
        <v>1556642</v>
      </c>
      <c r="E2357">
        <v>1</v>
      </c>
      <c r="F2357" t="s">
        <v>2535</v>
      </c>
    </row>
    <row r="2358" spans="1:6" x14ac:dyDescent="0.25">
      <c r="A2358" t="s">
        <v>2565</v>
      </c>
      <c r="B2358" t="s">
        <v>489</v>
      </c>
      <c r="C2358" t="s">
        <v>104</v>
      </c>
      <c r="D2358" t="str">
        <f>HYPERLINK("http://service.sap.com/sap/support/notes/1552171","1552171")</f>
        <v>1552171</v>
      </c>
      <c r="E2358">
        <v>1</v>
      </c>
      <c r="F2358" t="s">
        <v>2536</v>
      </c>
    </row>
    <row r="2359" spans="1:6" x14ac:dyDescent="0.25">
      <c r="A2359" t="s">
        <v>2565</v>
      </c>
      <c r="B2359" t="s">
        <v>489</v>
      </c>
      <c r="C2359" t="s">
        <v>104</v>
      </c>
      <c r="D2359" t="str">
        <f>HYPERLINK("http://service.sap.com/sap/support/notes/1553650","1553650")</f>
        <v>1553650</v>
      </c>
      <c r="E2359">
        <v>1</v>
      </c>
      <c r="F2359" t="s">
        <v>2537</v>
      </c>
    </row>
    <row r="2360" spans="1:6" x14ac:dyDescent="0.25">
      <c r="A2360" t="s">
        <v>2565</v>
      </c>
      <c r="B2360" t="s">
        <v>489</v>
      </c>
      <c r="C2360" t="s">
        <v>104</v>
      </c>
      <c r="D2360" t="str">
        <f>HYPERLINK("http://service.sap.com/sap/support/notes/1557697","1557697")</f>
        <v>1557697</v>
      </c>
      <c r="E2360">
        <v>1</v>
      </c>
      <c r="F2360" t="s">
        <v>2538</v>
      </c>
    </row>
    <row r="2361" spans="1:6" x14ac:dyDescent="0.25">
      <c r="A2361" t="s">
        <v>2565</v>
      </c>
      <c r="B2361" t="s">
        <v>495</v>
      </c>
      <c r="C2361" t="s">
        <v>496</v>
      </c>
      <c r="D2361" t="str">
        <f>HYPERLINK("http://service.sap.com/sap/support/notes/1552265","1552265")</f>
        <v>1552265</v>
      </c>
      <c r="E2361">
        <v>1</v>
      </c>
      <c r="F2361" t="s">
        <v>2539</v>
      </c>
    </row>
    <row r="2362" spans="1:6" x14ac:dyDescent="0.25">
      <c r="A2362" t="s">
        <v>2565</v>
      </c>
      <c r="B2362" t="s">
        <v>499</v>
      </c>
      <c r="C2362" t="s">
        <v>108</v>
      </c>
    </row>
    <row r="2363" spans="1:6" x14ac:dyDescent="0.25">
      <c r="A2363" t="s">
        <v>2565</v>
      </c>
      <c r="B2363" t="s">
        <v>2540</v>
      </c>
      <c r="C2363" t="s">
        <v>251</v>
      </c>
    </row>
    <row r="2364" spans="1:6" x14ac:dyDescent="0.25">
      <c r="A2364" t="s">
        <v>2565</v>
      </c>
      <c r="B2364" t="s">
        <v>2541</v>
      </c>
      <c r="C2364" t="s">
        <v>2542</v>
      </c>
      <c r="D2364" t="str">
        <f>HYPERLINK("http://service.sap.com/sap/support/notes/1518574","1518574")</f>
        <v>1518574</v>
      </c>
      <c r="E2364">
        <v>2</v>
      </c>
      <c r="F2364" t="s">
        <v>2543</v>
      </c>
    </row>
    <row r="2365" spans="1:6" x14ac:dyDescent="0.25">
      <c r="A2365" t="s">
        <v>2565</v>
      </c>
      <c r="B2365" t="s">
        <v>2541</v>
      </c>
      <c r="C2365" t="s">
        <v>2542</v>
      </c>
      <c r="D2365" t="str">
        <f>HYPERLINK("http://service.sap.com/sap/support/notes/1551655","1551655")</f>
        <v>1551655</v>
      </c>
      <c r="E2365">
        <v>1</v>
      </c>
      <c r="F2365" t="s">
        <v>2544</v>
      </c>
    </row>
    <row r="2366" spans="1:6" x14ac:dyDescent="0.25">
      <c r="A2366" t="s">
        <v>2565</v>
      </c>
      <c r="B2366" t="s">
        <v>505</v>
      </c>
      <c r="C2366" t="s">
        <v>299</v>
      </c>
      <c r="D2366" t="str">
        <f>HYPERLINK("http://service.sap.com/sap/support/notes/1517015","1517015")</f>
        <v>1517015</v>
      </c>
      <c r="E2366">
        <v>3</v>
      </c>
      <c r="F2366" t="s">
        <v>2545</v>
      </c>
    </row>
    <row r="2367" spans="1:6" x14ac:dyDescent="0.25">
      <c r="A2367" t="s">
        <v>2565</v>
      </c>
      <c r="B2367" t="s">
        <v>505</v>
      </c>
      <c r="C2367" t="s">
        <v>299</v>
      </c>
      <c r="D2367" t="str">
        <f>HYPERLINK("http://service.sap.com/sap/support/notes/1549161","1549161")</f>
        <v>1549161</v>
      </c>
      <c r="E2367">
        <v>1</v>
      </c>
      <c r="F2367" t="s">
        <v>2546</v>
      </c>
    </row>
    <row r="2368" spans="1:6" x14ac:dyDescent="0.25">
      <c r="A2368" t="s">
        <v>2565</v>
      </c>
      <c r="B2368" t="s">
        <v>508</v>
      </c>
      <c r="C2368" t="s">
        <v>509</v>
      </c>
      <c r="D2368" t="str">
        <f>HYPERLINK("http://service.sap.com/sap/support/notes/1507793","1507793")</f>
        <v>1507793</v>
      </c>
      <c r="E2368">
        <v>2</v>
      </c>
      <c r="F2368" t="s">
        <v>2547</v>
      </c>
    </row>
    <row r="2369" spans="1:6" x14ac:dyDescent="0.25">
      <c r="A2369" t="s">
        <v>2565</v>
      </c>
      <c r="B2369" t="s">
        <v>508</v>
      </c>
      <c r="C2369" t="s">
        <v>509</v>
      </c>
      <c r="D2369" t="str">
        <f>HYPERLINK("http://service.sap.com/sap/support/notes/1519975","1519975")</f>
        <v>1519975</v>
      </c>
      <c r="E2369">
        <v>8</v>
      </c>
      <c r="F2369" t="s">
        <v>2548</v>
      </c>
    </row>
    <row r="2370" spans="1:6" x14ac:dyDescent="0.25">
      <c r="A2370" t="s">
        <v>2565</v>
      </c>
      <c r="B2370" t="s">
        <v>508</v>
      </c>
      <c r="C2370" t="s">
        <v>509</v>
      </c>
      <c r="D2370" t="str">
        <f>HYPERLINK("http://service.sap.com/sap/support/notes/1548054","1548054")</f>
        <v>1548054</v>
      </c>
      <c r="E2370">
        <v>1</v>
      </c>
      <c r="F2370" t="s">
        <v>2549</v>
      </c>
    </row>
    <row r="2371" spans="1:6" x14ac:dyDescent="0.25">
      <c r="A2371" t="s">
        <v>2565</v>
      </c>
      <c r="B2371" t="s">
        <v>508</v>
      </c>
      <c r="C2371" t="s">
        <v>509</v>
      </c>
      <c r="D2371" t="str">
        <f>HYPERLINK("http://service.sap.com/sap/support/notes/1551647","1551647")</f>
        <v>1551647</v>
      </c>
      <c r="E2371">
        <v>2</v>
      </c>
      <c r="F2371" t="s">
        <v>2550</v>
      </c>
    </row>
    <row r="2372" spans="1:6" x14ac:dyDescent="0.25">
      <c r="A2372" t="s">
        <v>2565</v>
      </c>
      <c r="B2372" t="s">
        <v>508</v>
      </c>
      <c r="C2372" t="s">
        <v>509</v>
      </c>
      <c r="D2372" t="str">
        <f>HYPERLINK("http://service.sap.com/sap/support/notes/1553016","1553016")</f>
        <v>1553016</v>
      </c>
      <c r="E2372">
        <v>2</v>
      </c>
      <c r="F2372" t="s">
        <v>2551</v>
      </c>
    </row>
    <row r="2373" spans="1:6" x14ac:dyDescent="0.25">
      <c r="A2373" t="s">
        <v>2565</v>
      </c>
      <c r="B2373" t="s">
        <v>508</v>
      </c>
      <c r="C2373" t="s">
        <v>509</v>
      </c>
      <c r="D2373" t="str">
        <f>HYPERLINK("http://service.sap.com/sap/support/notes/1553053","1553053")</f>
        <v>1553053</v>
      </c>
      <c r="E2373">
        <v>1</v>
      </c>
      <c r="F2373" t="s">
        <v>2552</v>
      </c>
    </row>
    <row r="2374" spans="1:6" x14ac:dyDescent="0.25">
      <c r="A2374" t="s">
        <v>2565</v>
      </c>
      <c r="B2374" t="s">
        <v>508</v>
      </c>
      <c r="C2374" t="s">
        <v>509</v>
      </c>
      <c r="D2374" t="str">
        <f>HYPERLINK("http://service.sap.com/sap/support/notes/1553756","1553756")</f>
        <v>1553756</v>
      </c>
      <c r="E2374">
        <v>1</v>
      </c>
      <c r="F2374" t="s">
        <v>2553</v>
      </c>
    </row>
    <row r="2375" spans="1:6" x14ac:dyDescent="0.25">
      <c r="A2375" t="s">
        <v>2565</v>
      </c>
      <c r="B2375" t="s">
        <v>508</v>
      </c>
      <c r="C2375" t="s">
        <v>509</v>
      </c>
      <c r="D2375" t="str">
        <f>HYPERLINK("http://service.sap.com/sap/support/notes/1553959","1553959")</f>
        <v>1553959</v>
      </c>
      <c r="E2375">
        <v>1</v>
      </c>
      <c r="F2375" t="s">
        <v>2554</v>
      </c>
    </row>
    <row r="2376" spans="1:6" x14ac:dyDescent="0.25">
      <c r="A2376" t="s">
        <v>2565</v>
      </c>
      <c r="B2376" t="s">
        <v>508</v>
      </c>
      <c r="C2376" t="s">
        <v>509</v>
      </c>
      <c r="D2376" t="str">
        <f>HYPERLINK("http://service.sap.com/sap/support/notes/1553960","1553960")</f>
        <v>1553960</v>
      </c>
      <c r="E2376">
        <v>1</v>
      </c>
      <c r="F2376" t="s">
        <v>2555</v>
      </c>
    </row>
    <row r="2377" spans="1:6" x14ac:dyDescent="0.25">
      <c r="A2377" t="s">
        <v>2565</v>
      </c>
      <c r="B2377" t="s">
        <v>508</v>
      </c>
      <c r="C2377" t="s">
        <v>509</v>
      </c>
      <c r="D2377" t="str">
        <f>HYPERLINK("http://service.sap.com/sap/support/notes/1556108","1556108")</f>
        <v>1556108</v>
      </c>
      <c r="E2377">
        <v>1</v>
      </c>
      <c r="F2377" t="s">
        <v>2556</v>
      </c>
    </row>
    <row r="2378" spans="1:6" x14ac:dyDescent="0.25">
      <c r="A2378" t="s">
        <v>2565</v>
      </c>
      <c r="B2378" t="s">
        <v>531</v>
      </c>
      <c r="C2378" t="s">
        <v>532</v>
      </c>
      <c r="D2378" t="str">
        <f>HYPERLINK("http://service.sap.com/sap/support/notes/1558284","1558284")</f>
        <v>1558284</v>
      </c>
      <c r="E2378">
        <v>1</v>
      </c>
      <c r="F2378" t="s">
        <v>780</v>
      </c>
    </row>
    <row r="2379" spans="1:6" x14ac:dyDescent="0.25">
      <c r="A2379" t="s">
        <v>2565</v>
      </c>
      <c r="B2379" t="s">
        <v>534</v>
      </c>
      <c r="C2379" t="s">
        <v>535</v>
      </c>
      <c r="D2379" t="str">
        <f>HYPERLINK("http://service.sap.com/sap/support/notes/1543462","1543462")</f>
        <v>1543462</v>
      </c>
      <c r="E2379">
        <v>2</v>
      </c>
      <c r="F2379" t="s">
        <v>2557</v>
      </c>
    </row>
    <row r="2380" spans="1:6" x14ac:dyDescent="0.25">
      <c r="A2380" t="s">
        <v>2565</v>
      </c>
      <c r="B2380" t="s">
        <v>534</v>
      </c>
      <c r="C2380" t="s">
        <v>535</v>
      </c>
      <c r="D2380" t="str">
        <f>HYPERLINK("http://service.sap.com/sap/support/notes/1554006","1554006")</f>
        <v>1554006</v>
      </c>
      <c r="E2380">
        <v>3</v>
      </c>
      <c r="F2380" t="s">
        <v>2558</v>
      </c>
    </row>
    <row r="2381" spans="1:6" x14ac:dyDescent="0.25">
      <c r="A2381" t="s">
        <v>2565</v>
      </c>
      <c r="B2381" t="s">
        <v>534</v>
      </c>
      <c r="C2381" t="s">
        <v>535</v>
      </c>
      <c r="D2381" t="str">
        <f>HYPERLINK("http://service.sap.com/sap/support/notes/1555126","1555126")</f>
        <v>1555126</v>
      </c>
      <c r="E2381">
        <v>1</v>
      </c>
      <c r="F2381" t="s">
        <v>2559</v>
      </c>
    </row>
    <row r="2382" spans="1:6" x14ac:dyDescent="0.25">
      <c r="A2382" t="s">
        <v>2565</v>
      </c>
      <c r="B2382" t="s">
        <v>543</v>
      </c>
      <c r="C2382" t="s">
        <v>544</v>
      </c>
    </row>
    <row r="2383" spans="1:6" x14ac:dyDescent="0.25">
      <c r="A2383" t="s">
        <v>2565</v>
      </c>
      <c r="B2383" t="s">
        <v>2560</v>
      </c>
      <c r="C2383" t="s">
        <v>2561</v>
      </c>
    </row>
    <row r="2384" spans="1:6" x14ac:dyDescent="0.25">
      <c r="A2384" t="s">
        <v>2565</v>
      </c>
      <c r="B2384" t="s">
        <v>2562</v>
      </c>
      <c r="C2384" t="s">
        <v>2563</v>
      </c>
      <c r="D2384" t="str">
        <f>HYPERLINK("http://service.sap.com/sap/support/notes/1475450","1475450")</f>
        <v>1475450</v>
      </c>
      <c r="E2384">
        <v>2</v>
      </c>
      <c r="F2384" t="s">
        <v>2564</v>
      </c>
    </row>
    <row r="2385" spans="1:6" x14ac:dyDescent="0.25">
      <c r="A2385" t="s">
        <v>2948</v>
      </c>
      <c r="B2385" t="s">
        <v>5</v>
      </c>
      <c r="C2385" t="s">
        <v>6</v>
      </c>
    </row>
    <row r="2386" spans="1:6" x14ac:dyDescent="0.25">
      <c r="A2386" t="s">
        <v>2948</v>
      </c>
      <c r="B2386" t="s">
        <v>7</v>
      </c>
      <c r="C2386" t="s">
        <v>8</v>
      </c>
    </row>
    <row r="2387" spans="1:6" x14ac:dyDescent="0.25">
      <c r="A2387" t="s">
        <v>2948</v>
      </c>
      <c r="B2387" t="s">
        <v>17</v>
      </c>
      <c r="C2387" t="s">
        <v>18</v>
      </c>
      <c r="D2387" t="str">
        <f>HYPERLINK("http://service.sap.com/sap/support/notes/1566580","1566580")</f>
        <v>1566580</v>
      </c>
      <c r="E2387">
        <v>1</v>
      </c>
      <c r="F2387" t="s">
        <v>2566</v>
      </c>
    </row>
    <row r="2388" spans="1:6" x14ac:dyDescent="0.25">
      <c r="A2388" t="s">
        <v>2948</v>
      </c>
      <c r="B2388" t="s">
        <v>585</v>
      </c>
      <c r="C2388" t="s">
        <v>1443</v>
      </c>
    </row>
    <row r="2389" spans="1:6" x14ac:dyDescent="0.25">
      <c r="A2389" t="s">
        <v>2948</v>
      </c>
      <c r="B2389" t="s">
        <v>586</v>
      </c>
      <c r="C2389" t="s">
        <v>1444</v>
      </c>
    </row>
    <row r="2390" spans="1:6" x14ac:dyDescent="0.25">
      <c r="A2390" t="s">
        <v>2948</v>
      </c>
      <c r="B2390" t="s">
        <v>587</v>
      </c>
      <c r="C2390" t="s">
        <v>1445</v>
      </c>
    </row>
    <row r="2391" spans="1:6" x14ac:dyDescent="0.25">
      <c r="A2391" t="s">
        <v>2948</v>
      </c>
      <c r="B2391" t="s">
        <v>588</v>
      </c>
      <c r="C2391" t="s">
        <v>1446</v>
      </c>
      <c r="D2391" t="str">
        <f>HYPERLINK("http://service.sap.com/sap/support/notes/1557489","1557489")</f>
        <v>1557489</v>
      </c>
      <c r="E2391">
        <v>1</v>
      </c>
      <c r="F2391" t="s">
        <v>2567</v>
      </c>
    </row>
    <row r="2392" spans="1:6" x14ac:dyDescent="0.25">
      <c r="A2392" t="s">
        <v>2948</v>
      </c>
      <c r="B2392" t="s">
        <v>588</v>
      </c>
      <c r="C2392" t="s">
        <v>1446</v>
      </c>
      <c r="D2392" t="str">
        <f>HYPERLINK("http://service.sap.com/sap/support/notes/1561217","1561217")</f>
        <v>1561217</v>
      </c>
      <c r="E2392">
        <v>1</v>
      </c>
      <c r="F2392" t="s">
        <v>2568</v>
      </c>
    </row>
    <row r="2393" spans="1:6" x14ac:dyDescent="0.25">
      <c r="A2393" t="s">
        <v>2948</v>
      </c>
      <c r="B2393" t="s">
        <v>20</v>
      </c>
      <c r="C2393" t="s">
        <v>21</v>
      </c>
    </row>
    <row r="2394" spans="1:6" x14ac:dyDescent="0.25">
      <c r="A2394" t="s">
        <v>2948</v>
      </c>
      <c r="B2394" t="s">
        <v>22</v>
      </c>
      <c r="C2394" t="s">
        <v>23</v>
      </c>
      <c r="D2394" t="str">
        <f>HYPERLINK("http://service.sap.com/sap/support/notes/1559522","1559522")</f>
        <v>1559522</v>
      </c>
      <c r="E2394">
        <v>1</v>
      </c>
      <c r="F2394" t="s">
        <v>2569</v>
      </c>
    </row>
    <row r="2395" spans="1:6" x14ac:dyDescent="0.25">
      <c r="A2395" t="s">
        <v>2948</v>
      </c>
      <c r="B2395" t="s">
        <v>24</v>
      </c>
      <c r="C2395" t="s">
        <v>25</v>
      </c>
      <c r="D2395" t="str">
        <f>HYPERLINK("http://service.sap.com/sap/support/notes/1284280","1284280")</f>
        <v>1284280</v>
      </c>
      <c r="E2395">
        <v>3</v>
      </c>
      <c r="F2395" t="s">
        <v>26</v>
      </c>
    </row>
    <row r="2396" spans="1:6" x14ac:dyDescent="0.25">
      <c r="A2396" t="s">
        <v>2948</v>
      </c>
      <c r="B2396" t="s">
        <v>27</v>
      </c>
      <c r="C2396" t="s">
        <v>13</v>
      </c>
    </row>
    <row r="2397" spans="1:6" x14ac:dyDescent="0.25">
      <c r="A2397" t="s">
        <v>2948</v>
      </c>
      <c r="B2397" t="s">
        <v>38</v>
      </c>
      <c r="C2397" t="s">
        <v>39</v>
      </c>
    </row>
    <row r="2398" spans="1:6" x14ac:dyDescent="0.25">
      <c r="A2398" t="s">
        <v>2948</v>
      </c>
      <c r="B2398" t="s">
        <v>671</v>
      </c>
      <c r="C2398" t="s">
        <v>214</v>
      </c>
      <c r="D2398" t="str">
        <f>HYPERLINK("http://service.sap.com/sap/support/notes/1541587","1541587")</f>
        <v>1541587</v>
      </c>
      <c r="E2398">
        <v>2</v>
      </c>
      <c r="F2398" t="s">
        <v>2570</v>
      </c>
    </row>
    <row r="2399" spans="1:6" x14ac:dyDescent="0.25">
      <c r="A2399" t="s">
        <v>2948</v>
      </c>
      <c r="B2399" t="s">
        <v>671</v>
      </c>
      <c r="C2399" t="s">
        <v>214</v>
      </c>
      <c r="D2399" t="str">
        <f>HYPERLINK("http://service.sap.com/sap/support/notes/1561569","1561569")</f>
        <v>1561569</v>
      </c>
      <c r="E2399">
        <v>2</v>
      </c>
      <c r="F2399" t="s">
        <v>2571</v>
      </c>
    </row>
    <row r="2400" spans="1:6" x14ac:dyDescent="0.25">
      <c r="A2400" t="s">
        <v>2948</v>
      </c>
      <c r="B2400" t="s">
        <v>48</v>
      </c>
      <c r="C2400" t="s">
        <v>49</v>
      </c>
      <c r="D2400" t="str">
        <f>HYPERLINK("http://service.sap.com/sap/support/notes/1567903","1567903")</f>
        <v>1567903</v>
      </c>
      <c r="E2400">
        <v>2</v>
      </c>
      <c r="F2400" t="s">
        <v>2572</v>
      </c>
    </row>
    <row r="2401" spans="1:6" x14ac:dyDescent="0.25">
      <c r="A2401" t="s">
        <v>2948</v>
      </c>
      <c r="B2401" t="s">
        <v>51</v>
      </c>
      <c r="C2401" t="s">
        <v>52</v>
      </c>
      <c r="D2401" t="str">
        <f>HYPERLINK("http://service.sap.com/sap/support/notes/1560903","1560903")</f>
        <v>1560903</v>
      </c>
      <c r="E2401">
        <v>2</v>
      </c>
      <c r="F2401" t="s">
        <v>2573</v>
      </c>
    </row>
    <row r="2402" spans="1:6" x14ac:dyDescent="0.25">
      <c r="A2402" t="s">
        <v>2948</v>
      </c>
      <c r="B2402" t="s">
        <v>57</v>
      </c>
      <c r="C2402" t="s">
        <v>58</v>
      </c>
      <c r="D2402" t="str">
        <f>HYPERLINK("http://service.sap.com/sap/support/notes/700094","700094")</f>
        <v>700094</v>
      </c>
      <c r="E2402">
        <v>8</v>
      </c>
      <c r="F2402" t="s">
        <v>677</v>
      </c>
    </row>
    <row r="2403" spans="1:6" x14ac:dyDescent="0.25">
      <c r="A2403" t="s">
        <v>2948</v>
      </c>
      <c r="B2403" t="s">
        <v>57</v>
      </c>
      <c r="C2403" t="s">
        <v>58</v>
      </c>
      <c r="D2403" t="str">
        <f>HYPERLINK("http://service.sap.com/sap/support/notes/1567326","1567326")</f>
        <v>1567326</v>
      </c>
      <c r="E2403">
        <v>1</v>
      </c>
      <c r="F2403" t="s">
        <v>2574</v>
      </c>
    </row>
    <row r="2404" spans="1:6" x14ac:dyDescent="0.25">
      <c r="A2404" t="s">
        <v>2948</v>
      </c>
      <c r="B2404" t="s">
        <v>59</v>
      </c>
      <c r="C2404" t="s">
        <v>60</v>
      </c>
      <c r="D2404" t="str">
        <f>HYPERLINK("http://service.sap.com/sap/support/notes/1551362","1551362")</f>
        <v>1551362</v>
      </c>
      <c r="E2404">
        <v>8</v>
      </c>
      <c r="F2404" t="s">
        <v>2575</v>
      </c>
    </row>
    <row r="2405" spans="1:6" x14ac:dyDescent="0.25">
      <c r="A2405" t="s">
        <v>2948</v>
      </c>
      <c r="B2405" t="s">
        <v>59</v>
      </c>
      <c r="C2405" t="s">
        <v>60</v>
      </c>
      <c r="D2405" t="str">
        <f>HYPERLINK("http://service.sap.com/sap/support/notes/1552772","1552772")</f>
        <v>1552772</v>
      </c>
      <c r="E2405">
        <v>2</v>
      </c>
      <c r="F2405" t="s">
        <v>2576</v>
      </c>
    </row>
    <row r="2406" spans="1:6" x14ac:dyDescent="0.25">
      <c r="A2406" t="s">
        <v>2948</v>
      </c>
      <c r="B2406" t="s">
        <v>59</v>
      </c>
      <c r="C2406" t="s">
        <v>60</v>
      </c>
      <c r="D2406" t="str">
        <f>HYPERLINK("http://service.sap.com/sap/support/notes/1564972","1564972")</f>
        <v>1564972</v>
      </c>
      <c r="E2406">
        <v>1</v>
      </c>
      <c r="F2406" t="s">
        <v>2577</v>
      </c>
    </row>
    <row r="2407" spans="1:6" x14ac:dyDescent="0.25">
      <c r="A2407" t="s">
        <v>2948</v>
      </c>
      <c r="B2407" t="s">
        <v>59</v>
      </c>
      <c r="C2407" t="s">
        <v>60</v>
      </c>
      <c r="D2407" t="str">
        <f>HYPERLINK("http://service.sap.com/sap/support/notes/1565519","1565519")</f>
        <v>1565519</v>
      </c>
      <c r="E2407">
        <v>2</v>
      </c>
      <c r="F2407" t="s">
        <v>2578</v>
      </c>
    </row>
    <row r="2408" spans="1:6" x14ac:dyDescent="0.25">
      <c r="A2408" t="s">
        <v>2948</v>
      </c>
      <c r="B2408" t="s">
        <v>694</v>
      </c>
      <c r="C2408" t="s">
        <v>695</v>
      </c>
      <c r="D2408" t="str">
        <f>HYPERLINK("http://service.sap.com/sap/support/notes/1439234","1439234")</f>
        <v>1439234</v>
      </c>
      <c r="E2408">
        <v>1</v>
      </c>
      <c r="F2408" t="s">
        <v>2579</v>
      </c>
    </row>
    <row r="2409" spans="1:6" x14ac:dyDescent="0.25">
      <c r="A2409" t="s">
        <v>2948</v>
      </c>
      <c r="B2409" t="s">
        <v>694</v>
      </c>
      <c r="C2409" t="s">
        <v>695</v>
      </c>
      <c r="D2409" t="str">
        <f>HYPERLINK("http://service.sap.com/sap/support/notes/1559154","1559154")</f>
        <v>1559154</v>
      </c>
      <c r="E2409">
        <v>1</v>
      </c>
      <c r="F2409" t="s">
        <v>2580</v>
      </c>
    </row>
    <row r="2410" spans="1:6" x14ac:dyDescent="0.25">
      <c r="A2410" t="s">
        <v>2948</v>
      </c>
      <c r="B2410" t="s">
        <v>694</v>
      </c>
      <c r="C2410" t="s">
        <v>695</v>
      </c>
      <c r="D2410" t="str">
        <f>HYPERLINK("http://service.sap.com/sap/support/notes/1569146","1569146")</f>
        <v>1569146</v>
      </c>
      <c r="E2410">
        <v>1</v>
      </c>
      <c r="F2410" t="s">
        <v>2581</v>
      </c>
    </row>
    <row r="2411" spans="1:6" x14ac:dyDescent="0.25">
      <c r="A2411" t="s">
        <v>2948</v>
      </c>
      <c r="B2411" t="s">
        <v>704</v>
      </c>
      <c r="C2411" t="s">
        <v>412</v>
      </c>
      <c r="D2411" t="str">
        <f>HYPERLINK("http://service.sap.com/sap/support/notes/1540326","1540326")</f>
        <v>1540326</v>
      </c>
      <c r="E2411">
        <v>1</v>
      </c>
      <c r="F2411" t="s">
        <v>2582</v>
      </c>
    </row>
    <row r="2412" spans="1:6" x14ac:dyDescent="0.25">
      <c r="A2412" t="s">
        <v>2948</v>
      </c>
      <c r="B2412" t="s">
        <v>704</v>
      </c>
      <c r="C2412" t="s">
        <v>412</v>
      </c>
      <c r="D2412" t="str">
        <f>HYPERLINK("http://service.sap.com/sap/support/notes/1565377","1565377")</f>
        <v>1565377</v>
      </c>
      <c r="E2412">
        <v>1</v>
      </c>
      <c r="F2412" t="s">
        <v>2583</v>
      </c>
    </row>
    <row r="2413" spans="1:6" x14ac:dyDescent="0.25">
      <c r="A2413" t="s">
        <v>2948</v>
      </c>
      <c r="B2413" t="s">
        <v>704</v>
      </c>
      <c r="C2413" t="s">
        <v>412</v>
      </c>
      <c r="D2413" t="str">
        <f>HYPERLINK("http://service.sap.com/sap/support/notes/1569336","1569336")</f>
        <v>1569336</v>
      </c>
      <c r="E2413">
        <v>2</v>
      </c>
      <c r="F2413" t="s">
        <v>2584</v>
      </c>
    </row>
    <row r="2414" spans="1:6" x14ac:dyDescent="0.25">
      <c r="A2414" t="s">
        <v>2948</v>
      </c>
      <c r="B2414" t="s">
        <v>92</v>
      </c>
      <c r="C2414" t="s">
        <v>93</v>
      </c>
      <c r="D2414" t="str">
        <f>HYPERLINK("http://service.sap.com/sap/support/notes/1560593","1560593")</f>
        <v>1560593</v>
      </c>
      <c r="E2414">
        <v>1</v>
      </c>
      <c r="F2414" t="s">
        <v>2585</v>
      </c>
    </row>
    <row r="2415" spans="1:6" x14ac:dyDescent="0.25">
      <c r="A2415" t="s">
        <v>2948</v>
      </c>
      <c r="B2415" t="s">
        <v>92</v>
      </c>
      <c r="C2415" t="s">
        <v>93</v>
      </c>
      <c r="D2415" t="str">
        <f>HYPERLINK("http://service.sap.com/sap/support/notes/1561332","1561332")</f>
        <v>1561332</v>
      </c>
      <c r="E2415">
        <v>1</v>
      </c>
      <c r="F2415" t="s">
        <v>2586</v>
      </c>
    </row>
    <row r="2416" spans="1:6" x14ac:dyDescent="0.25">
      <c r="A2416" t="s">
        <v>2948</v>
      </c>
      <c r="B2416" t="s">
        <v>92</v>
      </c>
      <c r="C2416" t="s">
        <v>93</v>
      </c>
      <c r="D2416" t="str">
        <f>HYPERLINK("http://service.sap.com/sap/support/notes/1563033","1563033")</f>
        <v>1563033</v>
      </c>
      <c r="E2416">
        <v>1</v>
      </c>
      <c r="F2416" t="s">
        <v>2587</v>
      </c>
    </row>
    <row r="2417" spans="1:6" x14ac:dyDescent="0.25">
      <c r="A2417" t="s">
        <v>2948</v>
      </c>
      <c r="B2417" t="s">
        <v>92</v>
      </c>
      <c r="C2417" t="s">
        <v>93</v>
      </c>
      <c r="D2417" t="str">
        <f>HYPERLINK("http://service.sap.com/sap/support/notes/1568445","1568445")</f>
        <v>1568445</v>
      </c>
      <c r="E2417">
        <v>2</v>
      </c>
      <c r="F2417" t="s">
        <v>2588</v>
      </c>
    </row>
    <row r="2418" spans="1:6" x14ac:dyDescent="0.25">
      <c r="A2418" t="s">
        <v>2948</v>
      </c>
      <c r="B2418" t="s">
        <v>118</v>
      </c>
      <c r="C2418" t="s">
        <v>119</v>
      </c>
    </row>
    <row r="2419" spans="1:6" x14ac:dyDescent="0.25">
      <c r="A2419" t="s">
        <v>2948</v>
      </c>
      <c r="B2419" t="s">
        <v>123</v>
      </c>
      <c r="C2419" t="s">
        <v>124</v>
      </c>
      <c r="D2419" t="str">
        <f>HYPERLINK("http://service.sap.com/sap/support/notes/1548712","1548712")</f>
        <v>1548712</v>
      </c>
      <c r="E2419">
        <v>1</v>
      </c>
      <c r="F2419" t="s">
        <v>2589</v>
      </c>
    </row>
    <row r="2420" spans="1:6" x14ac:dyDescent="0.25">
      <c r="A2420" t="s">
        <v>2948</v>
      </c>
      <c r="B2420" t="s">
        <v>123</v>
      </c>
      <c r="C2420" t="s">
        <v>124</v>
      </c>
      <c r="D2420" t="str">
        <f>HYPERLINK("http://service.sap.com/sap/support/notes/1554966","1554966")</f>
        <v>1554966</v>
      </c>
      <c r="E2420">
        <v>2</v>
      </c>
      <c r="F2420" t="s">
        <v>2590</v>
      </c>
    </row>
    <row r="2421" spans="1:6" x14ac:dyDescent="0.25">
      <c r="A2421" t="s">
        <v>2948</v>
      </c>
      <c r="B2421" t="s">
        <v>123</v>
      </c>
      <c r="C2421" t="s">
        <v>124</v>
      </c>
      <c r="D2421" t="str">
        <f>HYPERLINK("http://service.sap.com/sap/support/notes/1560731","1560731")</f>
        <v>1560731</v>
      </c>
      <c r="E2421">
        <v>5</v>
      </c>
      <c r="F2421" t="s">
        <v>2591</v>
      </c>
    </row>
    <row r="2422" spans="1:6" x14ac:dyDescent="0.25">
      <c r="A2422" t="s">
        <v>2948</v>
      </c>
      <c r="B2422" t="s">
        <v>123</v>
      </c>
      <c r="C2422" t="s">
        <v>124</v>
      </c>
      <c r="D2422" t="str">
        <f>HYPERLINK("http://service.sap.com/sap/support/notes/1561518","1561518")</f>
        <v>1561518</v>
      </c>
      <c r="E2422">
        <v>1</v>
      </c>
      <c r="F2422" t="s">
        <v>2592</v>
      </c>
    </row>
    <row r="2423" spans="1:6" x14ac:dyDescent="0.25">
      <c r="A2423" t="s">
        <v>2948</v>
      </c>
      <c r="B2423" t="s">
        <v>123</v>
      </c>
      <c r="C2423" t="s">
        <v>124</v>
      </c>
      <c r="D2423" t="str">
        <f>HYPERLINK("http://service.sap.com/sap/support/notes/1562707","1562707")</f>
        <v>1562707</v>
      </c>
      <c r="E2423">
        <v>2</v>
      </c>
      <c r="F2423" t="s">
        <v>2593</v>
      </c>
    </row>
    <row r="2424" spans="1:6" x14ac:dyDescent="0.25">
      <c r="A2424" t="s">
        <v>2948</v>
      </c>
      <c r="B2424" t="s">
        <v>123</v>
      </c>
      <c r="C2424" t="s">
        <v>124</v>
      </c>
      <c r="D2424" t="str">
        <f>HYPERLINK("http://service.sap.com/sap/support/notes/1563968","1563968")</f>
        <v>1563968</v>
      </c>
      <c r="E2424">
        <v>2</v>
      </c>
      <c r="F2424" t="s">
        <v>2594</v>
      </c>
    </row>
    <row r="2425" spans="1:6" x14ac:dyDescent="0.25">
      <c r="A2425" t="s">
        <v>2948</v>
      </c>
      <c r="B2425" t="s">
        <v>126</v>
      </c>
      <c r="C2425" t="s">
        <v>127</v>
      </c>
    </row>
    <row r="2426" spans="1:6" x14ac:dyDescent="0.25">
      <c r="A2426" t="s">
        <v>2948</v>
      </c>
      <c r="B2426" t="s">
        <v>1772</v>
      </c>
      <c r="C2426" t="s">
        <v>1773</v>
      </c>
      <c r="D2426" t="str">
        <f>HYPERLINK("http://service.sap.com/sap/support/notes/721101","721101")</f>
        <v>721101</v>
      </c>
      <c r="E2426">
        <v>2</v>
      </c>
      <c r="F2426" t="s">
        <v>2595</v>
      </c>
    </row>
    <row r="2427" spans="1:6" x14ac:dyDescent="0.25">
      <c r="A2427" t="s">
        <v>2948</v>
      </c>
      <c r="B2427" t="s">
        <v>1772</v>
      </c>
      <c r="C2427" t="s">
        <v>1773</v>
      </c>
      <c r="D2427" t="str">
        <f>HYPERLINK("http://service.sap.com/sap/support/notes/1546195","1546195")</f>
        <v>1546195</v>
      </c>
      <c r="E2427">
        <v>3</v>
      </c>
      <c r="F2427" t="s">
        <v>2596</v>
      </c>
    </row>
    <row r="2428" spans="1:6" x14ac:dyDescent="0.25">
      <c r="A2428" t="s">
        <v>2948</v>
      </c>
      <c r="B2428" t="s">
        <v>1783</v>
      </c>
      <c r="C2428" t="s">
        <v>1784</v>
      </c>
      <c r="D2428" t="str">
        <f>HYPERLINK("http://service.sap.com/sap/support/notes/1561018","1561018")</f>
        <v>1561018</v>
      </c>
      <c r="E2428">
        <v>1</v>
      </c>
      <c r="F2428" t="s">
        <v>2597</v>
      </c>
    </row>
    <row r="2429" spans="1:6" x14ac:dyDescent="0.25">
      <c r="A2429" t="s">
        <v>2948</v>
      </c>
      <c r="B2429" t="s">
        <v>831</v>
      </c>
      <c r="C2429" t="s">
        <v>2598</v>
      </c>
    </row>
    <row r="2430" spans="1:6" x14ac:dyDescent="0.25">
      <c r="A2430" t="s">
        <v>2948</v>
      </c>
      <c r="B2430" t="s">
        <v>871</v>
      </c>
      <c r="C2430" t="s">
        <v>872</v>
      </c>
      <c r="D2430" t="str">
        <f>HYPERLINK("http://service.sap.com/sap/support/notes/1563723","1563723")</f>
        <v>1563723</v>
      </c>
      <c r="E2430">
        <v>2</v>
      </c>
      <c r="F2430" t="s">
        <v>2599</v>
      </c>
    </row>
    <row r="2431" spans="1:6" x14ac:dyDescent="0.25">
      <c r="A2431" t="s">
        <v>2948</v>
      </c>
      <c r="B2431" t="s">
        <v>871</v>
      </c>
      <c r="C2431" t="s">
        <v>872</v>
      </c>
      <c r="D2431" t="str">
        <f>HYPERLINK("http://service.sap.com/sap/support/notes/1568918","1568918")</f>
        <v>1568918</v>
      </c>
      <c r="E2431">
        <v>2</v>
      </c>
      <c r="F2431" t="s">
        <v>2600</v>
      </c>
    </row>
    <row r="2432" spans="1:6" x14ac:dyDescent="0.25">
      <c r="A2432" t="s">
        <v>2948</v>
      </c>
      <c r="B2432" t="s">
        <v>871</v>
      </c>
      <c r="C2432" t="s">
        <v>872</v>
      </c>
      <c r="D2432" t="str">
        <f>HYPERLINK("http://service.sap.com/sap/support/notes/1569716","1569716")</f>
        <v>1569716</v>
      </c>
      <c r="E2432">
        <v>1</v>
      </c>
      <c r="F2432" t="s">
        <v>2601</v>
      </c>
    </row>
    <row r="2433" spans="1:6" x14ac:dyDescent="0.25">
      <c r="A2433" t="s">
        <v>2948</v>
      </c>
      <c r="B2433" t="s">
        <v>131</v>
      </c>
      <c r="C2433" t="s">
        <v>132</v>
      </c>
    </row>
    <row r="2434" spans="1:6" x14ac:dyDescent="0.25">
      <c r="A2434" t="s">
        <v>2948</v>
      </c>
      <c r="B2434" t="s">
        <v>133</v>
      </c>
      <c r="C2434" t="s">
        <v>134</v>
      </c>
      <c r="D2434" t="str">
        <f>HYPERLINK("http://service.sap.com/sap/support/notes/1544120","1544120")</f>
        <v>1544120</v>
      </c>
      <c r="E2434">
        <v>3</v>
      </c>
      <c r="F2434" t="s">
        <v>2602</v>
      </c>
    </row>
    <row r="2435" spans="1:6" x14ac:dyDescent="0.25">
      <c r="A2435" t="s">
        <v>2948</v>
      </c>
      <c r="B2435" t="s">
        <v>133</v>
      </c>
      <c r="C2435" t="s">
        <v>134</v>
      </c>
      <c r="D2435" t="str">
        <f>HYPERLINK("http://service.sap.com/sap/support/notes/1556090","1556090")</f>
        <v>1556090</v>
      </c>
      <c r="E2435">
        <v>4</v>
      </c>
      <c r="F2435" t="s">
        <v>2603</v>
      </c>
    </row>
    <row r="2436" spans="1:6" x14ac:dyDescent="0.25">
      <c r="A2436" t="s">
        <v>2948</v>
      </c>
      <c r="B2436" t="s">
        <v>133</v>
      </c>
      <c r="C2436" t="s">
        <v>134</v>
      </c>
      <c r="D2436" t="str">
        <f>HYPERLINK("http://service.sap.com/sap/support/notes/1559808","1559808")</f>
        <v>1559808</v>
      </c>
      <c r="E2436">
        <v>3</v>
      </c>
      <c r="F2436" t="s">
        <v>2604</v>
      </c>
    </row>
    <row r="2437" spans="1:6" x14ac:dyDescent="0.25">
      <c r="A2437" t="s">
        <v>2948</v>
      </c>
      <c r="B2437" t="s">
        <v>133</v>
      </c>
      <c r="C2437" t="s">
        <v>134</v>
      </c>
      <c r="D2437" t="str">
        <f>HYPERLINK("http://service.sap.com/sap/support/notes/1560733","1560733")</f>
        <v>1560733</v>
      </c>
      <c r="E2437">
        <v>1</v>
      </c>
      <c r="F2437" t="s">
        <v>2605</v>
      </c>
    </row>
    <row r="2438" spans="1:6" x14ac:dyDescent="0.25">
      <c r="A2438" t="s">
        <v>2948</v>
      </c>
      <c r="B2438" t="s">
        <v>133</v>
      </c>
      <c r="C2438" t="s">
        <v>134</v>
      </c>
      <c r="D2438" t="str">
        <f>HYPERLINK("http://service.sap.com/sap/support/notes/1561271","1561271")</f>
        <v>1561271</v>
      </c>
      <c r="E2438">
        <v>1</v>
      </c>
      <c r="F2438" t="s">
        <v>2606</v>
      </c>
    </row>
    <row r="2439" spans="1:6" x14ac:dyDescent="0.25">
      <c r="A2439" t="s">
        <v>2948</v>
      </c>
      <c r="B2439" t="s">
        <v>133</v>
      </c>
      <c r="C2439" t="s">
        <v>134</v>
      </c>
      <c r="D2439" t="str">
        <f>HYPERLINK("http://service.sap.com/sap/support/notes/1563245","1563245")</f>
        <v>1563245</v>
      </c>
      <c r="E2439">
        <v>5</v>
      </c>
      <c r="F2439" t="s">
        <v>2607</v>
      </c>
    </row>
    <row r="2440" spans="1:6" x14ac:dyDescent="0.25">
      <c r="A2440" t="s">
        <v>2948</v>
      </c>
      <c r="B2440" t="s">
        <v>133</v>
      </c>
      <c r="C2440" t="s">
        <v>134</v>
      </c>
      <c r="D2440" t="str">
        <f>HYPERLINK("http://service.sap.com/sap/support/notes/1568059","1568059")</f>
        <v>1568059</v>
      </c>
      <c r="E2440">
        <v>3</v>
      </c>
      <c r="F2440" t="s">
        <v>2608</v>
      </c>
    </row>
    <row r="2441" spans="1:6" x14ac:dyDescent="0.25">
      <c r="A2441" t="s">
        <v>2948</v>
      </c>
      <c r="B2441" t="s">
        <v>141</v>
      </c>
      <c r="C2441" t="s">
        <v>41</v>
      </c>
      <c r="D2441" t="str">
        <f>HYPERLINK("http://service.sap.com/sap/support/notes/1343631","1343631")</f>
        <v>1343631</v>
      </c>
      <c r="E2441">
        <v>1</v>
      </c>
      <c r="F2441" t="s">
        <v>1480</v>
      </c>
    </row>
    <row r="2442" spans="1:6" x14ac:dyDescent="0.25">
      <c r="A2442" t="s">
        <v>2948</v>
      </c>
      <c r="B2442" t="s">
        <v>141</v>
      </c>
      <c r="C2442" t="s">
        <v>41</v>
      </c>
      <c r="D2442" t="str">
        <f>HYPERLINK("http://service.sap.com/sap/support/notes/1517709","1517709")</f>
        <v>1517709</v>
      </c>
      <c r="E2442">
        <v>2</v>
      </c>
      <c r="F2442" t="s">
        <v>2609</v>
      </c>
    </row>
    <row r="2443" spans="1:6" x14ac:dyDescent="0.25">
      <c r="A2443" t="s">
        <v>2948</v>
      </c>
      <c r="B2443" t="s">
        <v>141</v>
      </c>
      <c r="C2443" t="s">
        <v>41</v>
      </c>
      <c r="D2443" t="str">
        <f>HYPERLINK("http://service.sap.com/sap/support/notes/1560179","1560179")</f>
        <v>1560179</v>
      </c>
      <c r="E2443">
        <v>2</v>
      </c>
      <c r="F2443" t="s">
        <v>2610</v>
      </c>
    </row>
    <row r="2444" spans="1:6" x14ac:dyDescent="0.25">
      <c r="A2444" t="s">
        <v>2948</v>
      </c>
      <c r="B2444" t="s">
        <v>141</v>
      </c>
      <c r="C2444" t="s">
        <v>41</v>
      </c>
      <c r="D2444" t="str">
        <f>HYPERLINK("http://service.sap.com/sap/support/notes/1564017","1564017")</f>
        <v>1564017</v>
      </c>
      <c r="E2444">
        <v>3</v>
      </c>
      <c r="F2444" t="s">
        <v>2611</v>
      </c>
    </row>
    <row r="2445" spans="1:6" x14ac:dyDescent="0.25">
      <c r="A2445" t="s">
        <v>2948</v>
      </c>
      <c r="B2445" t="s">
        <v>141</v>
      </c>
      <c r="C2445" t="s">
        <v>41</v>
      </c>
      <c r="D2445" t="str">
        <f>HYPERLINK("http://service.sap.com/sap/support/notes/1565125","1565125")</f>
        <v>1565125</v>
      </c>
      <c r="E2445">
        <v>3</v>
      </c>
      <c r="F2445" t="s">
        <v>2612</v>
      </c>
    </row>
    <row r="2446" spans="1:6" x14ac:dyDescent="0.25">
      <c r="A2446" t="s">
        <v>2948</v>
      </c>
      <c r="B2446" t="s">
        <v>141</v>
      </c>
      <c r="C2446" t="s">
        <v>41</v>
      </c>
      <c r="D2446" t="str">
        <f>HYPERLINK("http://service.sap.com/sap/support/notes/1567526","1567526")</f>
        <v>1567526</v>
      </c>
      <c r="E2446">
        <v>2</v>
      </c>
      <c r="F2446" t="s">
        <v>2613</v>
      </c>
    </row>
    <row r="2447" spans="1:6" x14ac:dyDescent="0.25">
      <c r="A2447" t="s">
        <v>2948</v>
      </c>
      <c r="B2447" t="s">
        <v>141</v>
      </c>
      <c r="C2447" t="s">
        <v>41</v>
      </c>
      <c r="D2447" t="str">
        <f>HYPERLINK("http://service.sap.com/sap/support/notes/1569691","1569691")</f>
        <v>1569691</v>
      </c>
      <c r="E2447">
        <v>2</v>
      </c>
      <c r="F2447" t="s">
        <v>2614</v>
      </c>
    </row>
    <row r="2448" spans="1:6" x14ac:dyDescent="0.25">
      <c r="A2448" t="s">
        <v>2948</v>
      </c>
      <c r="B2448" t="s">
        <v>141</v>
      </c>
      <c r="C2448" t="s">
        <v>41</v>
      </c>
      <c r="D2448" t="str">
        <f>HYPERLINK("http://service.sap.com/sap/support/notes/1570260","1570260")</f>
        <v>1570260</v>
      </c>
      <c r="E2448">
        <v>1</v>
      </c>
      <c r="F2448" t="s">
        <v>2615</v>
      </c>
    </row>
    <row r="2449" spans="1:6" x14ac:dyDescent="0.25">
      <c r="A2449" t="s">
        <v>2948</v>
      </c>
      <c r="B2449" t="s">
        <v>152</v>
      </c>
      <c r="C2449" t="s">
        <v>153</v>
      </c>
      <c r="D2449" t="str">
        <f>HYPERLINK("http://service.sap.com/sap/support/notes/1562216","1562216")</f>
        <v>1562216</v>
      </c>
      <c r="E2449">
        <v>2</v>
      </c>
      <c r="F2449" t="s">
        <v>2616</v>
      </c>
    </row>
    <row r="2450" spans="1:6" x14ac:dyDescent="0.25">
      <c r="A2450" t="s">
        <v>2948</v>
      </c>
      <c r="B2450" t="s">
        <v>152</v>
      </c>
      <c r="C2450" t="s">
        <v>153</v>
      </c>
      <c r="D2450" t="str">
        <f>HYPERLINK("http://service.sap.com/sap/support/notes/1563875","1563875")</f>
        <v>1563875</v>
      </c>
      <c r="E2450">
        <v>2</v>
      </c>
      <c r="F2450" t="s">
        <v>2617</v>
      </c>
    </row>
    <row r="2451" spans="1:6" x14ac:dyDescent="0.25">
      <c r="A2451" t="s">
        <v>2948</v>
      </c>
      <c r="B2451" t="s">
        <v>152</v>
      </c>
      <c r="C2451" t="s">
        <v>153</v>
      </c>
      <c r="D2451" t="str">
        <f>HYPERLINK("http://service.sap.com/sap/support/notes/1565261","1565261")</f>
        <v>1565261</v>
      </c>
      <c r="E2451">
        <v>1</v>
      </c>
      <c r="F2451" t="s">
        <v>2618</v>
      </c>
    </row>
    <row r="2452" spans="1:6" x14ac:dyDescent="0.25">
      <c r="A2452" t="s">
        <v>2948</v>
      </c>
      <c r="B2452" t="s">
        <v>155</v>
      </c>
      <c r="C2452" t="s">
        <v>156</v>
      </c>
      <c r="D2452" t="str">
        <f>HYPERLINK("http://service.sap.com/sap/support/notes/815445","815445")</f>
        <v>815445</v>
      </c>
      <c r="E2452">
        <v>1</v>
      </c>
      <c r="F2452" t="s">
        <v>157</v>
      </c>
    </row>
    <row r="2453" spans="1:6" x14ac:dyDescent="0.25">
      <c r="A2453" t="s">
        <v>2948</v>
      </c>
      <c r="B2453" t="s">
        <v>155</v>
      </c>
      <c r="C2453" t="s">
        <v>156</v>
      </c>
      <c r="D2453" t="str">
        <f>HYPERLINK("http://service.sap.com/sap/support/notes/1556227","1556227")</f>
        <v>1556227</v>
      </c>
      <c r="E2453">
        <v>1</v>
      </c>
      <c r="F2453" t="s">
        <v>2619</v>
      </c>
    </row>
    <row r="2454" spans="1:6" x14ac:dyDescent="0.25">
      <c r="A2454" t="s">
        <v>2948</v>
      </c>
      <c r="B2454" t="s">
        <v>155</v>
      </c>
      <c r="C2454" t="s">
        <v>156</v>
      </c>
      <c r="D2454" t="str">
        <f>HYPERLINK("http://service.sap.com/sap/support/notes/1562464","1562464")</f>
        <v>1562464</v>
      </c>
      <c r="E2454">
        <v>1</v>
      </c>
      <c r="F2454" t="s">
        <v>2620</v>
      </c>
    </row>
    <row r="2455" spans="1:6" x14ac:dyDescent="0.25">
      <c r="A2455" t="s">
        <v>2948</v>
      </c>
      <c r="B2455" t="s">
        <v>155</v>
      </c>
      <c r="C2455" t="s">
        <v>156</v>
      </c>
      <c r="D2455" t="str">
        <f>HYPERLINK("http://service.sap.com/sap/support/notes/1562949","1562949")</f>
        <v>1562949</v>
      </c>
      <c r="E2455">
        <v>1</v>
      </c>
      <c r="F2455" t="s">
        <v>2621</v>
      </c>
    </row>
    <row r="2456" spans="1:6" x14ac:dyDescent="0.25">
      <c r="A2456" t="s">
        <v>2948</v>
      </c>
      <c r="B2456" t="s">
        <v>155</v>
      </c>
      <c r="C2456" t="s">
        <v>156</v>
      </c>
      <c r="D2456" t="str">
        <f>HYPERLINK("http://service.sap.com/sap/support/notes/1563348","1563348")</f>
        <v>1563348</v>
      </c>
      <c r="E2456">
        <v>1</v>
      </c>
      <c r="F2456" t="s">
        <v>2622</v>
      </c>
    </row>
    <row r="2457" spans="1:6" x14ac:dyDescent="0.25">
      <c r="A2457" t="s">
        <v>2948</v>
      </c>
      <c r="B2457" t="s">
        <v>155</v>
      </c>
      <c r="C2457" t="s">
        <v>156</v>
      </c>
      <c r="D2457" t="str">
        <f>HYPERLINK("http://service.sap.com/sap/support/notes/1563839","1563839")</f>
        <v>1563839</v>
      </c>
      <c r="E2457">
        <v>1</v>
      </c>
      <c r="F2457" t="s">
        <v>2623</v>
      </c>
    </row>
    <row r="2458" spans="1:6" x14ac:dyDescent="0.25">
      <c r="A2458" t="s">
        <v>2948</v>
      </c>
      <c r="B2458" t="s">
        <v>155</v>
      </c>
      <c r="C2458" t="s">
        <v>156</v>
      </c>
      <c r="D2458" t="str">
        <f>HYPERLINK("http://service.sap.com/sap/support/notes/1564192","1564192")</f>
        <v>1564192</v>
      </c>
      <c r="E2458">
        <v>1</v>
      </c>
      <c r="F2458" t="s">
        <v>2624</v>
      </c>
    </row>
    <row r="2459" spans="1:6" x14ac:dyDescent="0.25">
      <c r="A2459" t="s">
        <v>2948</v>
      </c>
      <c r="B2459" t="s">
        <v>155</v>
      </c>
      <c r="C2459" t="s">
        <v>156</v>
      </c>
      <c r="D2459" t="str">
        <f>HYPERLINK("http://service.sap.com/sap/support/notes/1566460","1566460")</f>
        <v>1566460</v>
      </c>
      <c r="E2459">
        <v>1</v>
      </c>
      <c r="F2459" t="s">
        <v>2625</v>
      </c>
    </row>
    <row r="2460" spans="1:6" x14ac:dyDescent="0.25">
      <c r="A2460" t="s">
        <v>2948</v>
      </c>
      <c r="B2460" t="s">
        <v>155</v>
      </c>
      <c r="C2460" t="s">
        <v>156</v>
      </c>
      <c r="D2460" t="str">
        <f>HYPERLINK("http://service.sap.com/sap/support/notes/1568307","1568307")</f>
        <v>1568307</v>
      </c>
      <c r="E2460">
        <v>1</v>
      </c>
      <c r="F2460" t="s">
        <v>2626</v>
      </c>
    </row>
    <row r="2461" spans="1:6" x14ac:dyDescent="0.25">
      <c r="A2461" t="s">
        <v>2948</v>
      </c>
      <c r="B2461" t="s">
        <v>155</v>
      </c>
      <c r="C2461" t="s">
        <v>156</v>
      </c>
      <c r="D2461" t="str">
        <f>HYPERLINK("http://service.sap.com/sap/support/notes/1569801","1569801")</f>
        <v>1569801</v>
      </c>
      <c r="E2461">
        <v>3</v>
      </c>
      <c r="F2461" t="s">
        <v>2627</v>
      </c>
    </row>
    <row r="2462" spans="1:6" x14ac:dyDescent="0.25">
      <c r="A2462" t="s">
        <v>2948</v>
      </c>
      <c r="B2462" t="s">
        <v>173</v>
      </c>
      <c r="C2462" t="s">
        <v>45</v>
      </c>
      <c r="D2462" t="str">
        <f>HYPERLINK("http://service.sap.com/sap/support/notes/1467614","1467614")</f>
        <v>1467614</v>
      </c>
      <c r="E2462">
        <v>3</v>
      </c>
      <c r="F2462" t="s">
        <v>2628</v>
      </c>
    </row>
    <row r="2463" spans="1:6" x14ac:dyDescent="0.25">
      <c r="A2463" t="s">
        <v>2948</v>
      </c>
      <c r="B2463" t="s">
        <v>173</v>
      </c>
      <c r="C2463" t="s">
        <v>45</v>
      </c>
      <c r="D2463" t="str">
        <f>HYPERLINK("http://service.sap.com/sap/support/notes/1482734","1482734")</f>
        <v>1482734</v>
      </c>
      <c r="E2463">
        <v>1</v>
      </c>
      <c r="F2463" t="s">
        <v>2629</v>
      </c>
    </row>
    <row r="2464" spans="1:6" x14ac:dyDescent="0.25">
      <c r="A2464" t="s">
        <v>2948</v>
      </c>
      <c r="B2464" t="s">
        <v>173</v>
      </c>
      <c r="C2464" t="s">
        <v>45</v>
      </c>
      <c r="D2464" t="str">
        <f>HYPERLINK("http://service.sap.com/sap/support/notes/1551498","1551498")</f>
        <v>1551498</v>
      </c>
      <c r="E2464">
        <v>1</v>
      </c>
      <c r="F2464" t="s">
        <v>2630</v>
      </c>
    </row>
    <row r="2465" spans="1:6" x14ac:dyDescent="0.25">
      <c r="A2465" t="s">
        <v>2948</v>
      </c>
      <c r="B2465" t="s">
        <v>173</v>
      </c>
      <c r="C2465" t="s">
        <v>45</v>
      </c>
      <c r="D2465" t="str">
        <f>HYPERLINK("http://service.sap.com/sap/support/notes/1560551","1560551")</f>
        <v>1560551</v>
      </c>
      <c r="E2465">
        <v>1</v>
      </c>
      <c r="F2465" t="s">
        <v>2631</v>
      </c>
    </row>
    <row r="2466" spans="1:6" x14ac:dyDescent="0.25">
      <c r="A2466" t="s">
        <v>2948</v>
      </c>
      <c r="B2466" t="s">
        <v>173</v>
      </c>
      <c r="C2466" t="s">
        <v>45</v>
      </c>
      <c r="D2466" t="str">
        <f>HYPERLINK("http://service.sap.com/sap/support/notes/1560788","1560788")</f>
        <v>1560788</v>
      </c>
      <c r="E2466">
        <v>1</v>
      </c>
      <c r="F2466" t="s">
        <v>2632</v>
      </c>
    </row>
    <row r="2467" spans="1:6" x14ac:dyDescent="0.25">
      <c r="A2467" t="s">
        <v>2948</v>
      </c>
      <c r="B2467" t="s">
        <v>173</v>
      </c>
      <c r="C2467" t="s">
        <v>45</v>
      </c>
      <c r="D2467" t="str">
        <f>HYPERLINK("http://service.sap.com/sap/support/notes/1561478","1561478")</f>
        <v>1561478</v>
      </c>
      <c r="E2467">
        <v>4</v>
      </c>
      <c r="F2467" t="s">
        <v>2633</v>
      </c>
    </row>
    <row r="2468" spans="1:6" x14ac:dyDescent="0.25">
      <c r="A2468" t="s">
        <v>2948</v>
      </c>
      <c r="B2468" t="s">
        <v>173</v>
      </c>
      <c r="C2468" t="s">
        <v>45</v>
      </c>
      <c r="D2468" t="str">
        <f>HYPERLINK("http://service.sap.com/sap/support/notes/1561577","1561577")</f>
        <v>1561577</v>
      </c>
      <c r="E2468">
        <v>2</v>
      </c>
      <c r="F2468" t="s">
        <v>2634</v>
      </c>
    </row>
    <row r="2469" spans="1:6" x14ac:dyDescent="0.25">
      <c r="A2469" t="s">
        <v>2948</v>
      </c>
      <c r="B2469" t="s">
        <v>173</v>
      </c>
      <c r="C2469" t="s">
        <v>45</v>
      </c>
      <c r="D2469" t="str">
        <f>HYPERLINK("http://service.sap.com/sap/support/notes/1561921","1561921")</f>
        <v>1561921</v>
      </c>
      <c r="E2469">
        <v>2</v>
      </c>
      <c r="F2469" t="s">
        <v>2635</v>
      </c>
    </row>
    <row r="2470" spans="1:6" x14ac:dyDescent="0.25">
      <c r="A2470" t="s">
        <v>2948</v>
      </c>
      <c r="B2470" t="s">
        <v>173</v>
      </c>
      <c r="C2470" t="s">
        <v>45</v>
      </c>
      <c r="D2470" t="str">
        <f>HYPERLINK("http://service.sap.com/sap/support/notes/1563065","1563065")</f>
        <v>1563065</v>
      </c>
      <c r="E2470">
        <v>2</v>
      </c>
      <c r="F2470" t="s">
        <v>2636</v>
      </c>
    </row>
    <row r="2471" spans="1:6" x14ac:dyDescent="0.25">
      <c r="A2471" t="s">
        <v>2948</v>
      </c>
      <c r="B2471" t="s">
        <v>173</v>
      </c>
      <c r="C2471" t="s">
        <v>45</v>
      </c>
      <c r="D2471" t="str">
        <f>HYPERLINK("http://service.sap.com/sap/support/notes/1563332","1563332")</f>
        <v>1563332</v>
      </c>
      <c r="E2471">
        <v>2</v>
      </c>
      <c r="F2471" t="s">
        <v>2637</v>
      </c>
    </row>
    <row r="2472" spans="1:6" x14ac:dyDescent="0.25">
      <c r="A2472" t="s">
        <v>2948</v>
      </c>
      <c r="B2472" t="s">
        <v>173</v>
      </c>
      <c r="C2472" t="s">
        <v>45</v>
      </c>
      <c r="D2472" t="str">
        <f>HYPERLINK("http://service.sap.com/sap/support/notes/1563876","1563876")</f>
        <v>1563876</v>
      </c>
      <c r="E2472">
        <v>6</v>
      </c>
      <c r="F2472" t="s">
        <v>2638</v>
      </c>
    </row>
    <row r="2473" spans="1:6" x14ac:dyDescent="0.25">
      <c r="A2473" t="s">
        <v>2948</v>
      </c>
      <c r="B2473" t="s">
        <v>173</v>
      </c>
      <c r="C2473" t="s">
        <v>45</v>
      </c>
      <c r="D2473" t="str">
        <f>HYPERLINK("http://service.sap.com/sap/support/notes/1564679","1564679")</f>
        <v>1564679</v>
      </c>
      <c r="E2473">
        <v>3</v>
      </c>
      <c r="F2473" t="s">
        <v>2639</v>
      </c>
    </row>
    <row r="2474" spans="1:6" x14ac:dyDescent="0.25">
      <c r="A2474" t="s">
        <v>2948</v>
      </c>
      <c r="B2474" t="s">
        <v>173</v>
      </c>
      <c r="C2474" t="s">
        <v>45</v>
      </c>
      <c r="D2474" t="str">
        <f>HYPERLINK("http://service.sap.com/sap/support/notes/1565079","1565079")</f>
        <v>1565079</v>
      </c>
      <c r="E2474">
        <v>1</v>
      </c>
      <c r="F2474" t="s">
        <v>2640</v>
      </c>
    </row>
    <row r="2475" spans="1:6" x14ac:dyDescent="0.25">
      <c r="A2475" t="s">
        <v>2948</v>
      </c>
      <c r="B2475" t="s">
        <v>173</v>
      </c>
      <c r="C2475" t="s">
        <v>45</v>
      </c>
      <c r="D2475" t="str">
        <f>HYPERLINK("http://service.sap.com/sap/support/notes/1565081","1565081")</f>
        <v>1565081</v>
      </c>
      <c r="E2475">
        <v>2</v>
      </c>
      <c r="F2475" t="s">
        <v>2641</v>
      </c>
    </row>
    <row r="2476" spans="1:6" x14ac:dyDescent="0.25">
      <c r="A2476" t="s">
        <v>2948</v>
      </c>
      <c r="B2476" t="s">
        <v>173</v>
      </c>
      <c r="C2476" t="s">
        <v>45</v>
      </c>
      <c r="D2476" t="str">
        <f>HYPERLINK("http://service.sap.com/sap/support/notes/1565451","1565451")</f>
        <v>1565451</v>
      </c>
      <c r="E2476">
        <v>1</v>
      </c>
      <c r="F2476" t="s">
        <v>2642</v>
      </c>
    </row>
    <row r="2477" spans="1:6" x14ac:dyDescent="0.25">
      <c r="A2477" t="s">
        <v>2948</v>
      </c>
      <c r="B2477" t="s">
        <v>173</v>
      </c>
      <c r="C2477" t="s">
        <v>45</v>
      </c>
      <c r="D2477" t="str">
        <f>HYPERLINK("http://service.sap.com/sap/support/notes/1566089","1566089")</f>
        <v>1566089</v>
      </c>
      <c r="E2477">
        <v>3</v>
      </c>
      <c r="F2477" t="s">
        <v>2643</v>
      </c>
    </row>
    <row r="2478" spans="1:6" x14ac:dyDescent="0.25">
      <c r="A2478" t="s">
        <v>2948</v>
      </c>
      <c r="B2478" t="s">
        <v>173</v>
      </c>
      <c r="C2478" t="s">
        <v>45</v>
      </c>
      <c r="D2478" t="str">
        <f>HYPERLINK("http://service.sap.com/sap/support/notes/1566519","1566519")</f>
        <v>1566519</v>
      </c>
      <c r="E2478">
        <v>3</v>
      </c>
      <c r="F2478" t="s">
        <v>2644</v>
      </c>
    </row>
    <row r="2479" spans="1:6" x14ac:dyDescent="0.25">
      <c r="A2479" t="s">
        <v>2948</v>
      </c>
      <c r="B2479" t="s">
        <v>189</v>
      </c>
      <c r="C2479" t="s">
        <v>153</v>
      </c>
      <c r="D2479" t="str">
        <f>HYPERLINK("http://service.sap.com/sap/support/notes/1246605","1246605")</f>
        <v>1246605</v>
      </c>
      <c r="E2479">
        <v>1</v>
      </c>
      <c r="F2479" t="s">
        <v>190</v>
      </c>
    </row>
    <row r="2480" spans="1:6" x14ac:dyDescent="0.25">
      <c r="A2480" t="s">
        <v>2948</v>
      </c>
      <c r="B2480" t="s">
        <v>191</v>
      </c>
      <c r="C2480" t="s">
        <v>192</v>
      </c>
      <c r="D2480" t="str">
        <f>HYPERLINK("http://service.sap.com/sap/support/notes/1060819","1060819")</f>
        <v>1060819</v>
      </c>
      <c r="E2480">
        <v>1</v>
      </c>
      <c r="F2480" t="s">
        <v>193</v>
      </c>
    </row>
    <row r="2481" spans="1:6" x14ac:dyDescent="0.25">
      <c r="A2481" t="s">
        <v>2948</v>
      </c>
      <c r="B2481" t="s">
        <v>191</v>
      </c>
      <c r="C2481" t="s">
        <v>192</v>
      </c>
      <c r="D2481" t="str">
        <f>HYPERLINK("http://service.sap.com/sap/support/notes/1536433","1536433")</f>
        <v>1536433</v>
      </c>
      <c r="E2481">
        <v>3</v>
      </c>
      <c r="F2481" t="s">
        <v>2645</v>
      </c>
    </row>
    <row r="2482" spans="1:6" x14ac:dyDescent="0.25">
      <c r="A2482" t="s">
        <v>2948</v>
      </c>
      <c r="B2482" t="s">
        <v>191</v>
      </c>
      <c r="C2482" t="s">
        <v>192</v>
      </c>
      <c r="D2482" t="str">
        <f>HYPERLINK("http://service.sap.com/sap/support/notes/1543341","1543341")</f>
        <v>1543341</v>
      </c>
      <c r="E2482">
        <v>5</v>
      </c>
      <c r="F2482" t="s">
        <v>2646</v>
      </c>
    </row>
    <row r="2483" spans="1:6" x14ac:dyDescent="0.25">
      <c r="A2483" t="s">
        <v>2948</v>
      </c>
      <c r="B2483" t="s">
        <v>191</v>
      </c>
      <c r="C2483" t="s">
        <v>192</v>
      </c>
      <c r="D2483" t="str">
        <f>HYPERLINK("http://service.sap.com/sap/support/notes/1552408","1552408")</f>
        <v>1552408</v>
      </c>
      <c r="E2483">
        <v>2</v>
      </c>
      <c r="F2483" t="s">
        <v>2647</v>
      </c>
    </row>
    <row r="2484" spans="1:6" x14ac:dyDescent="0.25">
      <c r="A2484" t="s">
        <v>2948</v>
      </c>
      <c r="B2484" t="s">
        <v>191</v>
      </c>
      <c r="C2484" t="s">
        <v>192</v>
      </c>
      <c r="D2484" t="str">
        <f>HYPERLINK("http://service.sap.com/sap/support/notes/1553973","1553973")</f>
        <v>1553973</v>
      </c>
      <c r="E2484">
        <v>2</v>
      </c>
      <c r="F2484" t="s">
        <v>2648</v>
      </c>
    </row>
    <row r="2485" spans="1:6" x14ac:dyDescent="0.25">
      <c r="A2485" t="s">
        <v>2948</v>
      </c>
      <c r="B2485" t="s">
        <v>191</v>
      </c>
      <c r="C2485" t="s">
        <v>192</v>
      </c>
      <c r="D2485" t="str">
        <f>HYPERLINK("http://service.sap.com/sap/support/notes/1557977","1557977")</f>
        <v>1557977</v>
      </c>
      <c r="E2485">
        <v>3</v>
      </c>
      <c r="F2485" t="s">
        <v>2649</v>
      </c>
    </row>
    <row r="2486" spans="1:6" x14ac:dyDescent="0.25">
      <c r="A2486" t="s">
        <v>2948</v>
      </c>
      <c r="B2486" t="s">
        <v>191</v>
      </c>
      <c r="C2486" t="s">
        <v>192</v>
      </c>
      <c r="D2486" t="str">
        <f>HYPERLINK("http://service.sap.com/sap/support/notes/1558003","1558003")</f>
        <v>1558003</v>
      </c>
      <c r="E2486">
        <v>3</v>
      </c>
      <c r="F2486" t="s">
        <v>2650</v>
      </c>
    </row>
    <row r="2487" spans="1:6" x14ac:dyDescent="0.25">
      <c r="A2487" t="s">
        <v>2948</v>
      </c>
      <c r="B2487" t="s">
        <v>191</v>
      </c>
      <c r="C2487" t="s">
        <v>192</v>
      </c>
      <c r="D2487" t="str">
        <f>HYPERLINK("http://service.sap.com/sap/support/notes/1558009","1558009")</f>
        <v>1558009</v>
      </c>
      <c r="E2487">
        <v>5</v>
      </c>
      <c r="F2487" t="s">
        <v>2651</v>
      </c>
    </row>
    <row r="2488" spans="1:6" x14ac:dyDescent="0.25">
      <c r="A2488" t="s">
        <v>2948</v>
      </c>
      <c r="B2488" t="s">
        <v>191</v>
      </c>
      <c r="C2488" t="s">
        <v>192</v>
      </c>
      <c r="D2488" t="str">
        <f>HYPERLINK("http://service.sap.com/sap/support/notes/1558771","1558771")</f>
        <v>1558771</v>
      </c>
      <c r="E2488">
        <v>5</v>
      </c>
      <c r="F2488" t="s">
        <v>2652</v>
      </c>
    </row>
    <row r="2489" spans="1:6" x14ac:dyDescent="0.25">
      <c r="A2489" t="s">
        <v>2948</v>
      </c>
      <c r="B2489" t="s">
        <v>191</v>
      </c>
      <c r="C2489" t="s">
        <v>192</v>
      </c>
      <c r="D2489" t="str">
        <f>HYPERLINK("http://service.sap.com/sap/support/notes/1560337","1560337")</f>
        <v>1560337</v>
      </c>
      <c r="E2489">
        <v>3</v>
      </c>
      <c r="F2489" t="s">
        <v>2653</v>
      </c>
    </row>
    <row r="2490" spans="1:6" x14ac:dyDescent="0.25">
      <c r="A2490" t="s">
        <v>2948</v>
      </c>
      <c r="B2490" t="s">
        <v>191</v>
      </c>
      <c r="C2490" t="s">
        <v>192</v>
      </c>
      <c r="D2490" t="str">
        <f>HYPERLINK("http://service.sap.com/sap/support/notes/1560338","1560338")</f>
        <v>1560338</v>
      </c>
      <c r="E2490">
        <v>2</v>
      </c>
      <c r="F2490" t="s">
        <v>2654</v>
      </c>
    </row>
    <row r="2491" spans="1:6" x14ac:dyDescent="0.25">
      <c r="A2491" t="s">
        <v>2948</v>
      </c>
      <c r="B2491" t="s">
        <v>191</v>
      </c>
      <c r="C2491" t="s">
        <v>192</v>
      </c>
      <c r="D2491" t="str">
        <f>HYPERLINK("http://service.sap.com/sap/support/notes/1560787","1560787")</f>
        <v>1560787</v>
      </c>
      <c r="E2491">
        <v>2</v>
      </c>
      <c r="F2491" t="s">
        <v>2655</v>
      </c>
    </row>
    <row r="2492" spans="1:6" x14ac:dyDescent="0.25">
      <c r="A2492" t="s">
        <v>2948</v>
      </c>
      <c r="B2492" t="s">
        <v>191</v>
      </c>
      <c r="C2492" t="s">
        <v>192</v>
      </c>
      <c r="D2492" t="str">
        <f>HYPERLINK("http://service.sap.com/sap/support/notes/1561671","1561671")</f>
        <v>1561671</v>
      </c>
      <c r="E2492">
        <v>2</v>
      </c>
      <c r="F2492" t="s">
        <v>2656</v>
      </c>
    </row>
    <row r="2493" spans="1:6" x14ac:dyDescent="0.25">
      <c r="A2493" t="s">
        <v>2948</v>
      </c>
      <c r="B2493" t="s">
        <v>191</v>
      </c>
      <c r="C2493" t="s">
        <v>192</v>
      </c>
      <c r="D2493" t="str">
        <f>HYPERLINK("http://service.sap.com/sap/support/notes/1561768","1561768")</f>
        <v>1561768</v>
      </c>
      <c r="E2493">
        <v>3</v>
      </c>
      <c r="F2493" t="s">
        <v>2262</v>
      </c>
    </row>
    <row r="2494" spans="1:6" x14ac:dyDescent="0.25">
      <c r="A2494" t="s">
        <v>2948</v>
      </c>
      <c r="B2494" t="s">
        <v>191</v>
      </c>
      <c r="C2494" t="s">
        <v>192</v>
      </c>
      <c r="D2494" t="str">
        <f>HYPERLINK("http://service.sap.com/sap/support/notes/1563126","1563126")</f>
        <v>1563126</v>
      </c>
      <c r="E2494">
        <v>1</v>
      </c>
      <c r="F2494" t="s">
        <v>2657</v>
      </c>
    </row>
    <row r="2495" spans="1:6" x14ac:dyDescent="0.25">
      <c r="A2495" t="s">
        <v>2948</v>
      </c>
      <c r="B2495" t="s">
        <v>191</v>
      </c>
      <c r="C2495" t="s">
        <v>192</v>
      </c>
      <c r="D2495" t="str">
        <f>HYPERLINK("http://service.sap.com/sap/support/notes/1564011","1564011")</f>
        <v>1564011</v>
      </c>
      <c r="E2495">
        <v>1</v>
      </c>
      <c r="F2495" t="s">
        <v>2263</v>
      </c>
    </row>
    <row r="2496" spans="1:6" x14ac:dyDescent="0.25">
      <c r="A2496" t="s">
        <v>2948</v>
      </c>
      <c r="B2496" t="s">
        <v>191</v>
      </c>
      <c r="C2496" t="s">
        <v>192</v>
      </c>
      <c r="D2496" t="str">
        <f>HYPERLINK("http://service.sap.com/sap/support/notes/1569306","1569306")</f>
        <v>1569306</v>
      </c>
      <c r="E2496">
        <v>2</v>
      </c>
      <c r="F2496" t="s">
        <v>2658</v>
      </c>
    </row>
    <row r="2497" spans="1:6" x14ac:dyDescent="0.25">
      <c r="A2497" t="s">
        <v>2948</v>
      </c>
      <c r="B2497" t="s">
        <v>191</v>
      </c>
      <c r="C2497" t="s">
        <v>192</v>
      </c>
      <c r="D2497" t="str">
        <f>HYPERLINK("http://service.sap.com/sap/support/notes/1569436","1569436")</f>
        <v>1569436</v>
      </c>
      <c r="E2497">
        <v>1</v>
      </c>
      <c r="F2497" t="s">
        <v>2659</v>
      </c>
    </row>
    <row r="2498" spans="1:6" x14ac:dyDescent="0.25">
      <c r="A2498" t="s">
        <v>2948</v>
      </c>
      <c r="B2498" t="s">
        <v>201</v>
      </c>
      <c r="C2498" t="s">
        <v>202</v>
      </c>
      <c r="D2498" t="str">
        <f>HYPERLINK("http://service.sap.com/sap/support/notes/1371658","1371658")</f>
        <v>1371658</v>
      </c>
      <c r="E2498">
        <v>5</v>
      </c>
      <c r="F2498" t="s">
        <v>2660</v>
      </c>
    </row>
    <row r="2499" spans="1:6" x14ac:dyDescent="0.25">
      <c r="A2499" t="s">
        <v>2948</v>
      </c>
      <c r="B2499" t="s">
        <v>201</v>
      </c>
      <c r="C2499" t="s">
        <v>202</v>
      </c>
      <c r="D2499" t="str">
        <f>HYPERLINK("http://service.sap.com/sap/support/notes/1554415","1554415")</f>
        <v>1554415</v>
      </c>
      <c r="E2499">
        <v>1</v>
      </c>
      <c r="F2499" t="s">
        <v>2661</v>
      </c>
    </row>
    <row r="2500" spans="1:6" x14ac:dyDescent="0.25">
      <c r="A2500" t="s">
        <v>2948</v>
      </c>
      <c r="B2500" t="s">
        <v>201</v>
      </c>
      <c r="C2500" t="s">
        <v>202</v>
      </c>
      <c r="D2500" t="str">
        <f>HYPERLINK("http://service.sap.com/sap/support/notes/1559862","1559862")</f>
        <v>1559862</v>
      </c>
      <c r="E2500">
        <v>1</v>
      </c>
      <c r="F2500" t="s">
        <v>2662</v>
      </c>
    </row>
    <row r="2501" spans="1:6" x14ac:dyDescent="0.25">
      <c r="A2501" t="s">
        <v>2948</v>
      </c>
      <c r="B2501" t="s">
        <v>201</v>
      </c>
      <c r="C2501" t="s">
        <v>202</v>
      </c>
      <c r="D2501" t="str">
        <f>HYPERLINK("http://service.sap.com/sap/support/notes/1563210","1563210")</f>
        <v>1563210</v>
      </c>
      <c r="E2501">
        <v>4</v>
      </c>
      <c r="F2501" t="s">
        <v>2663</v>
      </c>
    </row>
    <row r="2502" spans="1:6" x14ac:dyDescent="0.25">
      <c r="A2502" t="s">
        <v>2948</v>
      </c>
      <c r="B2502" t="s">
        <v>201</v>
      </c>
      <c r="C2502" t="s">
        <v>202</v>
      </c>
      <c r="D2502" t="str">
        <f>HYPERLINK("http://service.sap.com/sap/support/notes/1564334","1564334")</f>
        <v>1564334</v>
      </c>
      <c r="E2502">
        <v>1</v>
      </c>
      <c r="F2502" t="s">
        <v>2664</v>
      </c>
    </row>
    <row r="2503" spans="1:6" x14ac:dyDescent="0.25">
      <c r="A2503" t="s">
        <v>2948</v>
      </c>
      <c r="B2503" t="s">
        <v>964</v>
      </c>
      <c r="C2503" t="s">
        <v>299</v>
      </c>
      <c r="D2503" t="str">
        <f>HYPERLINK("http://service.sap.com/sap/support/notes/1555782","1555782")</f>
        <v>1555782</v>
      </c>
      <c r="E2503">
        <v>1</v>
      </c>
      <c r="F2503" t="s">
        <v>2665</v>
      </c>
    </row>
    <row r="2504" spans="1:6" x14ac:dyDescent="0.25">
      <c r="A2504" t="s">
        <v>2948</v>
      </c>
      <c r="B2504" t="s">
        <v>207</v>
      </c>
      <c r="C2504" t="s">
        <v>208</v>
      </c>
      <c r="D2504" t="str">
        <f>HYPERLINK("http://service.sap.com/sap/support/notes/1540192","1540192")</f>
        <v>1540192</v>
      </c>
      <c r="E2504">
        <v>4</v>
      </c>
      <c r="F2504" t="s">
        <v>2666</v>
      </c>
    </row>
    <row r="2505" spans="1:6" x14ac:dyDescent="0.25">
      <c r="A2505" t="s">
        <v>2948</v>
      </c>
      <c r="B2505" t="s">
        <v>207</v>
      </c>
      <c r="C2505" t="s">
        <v>208</v>
      </c>
      <c r="D2505" t="str">
        <f>HYPERLINK("http://service.sap.com/sap/support/notes/1554255","1554255")</f>
        <v>1554255</v>
      </c>
      <c r="E2505">
        <v>6</v>
      </c>
      <c r="F2505" t="s">
        <v>2667</v>
      </c>
    </row>
    <row r="2506" spans="1:6" x14ac:dyDescent="0.25">
      <c r="A2506" t="s">
        <v>2948</v>
      </c>
      <c r="B2506" t="s">
        <v>207</v>
      </c>
      <c r="C2506" t="s">
        <v>208</v>
      </c>
      <c r="D2506" t="str">
        <f>HYPERLINK("http://service.sap.com/sap/support/notes/1557328","1557328")</f>
        <v>1557328</v>
      </c>
      <c r="E2506">
        <v>1</v>
      </c>
      <c r="F2506" t="s">
        <v>2668</v>
      </c>
    </row>
    <row r="2507" spans="1:6" x14ac:dyDescent="0.25">
      <c r="A2507" t="s">
        <v>2948</v>
      </c>
      <c r="B2507" t="s">
        <v>207</v>
      </c>
      <c r="C2507" t="s">
        <v>208</v>
      </c>
      <c r="D2507" t="str">
        <f>HYPERLINK("http://service.sap.com/sap/support/notes/1560163","1560163")</f>
        <v>1560163</v>
      </c>
      <c r="E2507">
        <v>1</v>
      </c>
      <c r="F2507" t="s">
        <v>2669</v>
      </c>
    </row>
    <row r="2508" spans="1:6" x14ac:dyDescent="0.25">
      <c r="A2508" t="s">
        <v>2948</v>
      </c>
      <c r="B2508" t="s">
        <v>207</v>
      </c>
      <c r="C2508" t="s">
        <v>208</v>
      </c>
      <c r="D2508" t="str">
        <f>HYPERLINK("http://service.sap.com/sap/support/notes/1563044","1563044")</f>
        <v>1563044</v>
      </c>
      <c r="E2508">
        <v>1</v>
      </c>
      <c r="F2508" t="s">
        <v>2670</v>
      </c>
    </row>
    <row r="2509" spans="1:6" x14ac:dyDescent="0.25">
      <c r="A2509" t="s">
        <v>2948</v>
      </c>
      <c r="B2509" t="s">
        <v>207</v>
      </c>
      <c r="C2509" t="s">
        <v>208</v>
      </c>
      <c r="D2509" t="str">
        <f>HYPERLINK("http://service.sap.com/sap/support/notes/1563461","1563461")</f>
        <v>1563461</v>
      </c>
      <c r="E2509">
        <v>1</v>
      </c>
      <c r="F2509" t="s">
        <v>2671</v>
      </c>
    </row>
    <row r="2510" spans="1:6" x14ac:dyDescent="0.25">
      <c r="A2510" t="s">
        <v>2948</v>
      </c>
      <c r="B2510" t="s">
        <v>207</v>
      </c>
      <c r="C2510" t="s">
        <v>208</v>
      </c>
      <c r="D2510" t="str">
        <f>HYPERLINK("http://service.sap.com/sap/support/notes/1563609","1563609")</f>
        <v>1563609</v>
      </c>
      <c r="E2510">
        <v>1</v>
      </c>
      <c r="F2510" t="s">
        <v>2672</v>
      </c>
    </row>
    <row r="2511" spans="1:6" x14ac:dyDescent="0.25">
      <c r="A2511" t="s">
        <v>2948</v>
      </c>
      <c r="B2511" t="s">
        <v>207</v>
      </c>
      <c r="C2511" t="s">
        <v>208</v>
      </c>
      <c r="D2511" t="str">
        <f>HYPERLINK("http://service.sap.com/sap/support/notes/1564105","1564105")</f>
        <v>1564105</v>
      </c>
      <c r="E2511">
        <v>1</v>
      </c>
      <c r="F2511" t="s">
        <v>2673</v>
      </c>
    </row>
    <row r="2512" spans="1:6" x14ac:dyDescent="0.25">
      <c r="A2512" t="s">
        <v>2948</v>
      </c>
      <c r="B2512" t="s">
        <v>207</v>
      </c>
      <c r="C2512" t="s">
        <v>208</v>
      </c>
      <c r="D2512" t="str">
        <f>HYPERLINK("http://service.sap.com/sap/support/notes/1564643","1564643")</f>
        <v>1564643</v>
      </c>
      <c r="E2512">
        <v>2</v>
      </c>
      <c r="F2512" t="s">
        <v>2674</v>
      </c>
    </row>
    <row r="2513" spans="1:6" x14ac:dyDescent="0.25">
      <c r="A2513" t="s">
        <v>2948</v>
      </c>
      <c r="B2513" t="s">
        <v>207</v>
      </c>
      <c r="C2513" t="s">
        <v>208</v>
      </c>
      <c r="D2513" t="str">
        <f>HYPERLINK("http://service.sap.com/sap/support/notes/1569261","1569261")</f>
        <v>1569261</v>
      </c>
      <c r="E2513">
        <v>1</v>
      </c>
      <c r="F2513" t="s">
        <v>2675</v>
      </c>
    </row>
    <row r="2514" spans="1:6" x14ac:dyDescent="0.25">
      <c r="A2514" t="s">
        <v>2948</v>
      </c>
      <c r="B2514" t="s">
        <v>207</v>
      </c>
      <c r="C2514" t="s">
        <v>208</v>
      </c>
      <c r="D2514" t="str">
        <f>HYPERLINK("http://service.sap.com/sap/support/notes/1569395","1569395")</f>
        <v>1569395</v>
      </c>
      <c r="E2514">
        <v>1</v>
      </c>
      <c r="F2514" t="s">
        <v>2676</v>
      </c>
    </row>
    <row r="2515" spans="1:6" x14ac:dyDescent="0.25">
      <c r="A2515" t="s">
        <v>2948</v>
      </c>
      <c r="B2515" t="s">
        <v>213</v>
      </c>
      <c r="C2515" t="s">
        <v>214</v>
      </c>
      <c r="D2515" t="str">
        <f>HYPERLINK("http://service.sap.com/sap/support/notes/1550610","1550610")</f>
        <v>1550610</v>
      </c>
      <c r="E2515">
        <v>3</v>
      </c>
      <c r="F2515" t="s">
        <v>2677</v>
      </c>
    </row>
    <row r="2516" spans="1:6" x14ac:dyDescent="0.25">
      <c r="A2516" t="s">
        <v>2948</v>
      </c>
      <c r="B2516" t="s">
        <v>213</v>
      </c>
      <c r="C2516" t="s">
        <v>214</v>
      </c>
      <c r="D2516" t="str">
        <f>HYPERLINK("http://service.sap.com/sap/support/notes/1552138","1552138")</f>
        <v>1552138</v>
      </c>
      <c r="E2516">
        <v>4</v>
      </c>
      <c r="F2516" t="s">
        <v>2678</v>
      </c>
    </row>
    <row r="2517" spans="1:6" x14ac:dyDescent="0.25">
      <c r="A2517" t="s">
        <v>2948</v>
      </c>
      <c r="B2517" t="s">
        <v>213</v>
      </c>
      <c r="C2517" t="s">
        <v>214</v>
      </c>
      <c r="D2517" t="str">
        <f>HYPERLINK("http://service.sap.com/sap/support/notes/1555509","1555509")</f>
        <v>1555509</v>
      </c>
      <c r="E2517">
        <v>6</v>
      </c>
      <c r="F2517" t="s">
        <v>2679</v>
      </c>
    </row>
    <row r="2518" spans="1:6" x14ac:dyDescent="0.25">
      <c r="A2518" t="s">
        <v>2948</v>
      </c>
      <c r="B2518" t="s">
        <v>213</v>
      </c>
      <c r="C2518" t="s">
        <v>214</v>
      </c>
      <c r="D2518" t="str">
        <f>HYPERLINK("http://service.sap.com/sap/support/notes/1560746","1560746")</f>
        <v>1560746</v>
      </c>
      <c r="E2518">
        <v>2</v>
      </c>
      <c r="F2518" t="s">
        <v>2680</v>
      </c>
    </row>
    <row r="2519" spans="1:6" x14ac:dyDescent="0.25">
      <c r="A2519" t="s">
        <v>2948</v>
      </c>
      <c r="B2519" t="s">
        <v>213</v>
      </c>
      <c r="C2519" t="s">
        <v>214</v>
      </c>
      <c r="D2519" t="str">
        <f>HYPERLINK("http://service.sap.com/sap/support/notes/1561781","1561781")</f>
        <v>1561781</v>
      </c>
      <c r="E2519">
        <v>2</v>
      </c>
      <c r="F2519" t="s">
        <v>2681</v>
      </c>
    </row>
    <row r="2520" spans="1:6" x14ac:dyDescent="0.25">
      <c r="A2520" t="s">
        <v>2948</v>
      </c>
      <c r="B2520" t="s">
        <v>213</v>
      </c>
      <c r="C2520" t="s">
        <v>214</v>
      </c>
      <c r="D2520" t="str">
        <f>HYPERLINK("http://service.sap.com/sap/support/notes/1563734","1563734")</f>
        <v>1563734</v>
      </c>
      <c r="E2520">
        <v>1</v>
      </c>
      <c r="F2520" t="s">
        <v>2682</v>
      </c>
    </row>
    <row r="2521" spans="1:6" x14ac:dyDescent="0.25">
      <c r="A2521" t="s">
        <v>2948</v>
      </c>
      <c r="B2521" t="s">
        <v>223</v>
      </c>
      <c r="C2521" t="s">
        <v>49</v>
      </c>
      <c r="D2521" t="str">
        <f>HYPERLINK("http://service.sap.com/sap/support/notes/1503354","1503354")</f>
        <v>1503354</v>
      </c>
      <c r="E2521">
        <v>1</v>
      </c>
      <c r="F2521" t="s">
        <v>224</v>
      </c>
    </row>
    <row r="2522" spans="1:6" x14ac:dyDescent="0.25">
      <c r="A2522" t="s">
        <v>2948</v>
      </c>
      <c r="B2522" t="s">
        <v>223</v>
      </c>
      <c r="C2522" t="s">
        <v>49</v>
      </c>
      <c r="D2522" t="str">
        <f>HYPERLINK("http://service.sap.com/sap/support/notes/1539037","1539037")</f>
        <v>1539037</v>
      </c>
      <c r="E2522">
        <v>1</v>
      </c>
      <c r="F2522" t="s">
        <v>2288</v>
      </c>
    </row>
    <row r="2523" spans="1:6" x14ac:dyDescent="0.25">
      <c r="A2523" t="s">
        <v>2948</v>
      </c>
      <c r="B2523" t="s">
        <v>223</v>
      </c>
      <c r="C2523" t="s">
        <v>49</v>
      </c>
      <c r="D2523" t="str">
        <f>HYPERLINK("http://service.sap.com/sap/support/notes/1552752","1552752")</f>
        <v>1552752</v>
      </c>
      <c r="E2523">
        <v>1</v>
      </c>
      <c r="F2523" t="s">
        <v>2683</v>
      </c>
    </row>
    <row r="2524" spans="1:6" x14ac:dyDescent="0.25">
      <c r="A2524" t="s">
        <v>2948</v>
      </c>
      <c r="B2524" t="s">
        <v>223</v>
      </c>
      <c r="C2524" t="s">
        <v>49</v>
      </c>
      <c r="D2524" t="str">
        <f>HYPERLINK("http://service.sap.com/sap/support/notes/1559371","1559371")</f>
        <v>1559371</v>
      </c>
      <c r="E2524">
        <v>1</v>
      </c>
      <c r="F2524" t="s">
        <v>2684</v>
      </c>
    </row>
    <row r="2525" spans="1:6" x14ac:dyDescent="0.25">
      <c r="A2525" t="s">
        <v>2948</v>
      </c>
      <c r="B2525" t="s">
        <v>223</v>
      </c>
      <c r="C2525" t="s">
        <v>49</v>
      </c>
      <c r="D2525" t="str">
        <f>HYPERLINK("http://service.sap.com/sap/support/notes/1559905","1559905")</f>
        <v>1559905</v>
      </c>
      <c r="E2525">
        <v>1</v>
      </c>
      <c r="F2525" t="s">
        <v>2685</v>
      </c>
    </row>
    <row r="2526" spans="1:6" x14ac:dyDescent="0.25">
      <c r="A2526" t="s">
        <v>2948</v>
      </c>
      <c r="B2526" t="s">
        <v>223</v>
      </c>
      <c r="C2526" t="s">
        <v>49</v>
      </c>
      <c r="D2526" t="str">
        <f>HYPERLINK("http://service.sap.com/sap/support/notes/1560386","1560386")</f>
        <v>1560386</v>
      </c>
      <c r="E2526">
        <v>1</v>
      </c>
      <c r="F2526" t="s">
        <v>2686</v>
      </c>
    </row>
    <row r="2527" spans="1:6" x14ac:dyDescent="0.25">
      <c r="A2527" t="s">
        <v>2948</v>
      </c>
      <c r="B2527" t="s">
        <v>223</v>
      </c>
      <c r="C2527" t="s">
        <v>49</v>
      </c>
      <c r="D2527" t="str">
        <f>HYPERLINK("http://service.sap.com/sap/support/notes/1561349","1561349")</f>
        <v>1561349</v>
      </c>
      <c r="E2527">
        <v>2</v>
      </c>
      <c r="F2527" t="s">
        <v>2687</v>
      </c>
    </row>
    <row r="2528" spans="1:6" x14ac:dyDescent="0.25">
      <c r="A2528" t="s">
        <v>2948</v>
      </c>
      <c r="B2528" t="s">
        <v>223</v>
      </c>
      <c r="C2528" t="s">
        <v>49</v>
      </c>
      <c r="D2528" t="str">
        <f>HYPERLINK("http://service.sap.com/sap/support/notes/1564425","1564425")</f>
        <v>1564425</v>
      </c>
      <c r="E2528">
        <v>1</v>
      </c>
      <c r="F2528" t="s">
        <v>2684</v>
      </c>
    </row>
    <row r="2529" spans="1:6" x14ac:dyDescent="0.25">
      <c r="A2529" t="s">
        <v>2948</v>
      </c>
      <c r="B2529" t="s">
        <v>226</v>
      </c>
      <c r="C2529" t="s">
        <v>52</v>
      </c>
    </row>
    <row r="2530" spans="1:6" x14ac:dyDescent="0.25">
      <c r="A2530" t="s">
        <v>2948</v>
      </c>
      <c r="B2530" t="s">
        <v>232</v>
      </c>
      <c r="C2530" t="s">
        <v>233</v>
      </c>
      <c r="D2530" t="str">
        <f>HYPERLINK("http://service.sap.com/sap/support/notes/1569159","1569159")</f>
        <v>1569159</v>
      </c>
      <c r="E2530">
        <v>1</v>
      </c>
      <c r="F2530" t="s">
        <v>2688</v>
      </c>
    </row>
    <row r="2531" spans="1:6" x14ac:dyDescent="0.25">
      <c r="A2531" t="s">
        <v>2948</v>
      </c>
      <c r="B2531" t="s">
        <v>235</v>
      </c>
      <c r="C2531" t="s">
        <v>236</v>
      </c>
    </row>
    <row r="2532" spans="1:6" x14ac:dyDescent="0.25">
      <c r="A2532" t="s">
        <v>2948</v>
      </c>
      <c r="B2532" t="s">
        <v>237</v>
      </c>
      <c r="C2532" t="s">
        <v>238</v>
      </c>
      <c r="D2532" t="str">
        <f>HYPERLINK("http://service.sap.com/sap/support/notes/1554131","1554131")</f>
        <v>1554131</v>
      </c>
      <c r="E2532">
        <v>1</v>
      </c>
      <c r="F2532" t="s">
        <v>2689</v>
      </c>
    </row>
    <row r="2533" spans="1:6" x14ac:dyDescent="0.25">
      <c r="A2533" t="s">
        <v>2948</v>
      </c>
      <c r="B2533" t="s">
        <v>237</v>
      </c>
      <c r="C2533" t="s">
        <v>238</v>
      </c>
      <c r="D2533" t="str">
        <f>HYPERLINK("http://service.sap.com/sap/support/notes/1556798","1556798")</f>
        <v>1556798</v>
      </c>
      <c r="E2533">
        <v>2</v>
      </c>
      <c r="F2533" t="s">
        <v>2690</v>
      </c>
    </row>
    <row r="2534" spans="1:6" x14ac:dyDescent="0.25">
      <c r="A2534" t="s">
        <v>2948</v>
      </c>
      <c r="B2534" t="s">
        <v>237</v>
      </c>
      <c r="C2534" t="s">
        <v>238</v>
      </c>
      <c r="D2534" t="str">
        <f>HYPERLINK("http://service.sap.com/sap/support/notes/1560607","1560607")</f>
        <v>1560607</v>
      </c>
      <c r="E2534">
        <v>2</v>
      </c>
      <c r="F2534" t="s">
        <v>2691</v>
      </c>
    </row>
    <row r="2535" spans="1:6" x14ac:dyDescent="0.25">
      <c r="A2535" t="s">
        <v>2948</v>
      </c>
      <c r="B2535" t="s">
        <v>237</v>
      </c>
      <c r="C2535" t="s">
        <v>238</v>
      </c>
      <c r="D2535" t="str">
        <f>HYPERLINK("http://service.sap.com/sap/support/notes/1561723","1561723")</f>
        <v>1561723</v>
      </c>
      <c r="E2535">
        <v>3</v>
      </c>
      <c r="F2535" t="s">
        <v>2692</v>
      </c>
    </row>
    <row r="2536" spans="1:6" x14ac:dyDescent="0.25">
      <c r="A2536" t="s">
        <v>2948</v>
      </c>
      <c r="B2536" t="s">
        <v>237</v>
      </c>
      <c r="C2536" t="s">
        <v>238</v>
      </c>
      <c r="D2536" t="str">
        <f>HYPERLINK("http://service.sap.com/sap/support/notes/1563471","1563471")</f>
        <v>1563471</v>
      </c>
      <c r="E2536">
        <v>1</v>
      </c>
      <c r="F2536" t="s">
        <v>2693</v>
      </c>
    </row>
    <row r="2537" spans="1:6" x14ac:dyDescent="0.25">
      <c r="A2537" t="s">
        <v>2948</v>
      </c>
      <c r="B2537" t="s">
        <v>237</v>
      </c>
      <c r="C2537" t="s">
        <v>238</v>
      </c>
      <c r="D2537" t="str">
        <f>HYPERLINK("http://service.sap.com/sap/support/notes/1566037","1566037")</f>
        <v>1566037</v>
      </c>
      <c r="E2537">
        <v>3</v>
      </c>
      <c r="F2537" t="s">
        <v>2694</v>
      </c>
    </row>
    <row r="2538" spans="1:6" x14ac:dyDescent="0.25">
      <c r="A2538" t="s">
        <v>2948</v>
      </c>
      <c r="B2538" t="s">
        <v>237</v>
      </c>
      <c r="C2538" t="s">
        <v>238</v>
      </c>
      <c r="D2538" t="str">
        <f>HYPERLINK("http://service.sap.com/sap/support/notes/1566791","1566791")</f>
        <v>1566791</v>
      </c>
      <c r="E2538">
        <v>1</v>
      </c>
      <c r="F2538" t="s">
        <v>2695</v>
      </c>
    </row>
    <row r="2539" spans="1:6" x14ac:dyDescent="0.25">
      <c r="A2539" t="s">
        <v>2948</v>
      </c>
      <c r="B2539" t="s">
        <v>237</v>
      </c>
      <c r="C2539" t="s">
        <v>238</v>
      </c>
      <c r="D2539" t="str">
        <f>HYPERLINK("http://service.sap.com/sap/support/notes/1567555","1567555")</f>
        <v>1567555</v>
      </c>
      <c r="E2539">
        <v>2</v>
      </c>
      <c r="F2539" t="s">
        <v>2696</v>
      </c>
    </row>
    <row r="2540" spans="1:6" x14ac:dyDescent="0.25">
      <c r="A2540" t="s">
        <v>2948</v>
      </c>
      <c r="B2540" t="s">
        <v>242</v>
      </c>
      <c r="C2540" t="s">
        <v>243</v>
      </c>
      <c r="D2540" t="str">
        <f>HYPERLINK("http://service.sap.com/sap/support/notes/1555411","1555411")</f>
        <v>1555411</v>
      </c>
      <c r="E2540">
        <v>1</v>
      </c>
      <c r="F2540" t="s">
        <v>2697</v>
      </c>
    </row>
    <row r="2541" spans="1:6" x14ac:dyDescent="0.25">
      <c r="A2541" t="s">
        <v>2948</v>
      </c>
      <c r="B2541" t="s">
        <v>242</v>
      </c>
      <c r="C2541" t="s">
        <v>243</v>
      </c>
      <c r="D2541" t="str">
        <f>HYPERLINK("http://service.sap.com/sap/support/notes/1563654","1563654")</f>
        <v>1563654</v>
      </c>
      <c r="E2541">
        <v>2</v>
      </c>
      <c r="F2541" t="s">
        <v>2698</v>
      </c>
    </row>
    <row r="2542" spans="1:6" x14ac:dyDescent="0.25">
      <c r="A2542" t="s">
        <v>2948</v>
      </c>
      <c r="B2542" t="s">
        <v>242</v>
      </c>
      <c r="C2542" t="s">
        <v>243</v>
      </c>
      <c r="D2542" t="str">
        <f>HYPERLINK("http://service.sap.com/sap/support/notes/1564522","1564522")</f>
        <v>1564522</v>
      </c>
      <c r="E2542">
        <v>1</v>
      </c>
      <c r="F2542" t="s">
        <v>2699</v>
      </c>
    </row>
    <row r="2543" spans="1:6" x14ac:dyDescent="0.25">
      <c r="A2543" t="s">
        <v>2948</v>
      </c>
      <c r="B2543" t="s">
        <v>242</v>
      </c>
      <c r="C2543" t="s">
        <v>243</v>
      </c>
      <c r="D2543" t="str">
        <f>HYPERLINK("http://service.sap.com/sap/support/notes/1566436","1566436")</f>
        <v>1566436</v>
      </c>
      <c r="E2543">
        <v>1</v>
      </c>
      <c r="F2543" t="s">
        <v>2700</v>
      </c>
    </row>
    <row r="2544" spans="1:6" x14ac:dyDescent="0.25">
      <c r="A2544" t="s">
        <v>2948</v>
      </c>
      <c r="B2544" t="s">
        <v>246</v>
      </c>
      <c r="C2544" t="s">
        <v>247</v>
      </c>
      <c r="D2544" t="str">
        <f>HYPERLINK("http://service.sap.com/sap/support/notes/1562961","1562961")</f>
        <v>1562961</v>
      </c>
      <c r="E2544">
        <v>1</v>
      </c>
      <c r="F2544" t="s">
        <v>2701</v>
      </c>
    </row>
    <row r="2545" spans="1:6" x14ac:dyDescent="0.25">
      <c r="A2545" t="s">
        <v>2948</v>
      </c>
      <c r="B2545" t="s">
        <v>1009</v>
      </c>
      <c r="C2545" t="s">
        <v>1010</v>
      </c>
      <c r="D2545" t="str">
        <f>HYPERLINK("http://service.sap.com/sap/support/notes/1551991","1551991")</f>
        <v>1551991</v>
      </c>
      <c r="E2545">
        <v>2</v>
      </c>
      <c r="F2545" t="s">
        <v>2702</v>
      </c>
    </row>
    <row r="2546" spans="1:6" x14ac:dyDescent="0.25">
      <c r="A2546" t="s">
        <v>2948</v>
      </c>
      <c r="B2546" t="s">
        <v>1009</v>
      </c>
      <c r="C2546" t="s">
        <v>1010</v>
      </c>
      <c r="D2546" t="str">
        <f>HYPERLINK("http://service.sap.com/sap/support/notes/1560874","1560874")</f>
        <v>1560874</v>
      </c>
      <c r="E2546">
        <v>1</v>
      </c>
      <c r="F2546" t="s">
        <v>2703</v>
      </c>
    </row>
    <row r="2547" spans="1:6" x14ac:dyDescent="0.25">
      <c r="A2547" t="s">
        <v>2948</v>
      </c>
      <c r="B2547" t="s">
        <v>1009</v>
      </c>
      <c r="C2547" t="s">
        <v>1010</v>
      </c>
      <c r="D2547" t="str">
        <f>HYPERLINK("http://service.sap.com/sap/support/notes/1563815","1563815")</f>
        <v>1563815</v>
      </c>
      <c r="E2547">
        <v>2</v>
      </c>
      <c r="F2547" t="s">
        <v>2704</v>
      </c>
    </row>
    <row r="2548" spans="1:6" x14ac:dyDescent="0.25">
      <c r="A2548" t="s">
        <v>2948</v>
      </c>
      <c r="B2548" t="s">
        <v>1009</v>
      </c>
      <c r="C2548" t="s">
        <v>1010</v>
      </c>
      <c r="D2548" t="str">
        <f>HYPERLINK("http://service.sap.com/sap/support/notes/1568147","1568147")</f>
        <v>1568147</v>
      </c>
      <c r="E2548">
        <v>1</v>
      </c>
      <c r="F2548" t="s">
        <v>2705</v>
      </c>
    </row>
    <row r="2549" spans="1:6" x14ac:dyDescent="0.25">
      <c r="A2549" t="s">
        <v>2948</v>
      </c>
      <c r="B2549" t="s">
        <v>250</v>
      </c>
      <c r="C2549" t="s">
        <v>251</v>
      </c>
    </row>
    <row r="2550" spans="1:6" x14ac:dyDescent="0.25">
      <c r="A2550" t="s">
        <v>2948</v>
      </c>
      <c r="B2550" t="s">
        <v>255</v>
      </c>
      <c r="C2550" t="s">
        <v>256</v>
      </c>
      <c r="D2550" t="str">
        <f>HYPERLINK("http://service.sap.com/sap/support/notes/1552859","1552859")</f>
        <v>1552859</v>
      </c>
      <c r="E2550">
        <v>1</v>
      </c>
      <c r="F2550" t="s">
        <v>2706</v>
      </c>
    </row>
    <row r="2551" spans="1:6" x14ac:dyDescent="0.25">
      <c r="A2551" t="s">
        <v>2948</v>
      </c>
      <c r="B2551" t="s">
        <v>255</v>
      </c>
      <c r="C2551" t="s">
        <v>256</v>
      </c>
      <c r="D2551" t="str">
        <f>HYPERLINK("http://service.sap.com/sap/support/notes/1559486","1559486")</f>
        <v>1559486</v>
      </c>
      <c r="E2551">
        <v>3</v>
      </c>
      <c r="F2551" t="s">
        <v>2707</v>
      </c>
    </row>
    <row r="2552" spans="1:6" x14ac:dyDescent="0.25">
      <c r="A2552" t="s">
        <v>2948</v>
      </c>
      <c r="B2552" t="s">
        <v>255</v>
      </c>
      <c r="C2552" t="s">
        <v>256</v>
      </c>
      <c r="D2552" t="str">
        <f>HYPERLINK("http://service.sap.com/sap/support/notes/1565318","1565318")</f>
        <v>1565318</v>
      </c>
      <c r="E2552">
        <v>1</v>
      </c>
      <c r="F2552" t="s">
        <v>2708</v>
      </c>
    </row>
    <row r="2553" spans="1:6" x14ac:dyDescent="0.25">
      <c r="A2553" t="s">
        <v>2948</v>
      </c>
      <c r="B2553" t="s">
        <v>255</v>
      </c>
      <c r="C2553" t="s">
        <v>256</v>
      </c>
      <c r="D2553" t="str">
        <f>HYPERLINK("http://service.sap.com/sap/support/notes/1569325","1569325")</f>
        <v>1569325</v>
      </c>
      <c r="E2553">
        <v>1</v>
      </c>
      <c r="F2553" t="s">
        <v>2709</v>
      </c>
    </row>
    <row r="2554" spans="1:6" x14ac:dyDescent="0.25">
      <c r="A2554" t="s">
        <v>2948</v>
      </c>
      <c r="B2554" t="s">
        <v>258</v>
      </c>
      <c r="C2554" t="s">
        <v>259</v>
      </c>
      <c r="D2554" t="str">
        <f>HYPERLINK("http://service.sap.com/sap/support/notes/1476042","1476042")</f>
        <v>1476042</v>
      </c>
      <c r="E2554">
        <v>1</v>
      </c>
      <c r="F2554" t="s">
        <v>2710</v>
      </c>
    </row>
    <row r="2555" spans="1:6" x14ac:dyDescent="0.25">
      <c r="A2555" t="s">
        <v>2948</v>
      </c>
      <c r="B2555" t="s">
        <v>258</v>
      </c>
      <c r="C2555" t="s">
        <v>259</v>
      </c>
      <c r="D2555" t="str">
        <f>HYPERLINK("http://service.sap.com/sap/support/notes/1563139","1563139")</f>
        <v>1563139</v>
      </c>
      <c r="E2555">
        <v>1</v>
      </c>
      <c r="F2555" t="s">
        <v>2711</v>
      </c>
    </row>
    <row r="2556" spans="1:6" x14ac:dyDescent="0.25">
      <c r="A2556" t="s">
        <v>2948</v>
      </c>
      <c r="B2556" t="s">
        <v>258</v>
      </c>
      <c r="C2556" t="s">
        <v>259</v>
      </c>
      <c r="D2556" t="str">
        <f>HYPERLINK("http://service.sap.com/sap/support/notes/1564387","1564387")</f>
        <v>1564387</v>
      </c>
      <c r="E2556">
        <v>2</v>
      </c>
      <c r="F2556" t="s">
        <v>2712</v>
      </c>
    </row>
    <row r="2557" spans="1:6" x14ac:dyDescent="0.25">
      <c r="A2557" t="s">
        <v>2948</v>
      </c>
      <c r="B2557" t="s">
        <v>258</v>
      </c>
      <c r="C2557" t="s">
        <v>259</v>
      </c>
      <c r="D2557" t="str">
        <f>HYPERLINK("http://service.sap.com/sap/support/notes/1564529","1564529")</f>
        <v>1564529</v>
      </c>
      <c r="E2557">
        <v>1</v>
      </c>
      <c r="F2557" t="s">
        <v>2713</v>
      </c>
    </row>
    <row r="2558" spans="1:6" x14ac:dyDescent="0.25">
      <c r="A2558" t="s">
        <v>2948</v>
      </c>
      <c r="B2558" t="s">
        <v>258</v>
      </c>
      <c r="C2558" t="s">
        <v>259</v>
      </c>
      <c r="D2558" t="str">
        <f>HYPERLINK("http://service.sap.com/sap/support/notes/1565412","1565412")</f>
        <v>1565412</v>
      </c>
      <c r="E2558">
        <v>1</v>
      </c>
      <c r="F2558" t="s">
        <v>2714</v>
      </c>
    </row>
    <row r="2559" spans="1:6" x14ac:dyDescent="0.25">
      <c r="A2559" t="s">
        <v>2948</v>
      </c>
      <c r="B2559" t="s">
        <v>1023</v>
      </c>
      <c r="C2559" t="s">
        <v>2715</v>
      </c>
      <c r="D2559" t="str">
        <f>HYPERLINK("http://service.sap.com/sap/support/notes/1562534","1562534")</f>
        <v>1562534</v>
      </c>
      <c r="E2559">
        <v>4</v>
      </c>
      <c r="F2559" t="s">
        <v>2716</v>
      </c>
    </row>
    <row r="2560" spans="1:6" x14ac:dyDescent="0.25">
      <c r="A2560" t="s">
        <v>2948</v>
      </c>
      <c r="B2560" t="s">
        <v>264</v>
      </c>
      <c r="C2560" t="s">
        <v>265</v>
      </c>
      <c r="D2560" t="str">
        <f>HYPERLINK("http://service.sap.com/sap/support/notes/1555251","1555251")</f>
        <v>1555251</v>
      </c>
      <c r="E2560">
        <v>1</v>
      </c>
      <c r="F2560" t="s">
        <v>2717</v>
      </c>
    </row>
    <row r="2561" spans="1:6" x14ac:dyDescent="0.25">
      <c r="A2561" t="s">
        <v>2948</v>
      </c>
      <c r="B2561" t="s">
        <v>264</v>
      </c>
      <c r="C2561" t="s">
        <v>265</v>
      </c>
      <c r="D2561" t="str">
        <f>HYPERLINK("http://service.sap.com/sap/support/notes/1561177","1561177")</f>
        <v>1561177</v>
      </c>
      <c r="E2561">
        <v>2</v>
      </c>
      <c r="F2561" t="s">
        <v>2718</v>
      </c>
    </row>
    <row r="2562" spans="1:6" x14ac:dyDescent="0.25">
      <c r="A2562" t="s">
        <v>2948</v>
      </c>
      <c r="B2562" t="s">
        <v>264</v>
      </c>
      <c r="C2562" t="s">
        <v>265</v>
      </c>
      <c r="D2562" t="str">
        <f>HYPERLINK("http://service.sap.com/sap/support/notes/1561486","1561486")</f>
        <v>1561486</v>
      </c>
      <c r="E2562">
        <v>1</v>
      </c>
      <c r="F2562" t="s">
        <v>2719</v>
      </c>
    </row>
    <row r="2563" spans="1:6" x14ac:dyDescent="0.25">
      <c r="A2563" t="s">
        <v>2948</v>
      </c>
      <c r="B2563" t="s">
        <v>273</v>
      </c>
      <c r="C2563" t="s">
        <v>153</v>
      </c>
      <c r="D2563" t="str">
        <f>HYPERLINK("http://service.sap.com/sap/support/notes/1552850","1552850")</f>
        <v>1552850</v>
      </c>
      <c r="E2563">
        <v>1</v>
      </c>
      <c r="F2563" t="s">
        <v>2720</v>
      </c>
    </row>
    <row r="2564" spans="1:6" x14ac:dyDescent="0.25">
      <c r="A2564" t="s">
        <v>2948</v>
      </c>
      <c r="B2564" t="s">
        <v>273</v>
      </c>
      <c r="C2564" t="s">
        <v>153</v>
      </c>
      <c r="D2564" t="str">
        <f>HYPERLINK("http://service.sap.com/sap/support/notes/1560139","1560139")</f>
        <v>1560139</v>
      </c>
      <c r="E2564">
        <v>1</v>
      </c>
      <c r="F2564" t="s">
        <v>2721</v>
      </c>
    </row>
    <row r="2565" spans="1:6" x14ac:dyDescent="0.25">
      <c r="A2565" t="s">
        <v>2948</v>
      </c>
      <c r="B2565" t="s">
        <v>273</v>
      </c>
      <c r="C2565" t="s">
        <v>153</v>
      </c>
      <c r="D2565" t="str">
        <f>HYPERLINK("http://service.sap.com/sap/support/notes/1569351","1569351")</f>
        <v>1569351</v>
      </c>
      <c r="E2565">
        <v>2</v>
      </c>
      <c r="F2565" t="s">
        <v>2722</v>
      </c>
    </row>
    <row r="2566" spans="1:6" x14ac:dyDescent="0.25">
      <c r="A2566" t="s">
        <v>2948</v>
      </c>
      <c r="B2566" t="s">
        <v>273</v>
      </c>
      <c r="C2566" t="s">
        <v>153</v>
      </c>
      <c r="D2566" t="str">
        <f>HYPERLINK("http://service.sap.com/sap/support/notes/1569611","1569611")</f>
        <v>1569611</v>
      </c>
      <c r="E2566">
        <v>2</v>
      </c>
      <c r="F2566" t="s">
        <v>2723</v>
      </c>
    </row>
    <row r="2567" spans="1:6" x14ac:dyDescent="0.25">
      <c r="A2567" t="s">
        <v>2948</v>
      </c>
      <c r="B2567" t="s">
        <v>284</v>
      </c>
      <c r="C2567" t="s">
        <v>285</v>
      </c>
      <c r="D2567" t="str">
        <f>HYPERLINK("http://service.sap.com/sap/support/notes/1538791","1538791")</f>
        <v>1538791</v>
      </c>
      <c r="E2567">
        <v>2</v>
      </c>
      <c r="F2567" t="s">
        <v>2724</v>
      </c>
    </row>
    <row r="2568" spans="1:6" x14ac:dyDescent="0.25">
      <c r="A2568" t="s">
        <v>2948</v>
      </c>
      <c r="B2568" t="s">
        <v>284</v>
      </c>
      <c r="C2568" t="s">
        <v>285</v>
      </c>
      <c r="D2568" t="str">
        <f>HYPERLINK("http://service.sap.com/sap/support/notes/1550671","1550671")</f>
        <v>1550671</v>
      </c>
      <c r="E2568">
        <v>1</v>
      </c>
      <c r="F2568" t="s">
        <v>2725</v>
      </c>
    </row>
    <row r="2569" spans="1:6" x14ac:dyDescent="0.25">
      <c r="A2569" t="s">
        <v>2948</v>
      </c>
      <c r="B2569" t="s">
        <v>284</v>
      </c>
      <c r="C2569" t="s">
        <v>285</v>
      </c>
      <c r="D2569" t="str">
        <f>HYPERLINK("http://service.sap.com/sap/support/notes/1558590","1558590")</f>
        <v>1558590</v>
      </c>
      <c r="E2569">
        <v>1</v>
      </c>
      <c r="F2569" t="s">
        <v>2726</v>
      </c>
    </row>
    <row r="2570" spans="1:6" x14ac:dyDescent="0.25">
      <c r="A2570" t="s">
        <v>2948</v>
      </c>
      <c r="B2570" t="s">
        <v>284</v>
      </c>
      <c r="C2570" t="s">
        <v>285</v>
      </c>
      <c r="D2570" t="str">
        <f>HYPERLINK("http://service.sap.com/sap/support/notes/1559569","1559569")</f>
        <v>1559569</v>
      </c>
      <c r="E2570">
        <v>1</v>
      </c>
      <c r="F2570" t="s">
        <v>2727</v>
      </c>
    </row>
    <row r="2571" spans="1:6" x14ac:dyDescent="0.25">
      <c r="A2571" t="s">
        <v>2948</v>
      </c>
      <c r="B2571" t="s">
        <v>284</v>
      </c>
      <c r="C2571" t="s">
        <v>285</v>
      </c>
      <c r="D2571" t="str">
        <f>HYPERLINK("http://service.sap.com/sap/support/notes/1560772","1560772")</f>
        <v>1560772</v>
      </c>
      <c r="E2571">
        <v>3</v>
      </c>
      <c r="F2571" t="s">
        <v>2728</v>
      </c>
    </row>
    <row r="2572" spans="1:6" x14ac:dyDescent="0.25">
      <c r="A2572" t="s">
        <v>2948</v>
      </c>
      <c r="B2572" t="s">
        <v>284</v>
      </c>
      <c r="C2572" t="s">
        <v>285</v>
      </c>
      <c r="D2572" t="str">
        <f>HYPERLINK("http://service.sap.com/sap/support/notes/1564524","1564524")</f>
        <v>1564524</v>
      </c>
      <c r="E2572">
        <v>2</v>
      </c>
      <c r="F2572" t="s">
        <v>2729</v>
      </c>
    </row>
    <row r="2573" spans="1:6" x14ac:dyDescent="0.25">
      <c r="A2573" t="s">
        <v>2948</v>
      </c>
      <c r="B2573" t="s">
        <v>284</v>
      </c>
      <c r="C2573" t="s">
        <v>285</v>
      </c>
      <c r="D2573" t="str">
        <f>HYPERLINK("http://service.sap.com/sap/support/notes/1564802","1564802")</f>
        <v>1564802</v>
      </c>
      <c r="E2573">
        <v>1</v>
      </c>
      <c r="F2573" t="s">
        <v>2730</v>
      </c>
    </row>
    <row r="2574" spans="1:6" x14ac:dyDescent="0.25">
      <c r="A2574" t="s">
        <v>2948</v>
      </c>
      <c r="B2574" t="s">
        <v>284</v>
      </c>
      <c r="C2574" t="s">
        <v>285</v>
      </c>
      <c r="D2574" t="str">
        <f>HYPERLINK("http://service.sap.com/sap/support/notes/1564994","1564994")</f>
        <v>1564994</v>
      </c>
      <c r="E2574">
        <v>2</v>
      </c>
      <c r="F2574" t="s">
        <v>2731</v>
      </c>
    </row>
    <row r="2575" spans="1:6" x14ac:dyDescent="0.25">
      <c r="A2575" t="s">
        <v>2948</v>
      </c>
      <c r="B2575" t="s">
        <v>284</v>
      </c>
      <c r="C2575" t="s">
        <v>285</v>
      </c>
      <c r="D2575" t="str">
        <f>HYPERLINK("http://service.sap.com/sap/support/notes/1566577","1566577")</f>
        <v>1566577</v>
      </c>
      <c r="E2575">
        <v>1</v>
      </c>
      <c r="F2575" t="s">
        <v>2732</v>
      </c>
    </row>
    <row r="2576" spans="1:6" x14ac:dyDescent="0.25">
      <c r="A2576" t="s">
        <v>2948</v>
      </c>
      <c r="B2576" t="s">
        <v>284</v>
      </c>
      <c r="C2576" t="s">
        <v>285</v>
      </c>
      <c r="D2576" t="str">
        <f>HYPERLINK("http://service.sap.com/sap/support/notes/1566762","1566762")</f>
        <v>1566762</v>
      </c>
      <c r="E2576">
        <v>1</v>
      </c>
      <c r="F2576" t="s">
        <v>2733</v>
      </c>
    </row>
    <row r="2577" spans="1:6" x14ac:dyDescent="0.25">
      <c r="A2577" t="s">
        <v>2948</v>
      </c>
      <c r="B2577" t="s">
        <v>284</v>
      </c>
      <c r="C2577" t="s">
        <v>285</v>
      </c>
      <c r="D2577" t="str">
        <f>HYPERLINK("http://service.sap.com/sap/support/notes/1566876","1566876")</f>
        <v>1566876</v>
      </c>
      <c r="E2577">
        <v>1</v>
      </c>
      <c r="F2577" t="s">
        <v>2734</v>
      </c>
    </row>
    <row r="2578" spans="1:6" x14ac:dyDescent="0.25">
      <c r="A2578" t="s">
        <v>2948</v>
      </c>
      <c r="B2578" t="s">
        <v>293</v>
      </c>
      <c r="C2578" t="s">
        <v>294</v>
      </c>
      <c r="D2578" t="str">
        <f>HYPERLINK("http://service.sap.com/sap/support/notes/1562851","1562851")</f>
        <v>1562851</v>
      </c>
      <c r="E2578">
        <v>5</v>
      </c>
      <c r="F2578" t="s">
        <v>2735</v>
      </c>
    </row>
    <row r="2579" spans="1:6" x14ac:dyDescent="0.25">
      <c r="A2579" t="s">
        <v>2948</v>
      </c>
      <c r="B2579" t="s">
        <v>298</v>
      </c>
      <c r="C2579" t="s">
        <v>299</v>
      </c>
    </row>
    <row r="2580" spans="1:6" x14ac:dyDescent="0.25">
      <c r="A2580" t="s">
        <v>2948</v>
      </c>
      <c r="B2580" t="s">
        <v>1063</v>
      </c>
      <c r="C2580" t="s">
        <v>1565</v>
      </c>
      <c r="D2580" t="str">
        <f>HYPERLINK("http://service.sap.com/sap/support/notes/1555943","1555943")</f>
        <v>1555943</v>
      </c>
      <c r="E2580">
        <v>2</v>
      </c>
      <c r="F2580" t="s">
        <v>2354</v>
      </c>
    </row>
    <row r="2581" spans="1:6" x14ac:dyDescent="0.25">
      <c r="A2581" t="s">
        <v>2948</v>
      </c>
      <c r="B2581" t="s">
        <v>1063</v>
      </c>
      <c r="C2581" t="s">
        <v>1565</v>
      </c>
      <c r="D2581" t="str">
        <f>HYPERLINK("http://service.sap.com/sap/support/notes/1556776","1556776")</f>
        <v>1556776</v>
      </c>
      <c r="E2581">
        <v>1</v>
      </c>
      <c r="F2581" t="s">
        <v>2736</v>
      </c>
    </row>
    <row r="2582" spans="1:6" x14ac:dyDescent="0.25">
      <c r="A2582" t="s">
        <v>2948</v>
      </c>
      <c r="B2582" t="s">
        <v>1063</v>
      </c>
      <c r="C2582" t="s">
        <v>1565</v>
      </c>
      <c r="D2582" t="str">
        <f>HYPERLINK("http://service.sap.com/sap/support/notes/1564097","1564097")</f>
        <v>1564097</v>
      </c>
      <c r="E2582">
        <v>3</v>
      </c>
      <c r="F2582" t="s">
        <v>2737</v>
      </c>
    </row>
    <row r="2583" spans="1:6" x14ac:dyDescent="0.25">
      <c r="A2583" t="s">
        <v>2948</v>
      </c>
      <c r="B2583" t="s">
        <v>304</v>
      </c>
      <c r="C2583" t="s">
        <v>305</v>
      </c>
      <c r="D2583" t="str">
        <f>HYPERLINK("http://service.sap.com/sap/support/notes/1017716","1017716")</f>
        <v>1017716</v>
      </c>
      <c r="E2583">
        <v>1</v>
      </c>
      <c r="F2583" t="s">
        <v>1074</v>
      </c>
    </row>
    <row r="2584" spans="1:6" x14ac:dyDescent="0.25">
      <c r="A2584" t="s">
        <v>2948</v>
      </c>
      <c r="B2584" t="s">
        <v>304</v>
      </c>
      <c r="C2584" t="s">
        <v>305</v>
      </c>
      <c r="D2584" t="str">
        <f>HYPERLINK("http://service.sap.com/sap/support/notes/1543391","1543391")</f>
        <v>1543391</v>
      </c>
      <c r="E2584">
        <v>4</v>
      </c>
      <c r="F2584" t="s">
        <v>2738</v>
      </c>
    </row>
    <row r="2585" spans="1:6" x14ac:dyDescent="0.25">
      <c r="A2585" t="s">
        <v>2948</v>
      </c>
      <c r="B2585" t="s">
        <v>304</v>
      </c>
      <c r="C2585" t="s">
        <v>305</v>
      </c>
      <c r="D2585" t="str">
        <f>HYPERLINK("http://service.sap.com/sap/support/notes/1543785","1543785")</f>
        <v>1543785</v>
      </c>
      <c r="E2585">
        <v>4</v>
      </c>
      <c r="F2585" t="s">
        <v>2739</v>
      </c>
    </row>
    <row r="2586" spans="1:6" x14ac:dyDescent="0.25">
      <c r="A2586" t="s">
        <v>2948</v>
      </c>
      <c r="B2586" t="s">
        <v>304</v>
      </c>
      <c r="C2586" t="s">
        <v>305</v>
      </c>
      <c r="D2586" t="str">
        <f>HYPERLINK("http://service.sap.com/sap/support/notes/1547412","1547412")</f>
        <v>1547412</v>
      </c>
      <c r="E2586">
        <v>1</v>
      </c>
      <c r="F2586" t="s">
        <v>2740</v>
      </c>
    </row>
    <row r="2587" spans="1:6" x14ac:dyDescent="0.25">
      <c r="A2587" t="s">
        <v>2948</v>
      </c>
      <c r="B2587" t="s">
        <v>304</v>
      </c>
      <c r="C2587" t="s">
        <v>305</v>
      </c>
      <c r="D2587" t="str">
        <f>HYPERLINK("http://service.sap.com/sap/support/notes/1550314","1550314")</f>
        <v>1550314</v>
      </c>
      <c r="E2587">
        <v>8</v>
      </c>
      <c r="F2587" t="s">
        <v>2741</v>
      </c>
    </row>
    <row r="2588" spans="1:6" x14ac:dyDescent="0.25">
      <c r="A2588" t="s">
        <v>2948</v>
      </c>
      <c r="B2588" t="s">
        <v>304</v>
      </c>
      <c r="C2588" t="s">
        <v>305</v>
      </c>
      <c r="D2588" t="str">
        <f>HYPERLINK("http://service.sap.com/sap/support/notes/1553318","1553318")</f>
        <v>1553318</v>
      </c>
      <c r="E2588">
        <v>4</v>
      </c>
      <c r="F2588" t="s">
        <v>2742</v>
      </c>
    </row>
    <row r="2589" spans="1:6" x14ac:dyDescent="0.25">
      <c r="A2589" t="s">
        <v>2948</v>
      </c>
      <c r="B2589" t="s">
        <v>304</v>
      </c>
      <c r="C2589" t="s">
        <v>305</v>
      </c>
      <c r="D2589" t="str">
        <f>HYPERLINK("http://service.sap.com/sap/support/notes/1553474","1553474")</f>
        <v>1553474</v>
      </c>
      <c r="E2589">
        <v>1</v>
      </c>
      <c r="F2589" t="s">
        <v>2743</v>
      </c>
    </row>
    <row r="2590" spans="1:6" x14ac:dyDescent="0.25">
      <c r="A2590" t="s">
        <v>2948</v>
      </c>
      <c r="B2590" t="s">
        <v>304</v>
      </c>
      <c r="C2590" t="s">
        <v>305</v>
      </c>
      <c r="D2590" t="str">
        <f>HYPERLINK("http://service.sap.com/sap/support/notes/1553823","1553823")</f>
        <v>1553823</v>
      </c>
      <c r="E2590">
        <v>9</v>
      </c>
      <c r="F2590" t="s">
        <v>2744</v>
      </c>
    </row>
    <row r="2591" spans="1:6" x14ac:dyDescent="0.25">
      <c r="A2591" t="s">
        <v>2948</v>
      </c>
      <c r="B2591" t="s">
        <v>304</v>
      </c>
      <c r="C2591" t="s">
        <v>305</v>
      </c>
      <c r="D2591" t="str">
        <f>HYPERLINK("http://service.sap.com/sap/support/notes/1555108","1555108")</f>
        <v>1555108</v>
      </c>
      <c r="E2591">
        <v>1</v>
      </c>
      <c r="F2591" t="s">
        <v>2745</v>
      </c>
    </row>
    <row r="2592" spans="1:6" x14ac:dyDescent="0.25">
      <c r="A2592" t="s">
        <v>2948</v>
      </c>
      <c r="B2592" t="s">
        <v>304</v>
      </c>
      <c r="C2592" t="s">
        <v>305</v>
      </c>
      <c r="D2592" t="str">
        <f>HYPERLINK("http://service.sap.com/sap/support/notes/1556445","1556445")</f>
        <v>1556445</v>
      </c>
      <c r="E2592">
        <v>4</v>
      </c>
      <c r="F2592" t="s">
        <v>2746</v>
      </c>
    </row>
    <row r="2593" spans="1:6" x14ac:dyDescent="0.25">
      <c r="A2593" t="s">
        <v>2948</v>
      </c>
      <c r="B2593" t="s">
        <v>304</v>
      </c>
      <c r="C2593" t="s">
        <v>305</v>
      </c>
      <c r="D2593" t="str">
        <f>HYPERLINK("http://service.sap.com/sap/support/notes/1557315","1557315")</f>
        <v>1557315</v>
      </c>
      <c r="E2593">
        <v>4</v>
      </c>
      <c r="F2593" t="s">
        <v>2747</v>
      </c>
    </row>
    <row r="2594" spans="1:6" x14ac:dyDescent="0.25">
      <c r="A2594" t="s">
        <v>2948</v>
      </c>
      <c r="B2594" t="s">
        <v>304</v>
      </c>
      <c r="C2594" t="s">
        <v>305</v>
      </c>
      <c r="D2594" t="str">
        <f>HYPERLINK("http://service.sap.com/sap/support/notes/1558663","1558663")</f>
        <v>1558663</v>
      </c>
      <c r="E2594">
        <v>3</v>
      </c>
      <c r="F2594" t="s">
        <v>2748</v>
      </c>
    </row>
    <row r="2595" spans="1:6" x14ac:dyDescent="0.25">
      <c r="A2595" t="s">
        <v>2948</v>
      </c>
      <c r="B2595" t="s">
        <v>304</v>
      </c>
      <c r="C2595" t="s">
        <v>305</v>
      </c>
      <c r="D2595" t="str">
        <f>HYPERLINK("http://service.sap.com/sap/support/notes/1558856","1558856")</f>
        <v>1558856</v>
      </c>
      <c r="E2595">
        <v>1</v>
      </c>
      <c r="F2595" t="s">
        <v>2749</v>
      </c>
    </row>
    <row r="2596" spans="1:6" x14ac:dyDescent="0.25">
      <c r="A2596" t="s">
        <v>2948</v>
      </c>
      <c r="B2596" t="s">
        <v>304</v>
      </c>
      <c r="C2596" t="s">
        <v>305</v>
      </c>
      <c r="D2596" t="str">
        <f>HYPERLINK("http://service.sap.com/sap/support/notes/1560135","1560135")</f>
        <v>1560135</v>
      </c>
      <c r="E2596">
        <v>1</v>
      </c>
      <c r="F2596" t="s">
        <v>2750</v>
      </c>
    </row>
    <row r="2597" spans="1:6" x14ac:dyDescent="0.25">
      <c r="A2597" t="s">
        <v>2948</v>
      </c>
      <c r="B2597" t="s">
        <v>304</v>
      </c>
      <c r="C2597" t="s">
        <v>305</v>
      </c>
      <c r="D2597" t="str">
        <f>HYPERLINK("http://service.sap.com/sap/support/notes/1560264","1560264")</f>
        <v>1560264</v>
      </c>
      <c r="E2597">
        <v>3</v>
      </c>
      <c r="F2597" t="s">
        <v>2751</v>
      </c>
    </row>
    <row r="2598" spans="1:6" x14ac:dyDescent="0.25">
      <c r="A2598" t="s">
        <v>2948</v>
      </c>
      <c r="B2598" t="s">
        <v>304</v>
      </c>
      <c r="C2598" t="s">
        <v>305</v>
      </c>
      <c r="D2598" t="str">
        <f>HYPERLINK("http://service.sap.com/sap/support/notes/1561115","1561115")</f>
        <v>1561115</v>
      </c>
      <c r="E2598">
        <v>2</v>
      </c>
      <c r="F2598" t="s">
        <v>2752</v>
      </c>
    </row>
    <row r="2599" spans="1:6" x14ac:dyDescent="0.25">
      <c r="A2599" t="s">
        <v>2948</v>
      </c>
      <c r="B2599" t="s">
        <v>304</v>
      </c>
      <c r="C2599" t="s">
        <v>305</v>
      </c>
      <c r="D2599" t="str">
        <f>HYPERLINK("http://service.sap.com/sap/support/notes/1561118","1561118")</f>
        <v>1561118</v>
      </c>
      <c r="E2599">
        <v>1</v>
      </c>
      <c r="F2599" t="s">
        <v>2753</v>
      </c>
    </row>
    <row r="2600" spans="1:6" x14ac:dyDescent="0.25">
      <c r="A2600" t="s">
        <v>2948</v>
      </c>
      <c r="B2600" t="s">
        <v>304</v>
      </c>
      <c r="C2600" t="s">
        <v>305</v>
      </c>
      <c r="D2600" t="str">
        <f>HYPERLINK("http://service.sap.com/sap/support/notes/1562306","1562306")</f>
        <v>1562306</v>
      </c>
      <c r="E2600">
        <v>2</v>
      </c>
      <c r="F2600" t="s">
        <v>2754</v>
      </c>
    </row>
    <row r="2601" spans="1:6" x14ac:dyDescent="0.25">
      <c r="A2601" t="s">
        <v>2948</v>
      </c>
      <c r="B2601" t="s">
        <v>304</v>
      </c>
      <c r="C2601" t="s">
        <v>305</v>
      </c>
      <c r="D2601" t="str">
        <f>HYPERLINK("http://service.sap.com/sap/support/notes/1562704","1562704")</f>
        <v>1562704</v>
      </c>
      <c r="E2601">
        <v>3</v>
      </c>
      <c r="F2601" t="s">
        <v>2755</v>
      </c>
    </row>
    <row r="2602" spans="1:6" x14ac:dyDescent="0.25">
      <c r="A2602" t="s">
        <v>2948</v>
      </c>
      <c r="B2602" t="s">
        <v>304</v>
      </c>
      <c r="C2602" t="s">
        <v>305</v>
      </c>
      <c r="D2602" t="str">
        <f>HYPERLINK("http://service.sap.com/sap/support/notes/1562706","1562706")</f>
        <v>1562706</v>
      </c>
      <c r="E2602">
        <v>3</v>
      </c>
      <c r="F2602" t="s">
        <v>2756</v>
      </c>
    </row>
    <row r="2603" spans="1:6" x14ac:dyDescent="0.25">
      <c r="A2603" t="s">
        <v>2948</v>
      </c>
      <c r="B2603" t="s">
        <v>304</v>
      </c>
      <c r="C2603" t="s">
        <v>305</v>
      </c>
      <c r="D2603" t="str">
        <f>HYPERLINK("http://service.sap.com/sap/support/notes/1563090","1563090")</f>
        <v>1563090</v>
      </c>
      <c r="E2603">
        <v>3</v>
      </c>
      <c r="F2603" t="s">
        <v>2757</v>
      </c>
    </row>
    <row r="2604" spans="1:6" x14ac:dyDescent="0.25">
      <c r="A2604" t="s">
        <v>2948</v>
      </c>
      <c r="B2604" t="s">
        <v>304</v>
      </c>
      <c r="C2604" t="s">
        <v>305</v>
      </c>
      <c r="D2604" t="str">
        <f>HYPERLINK("http://service.sap.com/sap/support/notes/1563743","1563743")</f>
        <v>1563743</v>
      </c>
      <c r="E2604">
        <v>4</v>
      </c>
      <c r="F2604" t="s">
        <v>2758</v>
      </c>
    </row>
    <row r="2605" spans="1:6" x14ac:dyDescent="0.25">
      <c r="A2605" t="s">
        <v>2948</v>
      </c>
      <c r="B2605" t="s">
        <v>304</v>
      </c>
      <c r="C2605" t="s">
        <v>305</v>
      </c>
      <c r="D2605" t="str">
        <f>HYPERLINK("http://service.sap.com/sap/support/notes/1563980","1563980")</f>
        <v>1563980</v>
      </c>
      <c r="E2605">
        <v>2</v>
      </c>
      <c r="F2605" t="s">
        <v>2759</v>
      </c>
    </row>
    <row r="2606" spans="1:6" x14ac:dyDescent="0.25">
      <c r="A2606" t="s">
        <v>2948</v>
      </c>
      <c r="B2606" t="s">
        <v>304</v>
      </c>
      <c r="C2606" t="s">
        <v>305</v>
      </c>
      <c r="D2606" t="str">
        <f>HYPERLINK("http://service.sap.com/sap/support/notes/1564179","1564179")</f>
        <v>1564179</v>
      </c>
      <c r="E2606">
        <v>1</v>
      </c>
      <c r="F2606" t="s">
        <v>2760</v>
      </c>
    </row>
    <row r="2607" spans="1:6" x14ac:dyDescent="0.25">
      <c r="A2607" t="s">
        <v>2948</v>
      </c>
      <c r="B2607" t="s">
        <v>304</v>
      </c>
      <c r="C2607" t="s">
        <v>305</v>
      </c>
      <c r="D2607" t="str">
        <f>HYPERLINK("http://service.sap.com/sap/support/notes/1564195","1564195")</f>
        <v>1564195</v>
      </c>
      <c r="E2607">
        <v>4</v>
      </c>
      <c r="F2607" t="s">
        <v>2761</v>
      </c>
    </row>
    <row r="2608" spans="1:6" x14ac:dyDescent="0.25">
      <c r="A2608" t="s">
        <v>2948</v>
      </c>
      <c r="B2608" t="s">
        <v>304</v>
      </c>
      <c r="C2608" t="s">
        <v>305</v>
      </c>
      <c r="D2608" t="str">
        <f>HYPERLINK("http://service.sap.com/sap/support/notes/1565581","1565581")</f>
        <v>1565581</v>
      </c>
      <c r="E2608">
        <v>1</v>
      </c>
      <c r="F2608" t="s">
        <v>2762</v>
      </c>
    </row>
    <row r="2609" spans="1:6" x14ac:dyDescent="0.25">
      <c r="A2609" t="s">
        <v>2948</v>
      </c>
      <c r="B2609" t="s">
        <v>304</v>
      </c>
      <c r="C2609" t="s">
        <v>305</v>
      </c>
      <c r="D2609" t="str">
        <f>HYPERLINK("http://service.sap.com/sap/support/notes/1567076","1567076")</f>
        <v>1567076</v>
      </c>
      <c r="E2609">
        <v>3</v>
      </c>
      <c r="F2609" t="s">
        <v>2763</v>
      </c>
    </row>
    <row r="2610" spans="1:6" x14ac:dyDescent="0.25">
      <c r="A2610" t="s">
        <v>2948</v>
      </c>
      <c r="B2610" t="s">
        <v>304</v>
      </c>
      <c r="C2610" t="s">
        <v>305</v>
      </c>
      <c r="D2610" t="str">
        <f>HYPERLINK("http://service.sap.com/sap/support/notes/1567164","1567164")</f>
        <v>1567164</v>
      </c>
      <c r="E2610">
        <v>4</v>
      </c>
      <c r="F2610" t="s">
        <v>2764</v>
      </c>
    </row>
    <row r="2611" spans="1:6" x14ac:dyDescent="0.25">
      <c r="A2611" t="s">
        <v>2948</v>
      </c>
      <c r="B2611" t="s">
        <v>324</v>
      </c>
      <c r="C2611" t="s">
        <v>55</v>
      </c>
      <c r="D2611" t="str">
        <f>HYPERLINK("http://service.sap.com/sap/support/notes/1548774","1548774")</f>
        <v>1548774</v>
      </c>
      <c r="E2611">
        <v>2</v>
      </c>
      <c r="F2611" t="s">
        <v>2765</v>
      </c>
    </row>
    <row r="2612" spans="1:6" x14ac:dyDescent="0.25">
      <c r="A2612" t="s">
        <v>2948</v>
      </c>
      <c r="B2612" t="s">
        <v>324</v>
      </c>
      <c r="C2612" t="s">
        <v>55</v>
      </c>
      <c r="D2612" t="str">
        <f>HYPERLINK("http://service.sap.com/sap/support/notes/1562302","1562302")</f>
        <v>1562302</v>
      </c>
      <c r="E2612">
        <v>1</v>
      </c>
      <c r="F2612" t="s">
        <v>2766</v>
      </c>
    </row>
    <row r="2613" spans="1:6" x14ac:dyDescent="0.25">
      <c r="A2613" t="s">
        <v>2948</v>
      </c>
      <c r="B2613" t="s">
        <v>324</v>
      </c>
      <c r="C2613" t="s">
        <v>55</v>
      </c>
      <c r="D2613" t="str">
        <f>HYPERLINK("http://service.sap.com/sap/support/notes/1563350","1563350")</f>
        <v>1563350</v>
      </c>
      <c r="E2613">
        <v>1</v>
      </c>
      <c r="F2613" t="s">
        <v>2767</v>
      </c>
    </row>
    <row r="2614" spans="1:6" x14ac:dyDescent="0.25">
      <c r="A2614" t="s">
        <v>2948</v>
      </c>
      <c r="B2614" t="s">
        <v>328</v>
      </c>
      <c r="C2614" t="s">
        <v>58</v>
      </c>
      <c r="D2614" t="str">
        <f>HYPERLINK("http://service.sap.com/sap/support/notes/1546231","1546231")</f>
        <v>1546231</v>
      </c>
      <c r="E2614">
        <v>3</v>
      </c>
      <c r="F2614" t="s">
        <v>2768</v>
      </c>
    </row>
    <row r="2615" spans="1:6" x14ac:dyDescent="0.25">
      <c r="A2615" t="s">
        <v>2948</v>
      </c>
      <c r="B2615" t="s">
        <v>328</v>
      </c>
      <c r="C2615" t="s">
        <v>58</v>
      </c>
      <c r="D2615" t="str">
        <f>HYPERLINK("http://service.sap.com/sap/support/notes/1549150","1549150")</f>
        <v>1549150</v>
      </c>
      <c r="E2615">
        <v>2</v>
      </c>
      <c r="F2615" t="s">
        <v>2769</v>
      </c>
    </row>
    <row r="2616" spans="1:6" x14ac:dyDescent="0.25">
      <c r="A2616" t="s">
        <v>2948</v>
      </c>
      <c r="B2616" t="s">
        <v>328</v>
      </c>
      <c r="C2616" t="s">
        <v>58</v>
      </c>
      <c r="D2616" t="str">
        <f>HYPERLINK("http://service.sap.com/sap/support/notes/1553801","1553801")</f>
        <v>1553801</v>
      </c>
      <c r="E2616">
        <v>6</v>
      </c>
      <c r="F2616" t="s">
        <v>2770</v>
      </c>
    </row>
    <row r="2617" spans="1:6" x14ac:dyDescent="0.25">
      <c r="A2617" t="s">
        <v>2948</v>
      </c>
      <c r="B2617" t="s">
        <v>328</v>
      </c>
      <c r="C2617" t="s">
        <v>58</v>
      </c>
      <c r="D2617" t="str">
        <f>HYPERLINK("http://service.sap.com/sap/support/notes/1555647","1555647")</f>
        <v>1555647</v>
      </c>
      <c r="E2617">
        <v>3</v>
      </c>
      <c r="F2617" t="s">
        <v>2771</v>
      </c>
    </row>
    <row r="2618" spans="1:6" x14ac:dyDescent="0.25">
      <c r="A2618" t="s">
        <v>2948</v>
      </c>
      <c r="B2618" t="s">
        <v>328</v>
      </c>
      <c r="C2618" t="s">
        <v>58</v>
      </c>
      <c r="D2618" t="str">
        <f>HYPERLINK("http://service.sap.com/sap/support/notes/1558303","1558303")</f>
        <v>1558303</v>
      </c>
      <c r="E2618">
        <v>1</v>
      </c>
      <c r="F2618" t="s">
        <v>2772</v>
      </c>
    </row>
    <row r="2619" spans="1:6" x14ac:dyDescent="0.25">
      <c r="A2619" t="s">
        <v>2948</v>
      </c>
      <c r="B2619" t="s">
        <v>328</v>
      </c>
      <c r="C2619" t="s">
        <v>58</v>
      </c>
      <c r="D2619" t="str">
        <f>HYPERLINK("http://service.sap.com/sap/support/notes/1558819","1558819")</f>
        <v>1558819</v>
      </c>
      <c r="E2619">
        <v>4</v>
      </c>
      <c r="F2619" t="s">
        <v>2773</v>
      </c>
    </row>
    <row r="2620" spans="1:6" x14ac:dyDescent="0.25">
      <c r="A2620" t="s">
        <v>2948</v>
      </c>
      <c r="B2620" t="s">
        <v>328</v>
      </c>
      <c r="C2620" t="s">
        <v>58</v>
      </c>
      <c r="D2620" t="str">
        <f>HYPERLINK("http://service.sap.com/sap/support/notes/1559951","1559951")</f>
        <v>1559951</v>
      </c>
      <c r="E2620">
        <v>5</v>
      </c>
      <c r="F2620" t="s">
        <v>2774</v>
      </c>
    </row>
    <row r="2621" spans="1:6" x14ac:dyDescent="0.25">
      <c r="A2621" t="s">
        <v>2948</v>
      </c>
      <c r="B2621" t="s">
        <v>328</v>
      </c>
      <c r="C2621" t="s">
        <v>58</v>
      </c>
      <c r="D2621" t="str">
        <f>HYPERLINK("http://service.sap.com/sap/support/notes/1560074","1560074")</f>
        <v>1560074</v>
      </c>
      <c r="E2621">
        <v>2</v>
      </c>
      <c r="F2621" t="s">
        <v>2775</v>
      </c>
    </row>
    <row r="2622" spans="1:6" x14ac:dyDescent="0.25">
      <c r="A2622" t="s">
        <v>2948</v>
      </c>
      <c r="B2622" t="s">
        <v>328</v>
      </c>
      <c r="C2622" t="s">
        <v>58</v>
      </c>
      <c r="D2622" t="str">
        <f>HYPERLINK("http://service.sap.com/sap/support/notes/1560776","1560776")</f>
        <v>1560776</v>
      </c>
      <c r="E2622">
        <v>4</v>
      </c>
      <c r="F2622" t="s">
        <v>2776</v>
      </c>
    </row>
    <row r="2623" spans="1:6" x14ac:dyDescent="0.25">
      <c r="A2623" t="s">
        <v>2948</v>
      </c>
      <c r="B2623" t="s">
        <v>328</v>
      </c>
      <c r="C2623" t="s">
        <v>58</v>
      </c>
      <c r="D2623" t="str">
        <f>HYPERLINK("http://service.sap.com/sap/support/notes/1562118","1562118")</f>
        <v>1562118</v>
      </c>
      <c r="E2623">
        <v>1</v>
      </c>
      <c r="F2623" t="s">
        <v>2777</v>
      </c>
    </row>
    <row r="2624" spans="1:6" x14ac:dyDescent="0.25">
      <c r="A2624" t="s">
        <v>2948</v>
      </c>
      <c r="B2624" t="s">
        <v>328</v>
      </c>
      <c r="C2624" t="s">
        <v>58</v>
      </c>
      <c r="D2624" t="str">
        <f>HYPERLINK("http://service.sap.com/sap/support/notes/1562468","1562468")</f>
        <v>1562468</v>
      </c>
      <c r="E2624">
        <v>1</v>
      </c>
      <c r="F2624" t="s">
        <v>2778</v>
      </c>
    </row>
    <row r="2625" spans="1:6" x14ac:dyDescent="0.25">
      <c r="A2625" t="s">
        <v>2948</v>
      </c>
      <c r="B2625" t="s">
        <v>328</v>
      </c>
      <c r="C2625" t="s">
        <v>58</v>
      </c>
      <c r="D2625" t="str">
        <f>HYPERLINK("http://service.sap.com/sap/support/notes/1562832","1562832")</f>
        <v>1562832</v>
      </c>
      <c r="E2625">
        <v>4</v>
      </c>
      <c r="F2625" t="s">
        <v>2779</v>
      </c>
    </row>
    <row r="2626" spans="1:6" x14ac:dyDescent="0.25">
      <c r="A2626" t="s">
        <v>2948</v>
      </c>
      <c r="B2626" t="s">
        <v>328</v>
      </c>
      <c r="C2626" t="s">
        <v>58</v>
      </c>
      <c r="D2626" t="str">
        <f>HYPERLINK("http://service.sap.com/sap/support/notes/1564665","1564665")</f>
        <v>1564665</v>
      </c>
      <c r="E2626">
        <v>4</v>
      </c>
      <c r="F2626" t="s">
        <v>2780</v>
      </c>
    </row>
    <row r="2627" spans="1:6" x14ac:dyDescent="0.25">
      <c r="A2627" t="s">
        <v>2948</v>
      </c>
      <c r="B2627" t="s">
        <v>328</v>
      </c>
      <c r="C2627" t="s">
        <v>58</v>
      </c>
      <c r="D2627" t="str">
        <f>HYPERLINK("http://service.sap.com/sap/support/notes/1568420","1568420")</f>
        <v>1568420</v>
      </c>
      <c r="E2627">
        <v>1</v>
      </c>
      <c r="F2627" t="s">
        <v>2781</v>
      </c>
    </row>
    <row r="2628" spans="1:6" x14ac:dyDescent="0.25">
      <c r="A2628" t="s">
        <v>2948</v>
      </c>
      <c r="B2628" t="s">
        <v>328</v>
      </c>
      <c r="C2628" t="s">
        <v>58</v>
      </c>
      <c r="D2628" t="str">
        <f>HYPERLINK("http://service.sap.com/sap/support/notes/1568636","1568636")</f>
        <v>1568636</v>
      </c>
      <c r="E2628">
        <v>1</v>
      </c>
      <c r="F2628" t="s">
        <v>2782</v>
      </c>
    </row>
    <row r="2629" spans="1:6" x14ac:dyDescent="0.25">
      <c r="A2629" t="s">
        <v>2948</v>
      </c>
      <c r="B2629" t="s">
        <v>2415</v>
      </c>
      <c r="C2629" t="s">
        <v>153</v>
      </c>
      <c r="D2629" t="str">
        <f>HYPERLINK("http://service.sap.com/sap/support/notes/1562128","1562128")</f>
        <v>1562128</v>
      </c>
      <c r="E2629">
        <v>3</v>
      </c>
      <c r="F2629" t="s">
        <v>2783</v>
      </c>
    </row>
    <row r="2630" spans="1:6" x14ac:dyDescent="0.25">
      <c r="A2630" t="s">
        <v>2948</v>
      </c>
      <c r="B2630" t="s">
        <v>343</v>
      </c>
      <c r="C2630" t="s">
        <v>344</v>
      </c>
      <c r="D2630" t="str">
        <f>HYPERLINK("http://service.sap.com/sap/support/notes/1129168","1129168")</f>
        <v>1129168</v>
      </c>
      <c r="E2630">
        <v>1</v>
      </c>
      <c r="F2630" t="s">
        <v>345</v>
      </c>
    </row>
    <row r="2631" spans="1:6" x14ac:dyDescent="0.25">
      <c r="A2631" t="s">
        <v>2948</v>
      </c>
      <c r="B2631" t="s">
        <v>343</v>
      </c>
      <c r="C2631" t="s">
        <v>344</v>
      </c>
      <c r="D2631" t="str">
        <f>HYPERLINK("http://service.sap.com/sap/support/notes/1561491","1561491")</f>
        <v>1561491</v>
      </c>
      <c r="E2631">
        <v>1</v>
      </c>
      <c r="F2631" t="s">
        <v>2784</v>
      </c>
    </row>
    <row r="2632" spans="1:6" x14ac:dyDescent="0.25">
      <c r="A2632" t="s">
        <v>2948</v>
      </c>
      <c r="B2632" t="s">
        <v>343</v>
      </c>
      <c r="C2632" t="s">
        <v>344</v>
      </c>
      <c r="D2632" t="str">
        <f>HYPERLINK("http://service.sap.com/sap/support/notes/1561530","1561530")</f>
        <v>1561530</v>
      </c>
      <c r="E2632">
        <v>2</v>
      </c>
      <c r="F2632" t="s">
        <v>2785</v>
      </c>
    </row>
    <row r="2633" spans="1:6" x14ac:dyDescent="0.25">
      <c r="A2633" t="s">
        <v>2948</v>
      </c>
      <c r="B2633" t="s">
        <v>2021</v>
      </c>
      <c r="C2633" t="s">
        <v>1010</v>
      </c>
    </row>
    <row r="2634" spans="1:6" x14ac:dyDescent="0.25">
      <c r="A2634" t="s">
        <v>2948</v>
      </c>
      <c r="B2634" t="s">
        <v>2022</v>
      </c>
      <c r="C2634" t="s">
        <v>2023</v>
      </c>
      <c r="D2634" t="str">
        <f>HYPERLINK("http://service.sap.com/sap/support/notes/1547617","1547617")</f>
        <v>1547617</v>
      </c>
      <c r="E2634">
        <v>1</v>
      </c>
      <c r="F2634" t="s">
        <v>2786</v>
      </c>
    </row>
    <row r="2635" spans="1:6" x14ac:dyDescent="0.25">
      <c r="A2635" t="s">
        <v>2948</v>
      </c>
      <c r="B2635" t="s">
        <v>2022</v>
      </c>
      <c r="C2635" t="s">
        <v>2023</v>
      </c>
      <c r="D2635" t="str">
        <f>HYPERLINK("http://service.sap.com/sap/support/notes/1553092","1553092")</f>
        <v>1553092</v>
      </c>
      <c r="E2635">
        <v>1</v>
      </c>
      <c r="F2635" t="s">
        <v>2787</v>
      </c>
    </row>
    <row r="2636" spans="1:6" x14ac:dyDescent="0.25">
      <c r="A2636" t="s">
        <v>2948</v>
      </c>
      <c r="B2636" t="s">
        <v>2022</v>
      </c>
      <c r="C2636" t="s">
        <v>2023</v>
      </c>
      <c r="D2636" t="str">
        <f>HYPERLINK("http://service.sap.com/sap/support/notes/1559495","1559495")</f>
        <v>1559495</v>
      </c>
      <c r="E2636">
        <v>1</v>
      </c>
      <c r="F2636" t="s">
        <v>2788</v>
      </c>
    </row>
    <row r="2637" spans="1:6" x14ac:dyDescent="0.25">
      <c r="A2637" t="s">
        <v>2948</v>
      </c>
      <c r="B2637" t="s">
        <v>2022</v>
      </c>
      <c r="C2637" t="s">
        <v>2023</v>
      </c>
      <c r="D2637" t="str">
        <f>HYPERLINK("http://service.sap.com/sap/support/notes/1563861","1563861")</f>
        <v>1563861</v>
      </c>
      <c r="E2637">
        <v>1</v>
      </c>
      <c r="F2637" t="s">
        <v>2789</v>
      </c>
    </row>
    <row r="2638" spans="1:6" x14ac:dyDescent="0.25">
      <c r="A2638" t="s">
        <v>2948</v>
      </c>
      <c r="B2638" t="s">
        <v>2022</v>
      </c>
      <c r="C2638" t="s">
        <v>2023</v>
      </c>
      <c r="D2638" t="str">
        <f>HYPERLINK("http://service.sap.com/sap/support/notes/1564782","1564782")</f>
        <v>1564782</v>
      </c>
      <c r="E2638">
        <v>1</v>
      </c>
      <c r="F2638" t="s">
        <v>2790</v>
      </c>
    </row>
    <row r="2639" spans="1:6" x14ac:dyDescent="0.25">
      <c r="A2639" t="s">
        <v>2948</v>
      </c>
      <c r="B2639" t="s">
        <v>2022</v>
      </c>
      <c r="C2639" t="s">
        <v>2023</v>
      </c>
      <c r="D2639" t="str">
        <f>HYPERLINK("http://service.sap.com/sap/support/notes/1565006","1565006")</f>
        <v>1565006</v>
      </c>
      <c r="E2639">
        <v>1</v>
      </c>
      <c r="F2639" t="s">
        <v>2791</v>
      </c>
    </row>
    <row r="2640" spans="1:6" x14ac:dyDescent="0.25">
      <c r="A2640" t="s">
        <v>2948</v>
      </c>
      <c r="B2640" t="s">
        <v>2022</v>
      </c>
      <c r="C2640" t="s">
        <v>2023</v>
      </c>
      <c r="D2640" t="str">
        <f>HYPERLINK("http://service.sap.com/sap/support/notes/1570028","1570028")</f>
        <v>1570028</v>
      </c>
      <c r="E2640">
        <v>1</v>
      </c>
      <c r="F2640" t="s">
        <v>2792</v>
      </c>
    </row>
    <row r="2641" spans="1:6" x14ac:dyDescent="0.25">
      <c r="A2641" t="s">
        <v>2948</v>
      </c>
      <c r="B2641" t="s">
        <v>1121</v>
      </c>
      <c r="C2641" t="s">
        <v>251</v>
      </c>
    </row>
    <row r="2642" spans="1:6" x14ac:dyDescent="0.25">
      <c r="A2642" t="s">
        <v>2948</v>
      </c>
      <c r="B2642" t="s">
        <v>2793</v>
      </c>
      <c r="C2642" t="s">
        <v>265</v>
      </c>
      <c r="D2642" t="str">
        <f>HYPERLINK("http://service.sap.com/sap/support/notes/1569690","1569690")</f>
        <v>1569690</v>
      </c>
      <c r="E2642">
        <v>1</v>
      </c>
      <c r="F2642" t="s">
        <v>2794</v>
      </c>
    </row>
    <row r="2643" spans="1:6" x14ac:dyDescent="0.25">
      <c r="A2643" t="s">
        <v>2948</v>
      </c>
      <c r="B2643" t="s">
        <v>347</v>
      </c>
      <c r="C2643" t="s">
        <v>153</v>
      </c>
      <c r="D2643" t="str">
        <f>HYPERLINK("http://service.sap.com/sap/support/notes/1520304","1520304")</f>
        <v>1520304</v>
      </c>
      <c r="E2643">
        <v>1</v>
      </c>
      <c r="F2643" t="s">
        <v>2795</v>
      </c>
    </row>
    <row r="2644" spans="1:6" x14ac:dyDescent="0.25">
      <c r="A2644" t="s">
        <v>2948</v>
      </c>
      <c r="B2644" t="s">
        <v>349</v>
      </c>
      <c r="C2644" t="s">
        <v>299</v>
      </c>
    </row>
    <row r="2645" spans="1:6" x14ac:dyDescent="0.25">
      <c r="A2645" t="s">
        <v>2948</v>
      </c>
      <c r="B2645" t="s">
        <v>350</v>
      </c>
      <c r="C2645" t="s">
        <v>351</v>
      </c>
      <c r="D2645" t="str">
        <f>HYPERLINK("http://service.sap.com/sap/support/notes/1443662","1443662")</f>
        <v>1443662</v>
      </c>
      <c r="E2645">
        <v>2</v>
      </c>
      <c r="F2645" t="s">
        <v>2796</v>
      </c>
    </row>
    <row r="2646" spans="1:6" x14ac:dyDescent="0.25">
      <c r="A2646" t="s">
        <v>2948</v>
      </c>
      <c r="B2646" t="s">
        <v>350</v>
      </c>
      <c r="C2646" t="s">
        <v>351</v>
      </c>
      <c r="D2646" t="str">
        <f>HYPERLINK("http://service.sap.com/sap/support/notes/1527273","1527273")</f>
        <v>1527273</v>
      </c>
      <c r="E2646">
        <v>3</v>
      </c>
      <c r="F2646" t="s">
        <v>2028</v>
      </c>
    </row>
    <row r="2647" spans="1:6" x14ac:dyDescent="0.25">
      <c r="A2647" t="s">
        <v>2948</v>
      </c>
      <c r="B2647" t="s">
        <v>350</v>
      </c>
      <c r="C2647" t="s">
        <v>351</v>
      </c>
      <c r="D2647" t="str">
        <f>HYPERLINK("http://service.sap.com/sap/support/notes/1546597","1546597")</f>
        <v>1546597</v>
      </c>
      <c r="E2647">
        <v>1</v>
      </c>
      <c r="F2647" t="s">
        <v>2797</v>
      </c>
    </row>
    <row r="2648" spans="1:6" x14ac:dyDescent="0.25">
      <c r="A2648" t="s">
        <v>2948</v>
      </c>
      <c r="B2648" t="s">
        <v>350</v>
      </c>
      <c r="C2648" t="s">
        <v>351</v>
      </c>
      <c r="D2648" t="str">
        <f>HYPERLINK("http://service.sap.com/sap/support/notes/1550747","1550747")</f>
        <v>1550747</v>
      </c>
      <c r="E2648">
        <v>2</v>
      </c>
      <c r="F2648" t="s">
        <v>2798</v>
      </c>
    </row>
    <row r="2649" spans="1:6" x14ac:dyDescent="0.25">
      <c r="A2649" t="s">
        <v>2948</v>
      </c>
      <c r="B2649" t="s">
        <v>350</v>
      </c>
      <c r="C2649" t="s">
        <v>351</v>
      </c>
      <c r="D2649" t="str">
        <f>HYPERLINK("http://service.sap.com/sap/support/notes/1559362","1559362")</f>
        <v>1559362</v>
      </c>
      <c r="E2649">
        <v>2</v>
      </c>
      <c r="F2649" t="s">
        <v>2799</v>
      </c>
    </row>
    <row r="2650" spans="1:6" x14ac:dyDescent="0.25">
      <c r="A2650" t="s">
        <v>2948</v>
      </c>
      <c r="B2650" t="s">
        <v>350</v>
      </c>
      <c r="C2650" t="s">
        <v>351</v>
      </c>
      <c r="D2650" t="str">
        <f>HYPERLINK("http://service.sap.com/sap/support/notes/1564318","1564318")</f>
        <v>1564318</v>
      </c>
      <c r="E2650">
        <v>1</v>
      </c>
      <c r="F2650" t="s">
        <v>2800</v>
      </c>
    </row>
    <row r="2651" spans="1:6" x14ac:dyDescent="0.25">
      <c r="A2651" t="s">
        <v>2948</v>
      </c>
      <c r="B2651" t="s">
        <v>353</v>
      </c>
      <c r="C2651" t="s">
        <v>354</v>
      </c>
      <c r="D2651" t="str">
        <f>HYPERLINK("http://service.sap.com/sap/support/notes/1543520","1543520")</f>
        <v>1543520</v>
      </c>
      <c r="E2651">
        <v>1</v>
      </c>
      <c r="F2651" t="s">
        <v>2801</v>
      </c>
    </row>
    <row r="2652" spans="1:6" x14ac:dyDescent="0.25">
      <c r="A2652" t="s">
        <v>2948</v>
      </c>
      <c r="B2652" t="s">
        <v>353</v>
      </c>
      <c r="C2652" t="s">
        <v>354</v>
      </c>
      <c r="D2652" t="str">
        <f>HYPERLINK("http://service.sap.com/sap/support/notes/1559955","1559955")</f>
        <v>1559955</v>
      </c>
      <c r="E2652">
        <v>1</v>
      </c>
      <c r="F2652" t="s">
        <v>2802</v>
      </c>
    </row>
    <row r="2653" spans="1:6" x14ac:dyDescent="0.25">
      <c r="A2653" t="s">
        <v>2948</v>
      </c>
      <c r="B2653" t="s">
        <v>353</v>
      </c>
      <c r="C2653" t="s">
        <v>354</v>
      </c>
      <c r="D2653" t="str">
        <f>HYPERLINK("http://service.sap.com/sap/support/notes/1563749","1563749")</f>
        <v>1563749</v>
      </c>
      <c r="E2653">
        <v>1</v>
      </c>
      <c r="F2653" t="s">
        <v>2803</v>
      </c>
    </row>
    <row r="2654" spans="1:6" x14ac:dyDescent="0.25">
      <c r="A2654" t="s">
        <v>2948</v>
      </c>
      <c r="B2654" t="s">
        <v>353</v>
      </c>
      <c r="C2654" t="s">
        <v>354</v>
      </c>
      <c r="D2654" t="str">
        <f>HYPERLINK("http://service.sap.com/sap/support/notes/1563760","1563760")</f>
        <v>1563760</v>
      </c>
      <c r="E2654">
        <v>1</v>
      </c>
      <c r="F2654" t="s">
        <v>2804</v>
      </c>
    </row>
    <row r="2655" spans="1:6" x14ac:dyDescent="0.25">
      <c r="A2655" t="s">
        <v>2948</v>
      </c>
      <c r="B2655" t="s">
        <v>353</v>
      </c>
      <c r="C2655" t="s">
        <v>354</v>
      </c>
      <c r="D2655" t="str">
        <f>HYPERLINK("http://service.sap.com/sap/support/notes/1568804","1568804")</f>
        <v>1568804</v>
      </c>
      <c r="E2655">
        <v>1</v>
      </c>
      <c r="F2655" t="s">
        <v>2805</v>
      </c>
    </row>
    <row r="2656" spans="1:6" x14ac:dyDescent="0.25">
      <c r="A2656" t="s">
        <v>2948</v>
      </c>
      <c r="B2656" t="s">
        <v>356</v>
      </c>
      <c r="C2656" t="s">
        <v>71</v>
      </c>
      <c r="D2656" t="str">
        <f>HYPERLINK("http://service.sap.com/sap/support/notes/1551897","1551897")</f>
        <v>1551897</v>
      </c>
      <c r="E2656">
        <v>1</v>
      </c>
      <c r="F2656" t="s">
        <v>1106</v>
      </c>
    </row>
    <row r="2657" spans="1:6" x14ac:dyDescent="0.25">
      <c r="A2657" t="s">
        <v>2948</v>
      </c>
      <c r="B2657" t="s">
        <v>356</v>
      </c>
      <c r="C2657" t="s">
        <v>71</v>
      </c>
      <c r="D2657" t="str">
        <f>HYPERLINK("http://service.sap.com/sap/support/notes/1565830","1565830")</f>
        <v>1565830</v>
      </c>
      <c r="E2657">
        <v>1</v>
      </c>
      <c r="F2657" t="s">
        <v>2806</v>
      </c>
    </row>
    <row r="2658" spans="1:6" x14ac:dyDescent="0.25">
      <c r="A2658" t="s">
        <v>2948</v>
      </c>
      <c r="B2658" t="s">
        <v>358</v>
      </c>
      <c r="C2658" t="s">
        <v>359</v>
      </c>
      <c r="D2658" t="str">
        <f>HYPERLINK("http://service.sap.com/sap/support/notes/1556625","1556625")</f>
        <v>1556625</v>
      </c>
      <c r="E2658">
        <v>1</v>
      </c>
      <c r="F2658" t="s">
        <v>2807</v>
      </c>
    </row>
    <row r="2659" spans="1:6" x14ac:dyDescent="0.25">
      <c r="A2659" t="s">
        <v>2948</v>
      </c>
      <c r="B2659" t="s">
        <v>358</v>
      </c>
      <c r="C2659" t="s">
        <v>359</v>
      </c>
      <c r="D2659" t="str">
        <f>HYPERLINK("http://service.sap.com/sap/support/notes/1556697","1556697")</f>
        <v>1556697</v>
      </c>
      <c r="E2659">
        <v>1</v>
      </c>
      <c r="F2659" t="s">
        <v>2808</v>
      </c>
    </row>
    <row r="2660" spans="1:6" x14ac:dyDescent="0.25">
      <c r="A2660" t="s">
        <v>2948</v>
      </c>
      <c r="B2660" t="s">
        <v>358</v>
      </c>
      <c r="C2660" t="s">
        <v>359</v>
      </c>
      <c r="D2660" t="str">
        <f>HYPERLINK("http://service.sap.com/sap/support/notes/1558713","1558713")</f>
        <v>1558713</v>
      </c>
      <c r="E2660">
        <v>1</v>
      </c>
      <c r="F2660" t="s">
        <v>2809</v>
      </c>
    </row>
    <row r="2661" spans="1:6" x14ac:dyDescent="0.25">
      <c r="A2661" t="s">
        <v>2948</v>
      </c>
      <c r="B2661" t="s">
        <v>358</v>
      </c>
      <c r="C2661" t="s">
        <v>359</v>
      </c>
      <c r="D2661" t="str">
        <f>HYPERLINK("http://service.sap.com/sap/support/notes/1561535","1561535")</f>
        <v>1561535</v>
      </c>
      <c r="E2661">
        <v>1</v>
      </c>
      <c r="F2661" t="s">
        <v>2810</v>
      </c>
    </row>
    <row r="2662" spans="1:6" x14ac:dyDescent="0.25">
      <c r="A2662" t="s">
        <v>2948</v>
      </c>
      <c r="B2662" t="s">
        <v>358</v>
      </c>
      <c r="C2662" t="s">
        <v>359</v>
      </c>
      <c r="D2662" t="str">
        <f>HYPERLINK("http://service.sap.com/sap/support/notes/1562402","1562402")</f>
        <v>1562402</v>
      </c>
      <c r="E2662">
        <v>1</v>
      </c>
      <c r="F2662" t="s">
        <v>2811</v>
      </c>
    </row>
    <row r="2663" spans="1:6" x14ac:dyDescent="0.25">
      <c r="A2663" t="s">
        <v>2948</v>
      </c>
      <c r="B2663" t="s">
        <v>363</v>
      </c>
      <c r="C2663" t="s">
        <v>74</v>
      </c>
      <c r="D2663" t="str">
        <f>HYPERLINK("http://service.sap.com/sap/support/notes/1520182","1520182")</f>
        <v>1520182</v>
      </c>
      <c r="E2663">
        <v>5</v>
      </c>
      <c r="F2663" t="s">
        <v>2812</v>
      </c>
    </row>
    <row r="2664" spans="1:6" x14ac:dyDescent="0.25">
      <c r="A2664" t="s">
        <v>2948</v>
      </c>
      <c r="B2664" t="s">
        <v>363</v>
      </c>
      <c r="C2664" t="s">
        <v>74</v>
      </c>
      <c r="D2664" t="str">
        <f>HYPERLINK("http://service.sap.com/sap/support/notes/1542705","1542705")</f>
        <v>1542705</v>
      </c>
      <c r="E2664">
        <v>2</v>
      </c>
      <c r="F2664" t="s">
        <v>2813</v>
      </c>
    </row>
    <row r="2665" spans="1:6" x14ac:dyDescent="0.25">
      <c r="A2665" t="s">
        <v>2948</v>
      </c>
      <c r="B2665" t="s">
        <v>363</v>
      </c>
      <c r="C2665" t="s">
        <v>74</v>
      </c>
      <c r="D2665" t="str">
        <f>HYPERLINK("http://service.sap.com/sap/support/notes/1557201","1557201")</f>
        <v>1557201</v>
      </c>
      <c r="E2665">
        <v>2</v>
      </c>
      <c r="F2665" t="s">
        <v>2814</v>
      </c>
    </row>
    <row r="2666" spans="1:6" x14ac:dyDescent="0.25">
      <c r="A2666" t="s">
        <v>2948</v>
      </c>
      <c r="B2666" t="s">
        <v>363</v>
      </c>
      <c r="C2666" t="s">
        <v>74</v>
      </c>
      <c r="D2666" t="str">
        <f>HYPERLINK("http://service.sap.com/sap/support/notes/1558475","1558475")</f>
        <v>1558475</v>
      </c>
      <c r="E2666">
        <v>2</v>
      </c>
      <c r="F2666" t="s">
        <v>2815</v>
      </c>
    </row>
    <row r="2667" spans="1:6" x14ac:dyDescent="0.25">
      <c r="A2667" t="s">
        <v>2948</v>
      </c>
      <c r="B2667" t="s">
        <v>363</v>
      </c>
      <c r="C2667" t="s">
        <v>74</v>
      </c>
      <c r="D2667" t="str">
        <f>HYPERLINK("http://service.sap.com/sap/support/notes/1566288","1566288")</f>
        <v>1566288</v>
      </c>
      <c r="E2667">
        <v>4</v>
      </c>
      <c r="F2667" t="s">
        <v>2816</v>
      </c>
    </row>
    <row r="2668" spans="1:6" x14ac:dyDescent="0.25">
      <c r="A2668" t="s">
        <v>2948</v>
      </c>
      <c r="B2668" t="s">
        <v>363</v>
      </c>
      <c r="C2668" t="s">
        <v>74</v>
      </c>
      <c r="D2668" t="str">
        <f>HYPERLINK("http://service.sap.com/sap/support/notes/1566796","1566796")</f>
        <v>1566796</v>
      </c>
      <c r="E2668">
        <v>2</v>
      </c>
      <c r="F2668" t="s">
        <v>2817</v>
      </c>
    </row>
    <row r="2669" spans="1:6" x14ac:dyDescent="0.25">
      <c r="A2669" t="s">
        <v>2948</v>
      </c>
      <c r="B2669" t="s">
        <v>363</v>
      </c>
      <c r="C2669" t="s">
        <v>74</v>
      </c>
      <c r="D2669" t="str">
        <f>HYPERLINK("http://service.sap.com/sap/support/notes/1567711","1567711")</f>
        <v>1567711</v>
      </c>
      <c r="E2669">
        <v>1</v>
      </c>
      <c r="F2669" t="s">
        <v>2818</v>
      </c>
    </row>
    <row r="2670" spans="1:6" x14ac:dyDescent="0.25">
      <c r="A2670" t="s">
        <v>2948</v>
      </c>
      <c r="B2670" t="s">
        <v>363</v>
      </c>
      <c r="C2670" t="s">
        <v>74</v>
      </c>
      <c r="D2670" t="str">
        <f>HYPERLINK("http://service.sap.com/sap/support/notes/1568324","1568324")</f>
        <v>1568324</v>
      </c>
      <c r="E2670">
        <v>5</v>
      </c>
      <c r="F2670" t="s">
        <v>2819</v>
      </c>
    </row>
    <row r="2671" spans="1:6" x14ac:dyDescent="0.25">
      <c r="A2671" t="s">
        <v>2948</v>
      </c>
      <c r="B2671" t="s">
        <v>363</v>
      </c>
      <c r="C2671" t="s">
        <v>74</v>
      </c>
      <c r="D2671" t="str">
        <f>HYPERLINK("http://service.sap.com/sap/support/notes/1570036","1570036")</f>
        <v>1570036</v>
      </c>
      <c r="E2671">
        <v>2</v>
      </c>
      <c r="F2671" t="s">
        <v>2820</v>
      </c>
    </row>
    <row r="2672" spans="1:6" x14ac:dyDescent="0.25">
      <c r="A2672" t="s">
        <v>2948</v>
      </c>
      <c r="B2672" t="s">
        <v>363</v>
      </c>
      <c r="C2672" t="s">
        <v>74</v>
      </c>
      <c r="D2672" t="str">
        <f>HYPERLINK("http://service.sap.com/sap/support/notes/1570568","1570568")</f>
        <v>1570568</v>
      </c>
      <c r="E2672">
        <v>1</v>
      </c>
      <c r="F2672" t="s">
        <v>2821</v>
      </c>
    </row>
    <row r="2673" spans="1:6" x14ac:dyDescent="0.25">
      <c r="A2673" t="s">
        <v>2948</v>
      </c>
      <c r="B2673" t="s">
        <v>374</v>
      </c>
      <c r="C2673" t="s">
        <v>77</v>
      </c>
      <c r="D2673" t="str">
        <f>HYPERLINK("http://service.sap.com/sap/support/notes/1552572","1552572")</f>
        <v>1552572</v>
      </c>
      <c r="E2673">
        <v>1</v>
      </c>
      <c r="F2673" t="s">
        <v>2822</v>
      </c>
    </row>
    <row r="2674" spans="1:6" x14ac:dyDescent="0.25">
      <c r="A2674" t="s">
        <v>2948</v>
      </c>
      <c r="B2674" t="s">
        <v>374</v>
      </c>
      <c r="C2674" t="s">
        <v>77</v>
      </c>
      <c r="D2674" t="str">
        <f>HYPERLINK("http://service.sap.com/sap/support/notes/1558292","1558292")</f>
        <v>1558292</v>
      </c>
      <c r="E2674">
        <v>2</v>
      </c>
      <c r="F2674" t="s">
        <v>2823</v>
      </c>
    </row>
    <row r="2675" spans="1:6" x14ac:dyDescent="0.25">
      <c r="A2675" t="s">
        <v>2948</v>
      </c>
      <c r="B2675" t="s">
        <v>374</v>
      </c>
      <c r="C2675" t="s">
        <v>77</v>
      </c>
      <c r="D2675" t="str">
        <f>HYPERLINK("http://service.sap.com/sap/support/notes/1560162","1560162")</f>
        <v>1560162</v>
      </c>
      <c r="E2675">
        <v>2</v>
      </c>
      <c r="F2675" t="s">
        <v>2824</v>
      </c>
    </row>
    <row r="2676" spans="1:6" x14ac:dyDescent="0.25">
      <c r="A2676" t="s">
        <v>2948</v>
      </c>
      <c r="B2676" t="s">
        <v>374</v>
      </c>
      <c r="C2676" t="s">
        <v>77</v>
      </c>
      <c r="D2676" t="str">
        <f>HYPERLINK("http://service.sap.com/sap/support/notes/1562705","1562705")</f>
        <v>1562705</v>
      </c>
      <c r="E2676">
        <v>2</v>
      </c>
      <c r="F2676" t="s">
        <v>2825</v>
      </c>
    </row>
    <row r="2677" spans="1:6" x14ac:dyDescent="0.25">
      <c r="A2677" t="s">
        <v>2948</v>
      </c>
      <c r="B2677" t="s">
        <v>379</v>
      </c>
      <c r="C2677" t="s">
        <v>80</v>
      </c>
      <c r="D2677" t="str">
        <f>HYPERLINK("http://service.sap.com/sap/support/notes/1533986","1533986")</f>
        <v>1533986</v>
      </c>
      <c r="E2677">
        <v>3</v>
      </c>
      <c r="F2677" t="s">
        <v>2826</v>
      </c>
    </row>
    <row r="2678" spans="1:6" x14ac:dyDescent="0.25">
      <c r="A2678" t="s">
        <v>2948</v>
      </c>
      <c r="B2678" t="s">
        <v>379</v>
      </c>
      <c r="C2678" t="s">
        <v>80</v>
      </c>
      <c r="D2678" t="str">
        <f>HYPERLINK("http://service.sap.com/sap/support/notes/1560058","1560058")</f>
        <v>1560058</v>
      </c>
      <c r="E2678">
        <v>1</v>
      </c>
      <c r="F2678" t="s">
        <v>2827</v>
      </c>
    </row>
    <row r="2679" spans="1:6" x14ac:dyDescent="0.25">
      <c r="A2679" t="s">
        <v>2948</v>
      </c>
      <c r="B2679" t="s">
        <v>379</v>
      </c>
      <c r="C2679" t="s">
        <v>80</v>
      </c>
      <c r="D2679" t="str">
        <f>HYPERLINK("http://service.sap.com/sap/support/notes/1562441","1562441")</f>
        <v>1562441</v>
      </c>
      <c r="E2679">
        <v>1</v>
      </c>
      <c r="F2679" t="s">
        <v>2828</v>
      </c>
    </row>
    <row r="2680" spans="1:6" x14ac:dyDescent="0.25">
      <c r="A2680" t="s">
        <v>2948</v>
      </c>
      <c r="B2680" t="s">
        <v>379</v>
      </c>
      <c r="C2680" t="s">
        <v>80</v>
      </c>
      <c r="D2680" t="str">
        <f>HYPERLINK("http://service.sap.com/sap/support/notes/1565303","1565303")</f>
        <v>1565303</v>
      </c>
      <c r="E2680">
        <v>1</v>
      </c>
      <c r="F2680" t="s">
        <v>2829</v>
      </c>
    </row>
    <row r="2681" spans="1:6" x14ac:dyDescent="0.25">
      <c r="A2681" t="s">
        <v>2948</v>
      </c>
      <c r="B2681" t="s">
        <v>379</v>
      </c>
      <c r="C2681" t="s">
        <v>80</v>
      </c>
      <c r="D2681" t="str">
        <f>HYPERLINK("http://service.sap.com/sap/support/notes/1565801","1565801")</f>
        <v>1565801</v>
      </c>
      <c r="E2681">
        <v>1</v>
      </c>
      <c r="F2681" t="s">
        <v>2830</v>
      </c>
    </row>
    <row r="2682" spans="1:6" x14ac:dyDescent="0.25">
      <c r="A2682" t="s">
        <v>2948</v>
      </c>
      <c r="B2682" t="s">
        <v>379</v>
      </c>
      <c r="C2682" t="s">
        <v>80</v>
      </c>
      <c r="D2682" t="str">
        <f>HYPERLINK("http://service.sap.com/sap/support/notes/1566731","1566731")</f>
        <v>1566731</v>
      </c>
      <c r="E2682">
        <v>1</v>
      </c>
      <c r="F2682" t="s">
        <v>2831</v>
      </c>
    </row>
    <row r="2683" spans="1:6" x14ac:dyDescent="0.25">
      <c r="A2683" t="s">
        <v>2948</v>
      </c>
      <c r="B2683" t="s">
        <v>388</v>
      </c>
      <c r="C2683" t="s">
        <v>87</v>
      </c>
      <c r="D2683" t="str">
        <f>HYPERLINK("http://service.sap.com/sap/support/notes/1537634","1537634")</f>
        <v>1537634</v>
      </c>
      <c r="E2683">
        <v>2</v>
      </c>
      <c r="F2683" t="s">
        <v>2832</v>
      </c>
    </row>
    <row r="2684" spans="1:6" x14ac:dyDescent="0.25">
      <c r="A2684" t="s">
        <v>2948</v>
      </c>
      <c r="B2684" t="s">
        <v>388</v>
      </c>
      <c r="C2684" t="s">
        <v>87</v>
      </c>
      <c r="D2684" t="str">
        <f>HYPERLINK("http://service.sap.com/sap/support/notes/1558564","1558564")</f>
        <v>1558564</v>
      </c>
      <c r="E2684">
        <v>4</v>
      </c>
      <c r="F2684" t="s">
        <v>2833</v>
      </c>
    </row>
    <row r="2685" spans="1:6" x14ac:dyDescent="0.25">
      <c r="A2685" t="s">
        <v>2948</v>
      </c>
      <c r="B2685" t="s">
        <v>388</v>
      </c>
      <c r="C2685" t="s">
        <v>87</v>
      </c>
      <c r="D2685" t="str">
        <f>HYPERLINK("http://service.sap.com/sap/support/notes/1559867","1559867")</f>
        <v>1559867</v>
      </c>
      <c r="E2685">
        <v>1</v>
      </c>
      <c r="F2685" t="s">
        <v>2834</v>
      </c>
    </row>
    <row r="2686" spans="1:6" x14ac:dyDescent="0.25">
      <c r="A2686" t="s">
        <v>2948</v>
      </c>
      <c r="B2686" t="s">
        <v>388</v>
      </c>
      <c r="C2686" t="s">
        <v>87</v>
      </c>
      <c r="D2686" t="str">
        <f>HYPERLINK("http://service.sap.com/sap/support/notes/1560505","1560505")</f>
        <v>1560505</v>
      </c>
      <c r="E2686">
        <v>5</v>
      </c>
      <c r="F2686" t="s">
        <v>2835</v>
      </c>
    </row>
    <row r="2687" spans="1:6" x14ac:dyDescent="0.25">
      <c r="A2687" t="s">
        <v>2948</v>
      </c>
      <c r="B2687" t="s">
        <v>388</v>
      </c>
      <c r="C2687" t="s">
        <v>87</v>
      </c>
      <c r="D2687" t="str">
        <f>HYPERLINK("http://service.sap.com/sap/support/notes/1561401","1561401")</f>
        <v>1561401</v>
      </c>
      <c r="E2687">
        <v>4</v>
      </c>
      <c r="F2687" t="s">
        <v>2836</v>
      </c>
    </row>
    <row r="2688" spans="1:6" x14ac:dyDescent="0.25">
      <c r="A2688" t="s">
        <v>2948</v>
      </c>
      <c r="B2688" t="s">
        <v>388</v>
      </c>
      <c r="C2688" t="s">
        <v>87</v>
      </c>
      <c r="D2688" t="str">
        <f>HYPERLINK("http://service.sap.com/sap/support/notes/1562825","1562825")</f>
        <v>1562825</v>
      </c>
      <c r="E2688">
        <v>4</v>
      </c>
      <c r="F2688" t="s">
        <v>2837</v>
      </c>
    </row>
    <row r="2689" spans="1:6" x14ac:dyDescent="0.25">
      <c r="A2689" t="s">
        <v>2948</v>
      </c>
      <c r="B2689" t="s">
        <v>388</v>
      </c>
      <c r="C2689" t="s">
        <v>87</v>
      </c>
      <c r="D2689" t="str">
        <f>HYPERLINK("http://service.sap.com/sap/support/notes/1563309","1563309")</f>
        <v>1563309</v>
      </c>
      <c r="E2689">
        <v>2</v>
      </c>
      <c r="F2689" t="s">
        <v>2838</v>
      </c>
    </row>
    <row r="2690" spans="1:6" x14ac:dyDescent="0.25">
      <c r="A2690" t="s">
        <v>2948</v>
      </c>
      <c r="B2690" t="s">
        <v>388</v>
      </c>
      <c r="C2690" t="s">
        <v>87</v>
      </c>
      <c r="D2690" t="str">
        <f>HYPERLINK("http://service.sap.com/sap/support/notes/1563352","1563352")</f>
        <v>1563352</v>
      </c>
      <c r="E2690">
        <v>7</v>
      </c>
      <c r="F2690" t="s">
        <v>2839</v>
      </c>
    </row>
    <row r="2691" spans="1:6" x14ac:dyDescent="0.25">
      <c r="A2691" t="s">
        <v>2948</v>
      </c>
      <c r="B2691" t="s">
        <v>388</v>
      </c>
      <c r="C2691" t="s">
        <v>87</v>
      </c>
      <c r="D2691" t="str">
        <f>HYPERLINK("http://service.sap.com/sap/support/notes/1565792","1565792")</f>
        <v>1565792</v>
      </c>
      <c r="E2691">
        <v>2</v>
      </c>
      <c r="F2691" t="s">
        <v>2840</v>
      </c>
    </row>
    <row r="2692" spans="1:6" x14ac:dyDescent="0.25">
      <c r="A2692" t="s">
        <v>2948</v>
      </c>
      <c r="B2692" t="s">
        <v>396</v>
      </c>
      <c r="C2692" t="s">
        <v>397</v>
      </c>
      <c r="D2692" t="str">
        <f>HYPERLINK("http://service.sap.com/sap/support/notes/1346548","1346548")</f>
        <v>1346548</v>
      </c>
      <c r="E2692">
        <v>1</v>
      </c>
      <c r="F2692" t="s">
        <v>2841</v>
      </c>
    </row>
    <row r="2693" spans="1:6" x14ac:dyDescent="0.25">
      <c r="A2693" t="s">
        <v>2948</v>
      </c>
      <c r="B2693" t="s">
        <v>396</v>
      </c>
      <c r="C2693" t="s">
        <v>397</v>
      </c>
      <c r="D2693" t="str">
        <f>HYPERLINK("http://service.sap.com/sap/support/notes/1546670","1546670")</f>
        <v>1546670</v>
      </c>
      <c r="E2693">
        <v>2</v>
      </c>
      <c r="F2693" t="s">
        <v>2842</v>
      </c>
    </row>
    <row r="2694" spans="1:6" x14ac:dyDescent="0.25">
      <c r="A2694" t="s">
        <v>2948</v>
      </c>
      <c r="B2694" t="s">
        <v>396</v>
      </c>
      <c r="C2694" t="s">
        <v>397</v>
      </c>
      <c r="D2694" t="str">
        <f>HYPERLINK("http://service.sap.com/sap/support/notes/1556425","1556425")</f>
        <v>1556425</v>
      </c>
      <c r="E2694">
        <v>2</v>
      </c>
      <c r="F2694" t="s">
        <v>2843</v>
      </c>
    </row>
    <row r="2695" spans="1:6" x14ac:dyDescent="0.25">
      <c r="A2695" t="s">
        <v>2948</v>
      </c>
      <c r="B2695" t="s">
        <v>396</v>
      </c>
      <c r="C2695" t="s">
        <v>397</v>
      </c>
      <c r="D2695" t="str">
        <f>HYPERLINK("http://service.sap.com/sap/support/notes/1557309","1557309")</f>
        <v>1557309</v>
      </c>
      <c r="E2695">
        <v>4</v>
      </c>
      <c r="F2695" t="s">
        <v>2844</v>
      </c>
    </row>
    <row r="2696" spans="1:6" x14ac:dyDescent="0.25">
      <c r="A2696" t="s">
        <v>2948</v>
      </c>
      <c r="B2696" t="s">
        <v>396</v>
      </c>
      <c r="C2696" t="s">
        <v>397</v>
      </c>
      <c r="D2696" t="str">
        <f>HYPERLINK("http://service.sap.com/sap/support/notes/1560719","1560719")</f>
        <v>1560719</v>
      </c>
      <c r="E2696">
        <v>2</v>
      </c>
      <c r="F2696" t="s">
        <v>2845</v>
      </c>
    </row>
    <row r="2697" spans="1:6" x14ac:dyDescent="0.25">
      <c r="A2697" t="s">
        <v>2948</v>
      </c>
      <c r="B2697" t="s">
        <v>396</v>
      </c>
      <c r="C2697" t="s">
        <v>397</v>
      </c>
      <c r="D2697" t="str">
        <f>HYPERLINK("http://service.sap.com/sap/support/notes/1561783","1561783")</f>
        <v>1561783</v>
      </c>
      <c r="E2697">
        <v>5</v>
      </c>
      <c r="F2697" t="s">
        <v>2846</v>
      </c>
    </row>
    <row r="2698" spans="1:6" x14ac:dyDescent="0.25">
      <c r="A2698" t="s">
        <v>2948</v>
      </c>
      <c r="B2698" t="s">
        <v>396</v>
      </c>
      <c r="C2698" t="s">
        <v>397</v>
      </c>
      <c r="D2698" t="str">
        <f>HYPERLINK("http://service.sap.com/sap/support/notes/1563178","1563178")</f>
        <v>1563178</v>
      </c>
      <c r="E2698">
        <v>3</v>
      </c>
      <c r="F2698" t="s">
        <v>2847</v>
      </c>
    </row>
    <row r="2699" spans="1:6" x14ac:dyDescent="0.25">
      <c r="A2699" t="s">
        <v>2948</v>
      </c>
      <c r="B2699" t="s">
        <v>405</v>
      </c>
      <c r="C2699" t="s">
        <v>90</v>
      </c>
      <c r="D2699" t="str">
        <f>HYPERLINK("http://service.sap.com/sap/support/notes/1489255","1489255")</f>
        <v>1489255</v>
      </c>
      <c r="E2699">
        <v>3</v>
      </c>
      <c r="F2699" t="s">
        <v>2848</v>
      </c>
    </row>
    <row r="2700" spans="1:6" x14ac:dyDescent="0.25">
      <c r="A2700" t="s">
        <v>2948</v>
      </c>
      <c r="B2700" t="s">
        <v>405</v>
      </c>
      <c r="C2700" t="s">
        <v>90</v>
      </c>
      <c r="D2700" t="str">
        <f>HYPERLINK("http://service.sap.com/sap/support/notes/1550363","1550363")</f>
        <v>1550363</v>
      </c>
      <c r="E2700">
        <v>3</v>
      </c>
      <c r="F2700" t="s">
        <v>2849</v>
      </c>
    </row>
    <row r="2701" spans="1:6" x14ac:dyDescent="0.25">
      <c r="A2701" t="s">
        <v>2948</v>
      </c>
      <c r="B2701" t="s">
        <v>405</v>
      </c>
      <c r="C2701" t="s">
        <v>90</v>
      </c>
      <c r="D2701" t="str">
        <f>HYPERLINK("http://service.sap.com/sap/support/notes/1557104","1557104")</f>
        <v>1557104</v>
      </c>
      <c r="E2701">
        <v>1</v>
      </c>
      <c r="F2701" t="s">
        <v>2850</v>
      </c>
    </row>
    <row r="2702" spans="1:6" x14ac:dyDescent="0.25">
      <c r="A2702" t="s">
        <v>2948</v>
      </c>
      <c r="B2702" t="s">
        <v>405</v>
      </c>
      <c r="C2702" t="s">
        <v>90</v>
      </c>
      <c r="D2702" t="str">
        <f>HYPERLINK("http://service.sap.com/sap/support/notes/1558214","1558214")</f>
        <v>1558214</v>
      </c>
      <c r="E2702">
        <v>3</v>
      </c>
      <c r="F2702" t="s">
        <v>2851</v>
      </c>
    </row>
    <row r="2703" spans="1:6" x14ac:dyDescent="0.25">
      <c r="A2703" t="s">
        <v>2948</v>
      </c>
      <c r="B2703" t="s">
        <v>405</v>
      </c>
      <c r="C2703" t="s">
        <v>90</v>
      </c>
      <c r="D2703" t="str">
        <f>HYPERLINK("http://service.sap.com/sap/support/notes/1559413","1559413")</f>
        <v>1559413</v>
      </c>
      <c r="E2703">
        <v>1</v>
      </c>
      <c r="F2703" t="s">
        <v>2852</v>
      </c>
    </row>
    <row r="2704" spans="1:6" x14ac:dyDescent="0.25">
      <c r="A2704" t="s">
        <v>2948</v>
      </c>
      <c r="B2704" t="s">
        <v>405</v>
      </c>
      <c r="C2704" t="s">
        <v>90</v>
      </c>
      <c r="D2704" t="str">
        <f>HYPERLINK("http://service.sap.com/sap/support/notes/1561318","1561318")</f>
        <v>1561318</v>
      </c>
      <c r="E2704">
        <v>2</v>
      </c>
      <c r="F2704" t="s">
        <v>2853</v>
      </c>
    </row>
    <row r="2705" spans="1:6" x14ac:dyDescent="0.25">
      <c r="A2705" t="s">
        <v>2948</v>
      </c>
      <c r="B2705" t="s">
        <v>405</v>
      </c>
      <c r="C2705" t="s">
        <v>90</v>
      </c>
      <c r="D2705" t="str">
        <f>HYPERLINK("http://service.sap.com/sap/support/notes/1561360","1561360")</f>
        <v>1561360</v>
      </c>
      <c r="E2705">
        <v>1</v>
      </c>
      <c r="F2705" t="s">
        <v>2854</v>
      </c>
    </row>
    <row r="2706" spans="1:6" x14ac:dyDescent="0.25">
      <c r="A2706" t="s">
        <v>2948</v>
      </c>
      <c r="B2706" t="s">
        <v>405</v>
      </c>
      <c r="C2706" t="s">
        <v>90</v>
      </c>
      <c r="D2706" t="str">
        <f>HYPERLINK("http://service.sap.com/sap/support/notes/1562776","1562776")</f>
        <v>1562776</v>
      </c>
      <c r="E2706">
        <v>1</v>
      </c>
      <c r="F2706" t="s">
        <v>2855</v>
      </c>
    </row>
    <row r="2707" spans="1:6" x14ac:dyDescent="0.25">
      <c r="A2707" t="s">
        <v>2948</v>
      </c>
      <c r="B2707" t="s">
        <v>405</v>
      </c>
      <c r="C2707" t="s">
        <v>90</v>
      </c>
      <c r="D2707" t="str">
        <f>HYPERLINK("http://service.sap.com/sap/support/notes/1565293","1565293")</f>
        <v>1565293</v>
      </c>
      <c r="E2707">
        <v>1</v>
      </c>
      <c r="F2707" t="s">
        <v>2856</v>
      </c>
    </row>
    <row r="2708" spans="1:6" x14ac:dyDescent="0.25">
      <c r="A2708" t="s">
        <v>2948</v>
      </c>
      <c r="B2708" t="s">
        <v>405</v>
      </c>
      <c r="C2708" t="s">
        <v>90</v>
      </c>
      <c r="D2708" t="str">
        <f>HYPERLINK("http://service.sap.com/sap/support/notes/1565311","1565311")</f>
        <v>1565311</v>
      </c>
      <c r="E2708">
        <v>2</v>
      </c>
      <c r="F2708" t="s">
        <v>2857</v>
      </c>
    </row>
    <row r="2709" spans="1:6" x14ac:dyDescent="0.25">
      <c r="A2709" t="s">
        <v>2948</v>
      </c>
      <c r="B2709" t="s">
        <v>411</v>
      </c>
      <c r="C2709" t="s">
        <v>412</v>
      </c>
      <c r="D2709" t="str">
        <f>HYPERLINK("http://service.sap.com/sap/support/notes/1550499","1550499")</f>
        <v>1550499</v>
      </c>
      <c r="E2709">
        <v>1</v>
      </c>
      <c r="F2709" t="s">
        <v>2858</v>
      </c>
    </row>
    <row r="2710" spans="1:6" x14ac:dyDescent="0.25">
      <c r="A2710" t="s">
        <v>2948</v>
      </c>
      <c r="B2710" t="s">
        <v>411</v>
      </c>
      <c r="C2710" t="s">
        <v>412</v>
      </c>
      <c r="D2710" t="str">
        <f>HYPERLINK("http://service.sap.com/sap/support/notes/1552334","1552334")</f>
        <v>1552334</v>
      </c>
      <c r="E2710">
        <v>1</v>
      </c>
      <c r="F2710" t="s">
        <v>2859</v>
      </c>
    </row>
    <row r="2711" spans="1:6" x14ac:dyDescent="0.25">
      <c r="A2711" t="s">
        <v>2948</v>
      </c>
      <c r="B2711" t="s">
        <v>411</v>
      </c>
      <c r="C2711" t="s">
        <v>412</v>
      </c>
      <c r="D2711" t="str">
        <f>HYPERLINK("http://service.sap.com/sap/support/notes/1552727","1552727")</f>
        <v>1552727</v>
      </c>
      <c r="E2711">
        <v>2</v>
      </c>
      <c r="F2711" t="s">
        <v>2860</v>
      </c>
    </row>
    <row r="2712" spans="1:6" x14ac:dyDescent="0.25">
      <c r="A2712" t="s">
        <v>2948</v>
      </c>
      <c r="B2712" t="s">
        <v>411</v>
      </c>
      <c r="C2712" t="s">
        <v>412</v>
      </c>
      <c r="D2712" t="str">
        <f>HYPERLINK("http://service.sap.com/sap/support/notes/1559921","1559921")</f>
        <v>1559921</v>
      </c>
      <c r="E2712">
        <v>1</v>
      </c>
      <c r="F2712" t="s">
        <v>2861</v>
      </c>
    </row>
    <row r="2713" spans="1:6" x14ac:dyDescent="0.25">
      <c r="A2713" t="s">
        <v>2948</v>
      </c>
      <c r="B2713" t="s">
        <v>411</v>
      </c>
      <c r="C2713" t="s">
        <v>412</v>
      </c>
      <c r="D2713" t="str">
        <f>HYPERLINK("http://service.sap.com/sap/support/notes/1561234","1561234")</f>
        <v>1561234</v>
      </c>
      <c r="E2713">
        <v>1</v>
      </c>
      <c r="F2713" t="s">
        <v>2862</v>
      </c>
    </row>
    <row r="2714" spans="1:6" x14ac:dyDescent="0.25">
      <c r="A2714" t="s">
        <v>2948</v>
      </c>
      <c r="B2714" t="s">
        <v>411</v>
      </c>
      <c r="C2714" t="s">
        <v>412</v>
      </c>
      <c r="D2714" t="str">
        <f>HYPERLINK("http://service.sap.com/sap/support/notes/1565009","1565009")</f>
        <v>1565009</v>
      </c>
      <c r="E2714">
        <v>1</v>
      </c>
      <c r="F2714" t="s">
        <v>2863</v>
      </c>
    </row>
    <row r="2715" spans="1:6" x14ac:dyDescent="0.25">
      <c r="A2715" t="s">
        <v>2948</v>
      </c>
      <c r="B2715" t="s">
        <v>411</v>
      </c>
      <c r="C2715" t="s">
        <v>412</v>
      </c>
      <c r="D2715" t="str">
        <f>HYPERLINK("http://service.sap.com/sap/support/notes/1566420","1566420")</f>
        <v>1566420</v>
      </c>
      <c r="E2715">
        <v>1</v>
      </c>
      <c r="F2715" t="s">
        <v>2864</v>
      </c>
    </row>
    <row r="2716" spans="1:6" x14ac:dyDescent="0.25">
      <c r="A2716" t="s">
        <v>2948</v>
      </c>
      <c r="B2716" t="s">
        <v>415</v>
      </c>
      <c r="C2716" t="s">
        <v>416</v>
      </c>
      <c r="D2716" t="str">
        <f>HYPERLINK("http://service.sap.com/sap/support/notes/1558262","1558262")</f>
        <v>1558262</v>
      </c>
      <c r="E2716">
        <v>1</v>
      </c>
      <c r="F2716" t="s">
        <v>2865</v>
      </c>
    </row>
    <row r="2717" spans="1:6" x14ac:dyDescent="0.25">
      <c r="A2717" t="s">
        <v>2948</v>
      </c>
      <c r="B2717" t="s">
        <v>415</v>
      </c>
      <c r="C2717" t="s">
        <v>416</v>
      </c>
      <c r="D2717" t="str">
        <f>HYPERLINK("http://service.sap.com/sap/support/notes/1563213","1563213")</f>
        <v>1563213</v>
      </c>
      <c r="E2717">
        <v>1</v>
      </c>
      <c r="F2717" t="s">
        <v>2866</v>
      </c>
    </row>
    <row r="2718" spans="1:6" x14ac:dyDescent="0.25">
      <c r="A2718" t="s">
        <v>2948</v>
      </c>
      <c r="B2718" t="s">
        <v>415</v>
      </c>
      <c r="C2718" t="s">
        <v>416</v>
      </c>
      <c r="D2718" t="str">
        <f>HYPERLINK("http://service.sap.com/sap/support/notes/1565035","1565035")</f>
        <v>1565035</v>
      </c>
      <c r="E2718">
        <v>1</v>
      </c>
      <c r="F2718" t="s">
        <v>2867</v>
      </c>
    </row>
    <row r="2719" spans="1:6" x14ac:dyDescent="0.25">
      <c r="A2719" t="s">
        <v>2948</v>
      </c>
      <c r="B2719" t="s">
        <v>415</v>
      </c>
      <c r="C2719" t="s">
        <v>416</v>
      </c>
      <c r="D2719" t="str">
        <f>HYPERLINK("http://service.sap.com/sap/support/notes/1565281","1565281")</f>
        <v>1565281</v>
      </c>
      <c r="E2719">
        <v>1</v>
      </c>
      <c r="F2719" t="s">
        <v>2868</v>
      </c>
    </row>
    <row r="2720" spans="1:6" x14ac:dyDescent="0.25">
      <c r="A2720" t="s">
        <v>2948</v>
      </c>
      <c r="B2720" t="s">
        <v>415</v>
      </c>
      <c r="C2720" t="s">
        <v>416</v>
      </c>
      <c r="D2720" t="str">
        <f>HYPERLINK("http://service.sap.com/sap/support/notes/1566576","1566576")</f>
        <v>1566576</v>
      </c>
      <c r="E2720">
        <v>1</v>
      </c>
      <c r="F2720" t="s">
        <v>2869</v>
      </c>
    </row>
    <row r="2721" spans="1:6" x14ac:dyDescent="0.25">
      <c r="A2721" t="s">
        <v>2948</v>
      </c>
      <c r="B2721" t="s">
        <v>415</v>
      </c>
      <c r="C2721" t="s">
        <v>416</v>
      </c>
      <c r="D2721" t="str">
        <f>HYPERLINK("http://service.sap.com/sap/support/notes/1567153","1567153")</f>
        <v>1567153</v>
      </c>
      <c r="E2721">
        <v>1</v>
      </c>
      <c r="F2721" t="s">
        <v>2870</v>
      </c>
    </row>
    <row r="2722" spans="1:6" x14ac:dyDescent="0.25">
      <c r="A2722" t="s">
        <v>2948</v>
      </c>
      <c r="B2722" t="s">
        <v>415</v>
      </c>
      <c r="C2722" t="s">
        <v>416</v>
      </c>
      <c r="D2722" t="str">
        <f>HYPERLINK("http://service.sap.com/sap/support/notes/1567825","1567825")</f>
        <v>1567825</v>
      </c>
      <c r="E2722">
        <v>1</v>
      </c>
      <c r="F2722" t="s">
        <v>2871</v>
      </c>
    </row>
    <row r="2723" spans="1:6" x14ac:dyDescent="0.25">
      <c r="A2723" t="s">
        <v>2948</v>
      </c>
      <c r="B2723" t="s">
        <v>415</v>
      </c>
      <c r="C2723" t="s">
        <v>416</v>
      </c>
      <c r="D2723" t="str">
        <f>HYPERLINK("http://service.sap.com/sap/support/notes/1567880","1567880")</f>
        <v>1567880</v>
      </c>
      <c r="E2723">
        <v>1</v>
      </c>
      <c r="F2723" t="s">
        <v>2872</v>
      </c>
    </row>
    <row r="2724" spans="1:6" x14ac:dyDescent="0.25">
      <c r="A2724" t="s">
        <v>2948</v>
      </c>
      <c r="B2724" t="s">
        <v>1226</v>
      </c>
      <c r="C2724" t="s">
        <v>2873</v>
      </c>
      <c r="D2724" t="str">
        <f>HYPERLINK("http://service.sap.com/sap/support/notes/1538146","1538146")</f>
        <v>1538146</v>
      </c>
      <c r="E2724">
        <v>10</v>
      </c>
      <c r="F2724" t="s">
        <v>2874</v>
      </c>
    </row>
    <row r="2725" spans="1:6" x14ac:dyDescent="0.25">
      <c r="A2725" t="s">
        <v>2948</v>
      </c>
      <c r="B2725" t="s">
        <v>425</v>
      </c>
      <c r="C2725" t="s">
        <v>426</v>
      </c>
      <c r="D2725" t="str">
        <f>HYPERLINK("http://service.sap.com/sap/support/notes/1488474","1488474")</f>
        <v>1488474</v>
      </c>
      <c r="E2725">
        <v>1</v>
      </c>
      <c r="F2725" t="s">
        <v>427</v>
      </c>
    </row>
    <row r="2726" spans="1:6" x14ac:dyDescent="0.25">
      <c r="A2726" t="s">
        <v>2948</v>
      </c>
      <c r="B2726" t="s">
        <v>425</v>
      </c>
      <c r="C2726" t="s">
        <v>426</v>
      </c>
      <c r="D2726" t="str">
        <f>HYPERLINK("http://service.sap.com/sap/support/notes/1567307","1567307")</f>
        <v>1567307</v>
      </c>
      <c r="E2726">
        <v>1</v>
      </c>
      <c r="F2726" t="s">
        <v>2875</v>
      </c>
    </row>
    <row r="2727" spans="1:6" x14ac:dyDescent="0.25">
      <c r="A2727" t="s">
        <v>2948</v>
      </c>
      <c r="B2727" t="s">
        <v>431</v>
      </c>
      <c r="C2727" t="s">
        <v>432</v>
      </c>
      <c r="D2727" t="str">
        <f>HYPERLINK("http://service.sap.com/sap/support/notes/1557159","1557159")</f>
        <v>1557159</v>
      </c>
      <c r="E2727">
        <v>2</v>
      </c>
      <c r="F2727" t="s">
        <v>2876</v>
      </c>
    </row>
    <row r="2728" spans="1:6" x14ac:dyDescent="0.25">
      <c r="A2728" t="s">
        <v>2948</v>
      </c>
      <c r="B2728" t="s">
        <v>431</v>
      </c>
      <c r="C2728" t="s">
        <v>432</v>
      </c>
      <c r="D2728" t="str">
        <f>HYPERLINK("http://service.sap.com/sap/support/notes/1561584","1561584")</f>
        <v>1561584</v>
      </c>
      <c r="E2728">
        <v>1</v>
      </c>
      <c r="F2728" t="s">
        <v>2877</v>
      </c>
    </row>
    <row r="2729" spans="1:6" x14ac:dyDescent="0.25">
      <c r="A2729" t="s">
        <v>2948</v>
      </c>
      <c r="B2729" t="s">
        <v>431</v>
      </c>
      <c r="C2729" t="s">
        <v>432</v>
      </c>
      <c r="D2729" t="str">
        <f>HYPERLINK("http://service.sap.com/sap/support/notes/1562194","1562194")</f>
        <v>1562194</v>
      </c>
      <c r="E2729">
        <v>1</v>
      </c>
      <c r="F2729" t="s">
        <v>2878</v>
      </c>
    </row>
    <row r="2730" spans="1:6" x14ac:dyDescent="0.25">
      <c r="A2730" t="s">
        <v>2948</v>
      </c>
      <c r="B2730" t="s">
        <v>431</v>
      </c>
      <c r="C2730" t="s">
        <v>432</v>
      </c>
      <c r="D2730" t="str">
        <f>HYPERLINK("http://service.sap.com/sap/support/notes/1562355","1562355")</f>
        <v>1562355</v>
      </c>
      <c r="E2730">
        <v>1</v>
      </c>
      <c r="F2730" t="s">
        <v>2879</v>
      </c>
    </row>
    <row r="2731" spans="1:6" x14ac:dyDescent="0.25">
      <c r="A2731" t="s">
        <v>2948</v>
      </c>
      <c r="B2731" t="s">
        <v>431</v>
      </c>
      <c r="C2731" t="s">
        <v>432</v>
      </c>
      <c r="D2731" t="str">
        <f>HYPERLINK("http://service.sap.com/sap/support/notes/1563868","1563868")</f>
        <v>1563868</v>
      </c>
      <c r="E2731">
        <v>1</v>
      </c>
      <c r="F2731" t="s">
        <v>2880</v>
      </c>
    </row>
    <row r="2732" spans="1:6" x14ac:dyDescent="0.25">
      <c r="A2732" t="s">
        <v>2948</v>
      </c>
      <c r="B2732" t="s">
        <v>431</v>
      </c>
      <c r="C2732" t="s">
        <v>432</v>
      </c>
      <c r="D2732" t="str">
        <f>HYPERLINK("http://service.sap.com/sap/support/notes/1565319","1565319")</f>
        <v>1565319</v>
      </c>
      <c r="E2732">
        <v>1</v>
      </c>
      <c r="F2732" t="s">
        <v>2881</v>
      </c>
    </row>
    <row r="2733" spans="1:6" x14ac:dyDescent="0.25">
      <c r="A2733" t="s">
        <v>2948</v>
      </c>
      <c r="B2733" t="s">
        <v>431</v>
      </c>
      <c r="C2733" t="s">
        <v>432</v>
      </c>
      <c r="D2733" t="str">
        <f>HYPERLINK("http://service.sap.com/sap/support/notes/1567371","1567371")</f>
        <v>1567371</v>
      </c>
      <c r="E2733">
        <v>2</v>
      </c>
      <c r="F2733" t="s">
        <v>2882</v>
      </c>
    </row>
    <row r="2734" spans="1:6" x14ac:dyDescent="0.25">
      <c r="A2734" t="s">
        <v>2948</v>
      </c>
      <c r="B2734" t="s">
        <v>431</v>
      </c>
      <c r="C2734" t="s">
        <v>432</v>
      </c>
      <c r="D2734" t="str">
        <f>HYPERLINK("http://service.sap.com/sap/support/notes/1568835","1568835")</f>
        <v>1568835</v>
      </c>
      <c r="E2734">
        <v>2</v>
      </c>
      <c r="F2734" t="s">
        <v>2883</v>
      </c>
    </row>
    <row r="2735" spans="1:6" x14ac:dyDescent="0.25">
      <c r="A2735" t="s">
        <v>2948</v>
      </c>
      <c r="B2735" t="s">
        <v>431</v>
      </c>
      <c r="C2735" t="s">
        <v>432</v>
      </c>
      <c r="D2735" t="str">
        <f>HYPERLINK("http://service.sap.com/sap/support/notes/1569603","1569603")</f>
        <v>1569603</v>
      </c>
      <c r="E2735">
        <v>3</v>
      </c>
      <c r="F2735" t="s">
        <v>2884</v>
      </c>
    </row>
    <row r="2736" spans="1:6" x14ac:dyDescent="0.25">
      <c r="A2736" t="s">
        <v>2948</v>
      </c>
      <c r="B2736" t="s">
        <v>431</v>
      </c>
      <c r="C2736" t="s">
        <v>432</v>
      </c>
      <c r="D2736" t="str">
        <f>HYPERLINK("http://service.sap.com/sap/support/notes/1569844","1569844")</f>
        <v>1569844</v>
      </c>
      <c r="E2736">
        <v>1</v>
      </c>
      <c r="F2736" t="s">
        <v>2885</v>
      </c>
    </row>
    <row r="2737" spans="1:6" x14ac:dyDescent="0.25">
      <c r="A2737" t="s">
        <v>2948</v>
      </c>
      <c r="B2737" t="s">
        <v>436</v>
      </c>
      <c r="C2737" t="s">
        <v>437</v>
      </c>
      <c r="D2737" t="str">
        <f>HYPERLINK("http://service.sap.com/sap/support/notes/1565812","1565812")</f>
        <v>1565812</v>
      </c>
      <c r="E2737">
        <v>1</v>
      </c>
      <c r="F2737" t="s">
        <v>2886</v>
      </c>
    </row>
    <row r="2738" spans="1:6" x14ac:dyDescent="0.25">
      <c r="A2738" t="s">
        <v>2948</v>
      </c>
      <c r="B2738" t="s">
        <v>440</v>
      </c>
      <c r="C2738" t="s">
        <v>441</v>
      </c>
      <c r="D2738" t="str">
        <f>HYPERLINK("http://service.sap.com/sap/support/notes/1060820","1060820")</f>
        <v>1060820</v>
      </c>
      <c r="E2738">
        <v>1</v>
      </c>
      <c r="F2738" t="s">
        <v>2104</v>
      </c>
    </row>
    <row r="2739" spans="1:6" x14ac:dyDescent="0.25">
      <c r="A2739" t="s">
        <v>2948</v>
      </c>
      <c r="B2739" t="s">
        <v>440</v>
      </c>
      <c r="C2739" t="s">
        <v>441</v>
      </c>
      <c r="D2739" t="str">
        <f>HYPERLINK("http://service.sap.com/sap/support/notes/1543679","1543679")</f>
        <v>1543679</v>
      </c>
      <c r="E2739">
        <v>1</v>
      </c>
      <c r="F2739" t="s">
        <v>2887</v>
      </c>
    </row>
    <row r="2740" spans="1:6" x14ac:dyDescent="0.25">
      <c r="A2740" t="s">
        <v>2948</v>
      </c>
      <c r="B2740" t="s">
        <v>440</v>
      </c>
      <c r="C2740" t="s">
        <v>441</v>
      </c>
      <c r="D2740" t="str">
        <f>HYPERLINK("http://service.sap.com/sap/support/notes/1545961","1545961")</f>
        <v>1545961</v>
      </c>
      <c r="E2740">
        <v>3</v>
      </c>
      <c r="F2740" t="s">
        <v>2888</v>
      </c>
    </row>
    <row r="2741" spans="1:6" x14ac:dyDescent="0.25">
      <c r="A2741" t="s">
        <v>2948</v>
      </c>
      <c r="B2741" t="s">
        <v>440</v>
      </c>
      <c r="C2741" t="s">
        <v>441</v>
      </c>
      <c r="D2741" t="str">
        <f>HYPERLINK("http://service.sap.com/sap/support/notes/1561701","1561701")</f>
        <v>1561701</v>
      </c>
      <c r="E2741">
        <v>2</v>
      </c>
      <c r="F2741" t="s">
        <v>2889</v>
      </c>
    </row>
    <row r="2742" spans="1:6" x14ac:dyDescent="0.25">
      <c r="A2742" t="s">
        <v>2948</v>
      </c>
      <c r="B2742" t="s">
        <v>440</v>
      </c>
      <c r="C2742" t="s">
        <v>441</v>
      </c>
      <c r="D2742" t="str">
        <f>HYPERLINK("http://service.sap.com/sap/support/notes/1561760","1561760")</f>
        <v>1561760</v>
      </c>
      <c r="E2742">
        <v>4</v>
      </c>
      <c r="F2742" t="s">
        <v>2890</v>
      </c>
    </row>
    <row r="2743" spans="1:6" x14ac:dyDescent="0.25">
      <c r="A2743" t="s">
        <v>2948</v>
      </c>
      <c r="B2743" t="s">
        <v>440</v>
      </c>
      <c r="C2743" t="s">
        <v>441</v>
      </c>
      <c r="D2743" t="str">
        <f>HYPERLINK("http://service.sap.com/sap/support/notes/1563097","1563097")</f>
        <v>1563097</v>
      </c>
      <c r="E2743">
        <v>1</v>
      </c>
      <c r="F2743" t="s">
        <v>2891</v>
      </c>
    </row>
    <row r="2744" spans="1:6" x14ac:dyDescent="0.25">
      <c r="A2744" t="s">
        <v>2948</v>
      </c>
      <c r="B2744" t="s">
        <v>449</v>
      </c>
      <c r="C2744" t="s">
        <v>450</v>
      </c>
      <c r="D2744" t="str">
        <f>HYPERLINK("http://service.sap.com/sap/support/notes/1534840","1534840")</f>
        <v>1534840</v>
      </c>
      <c r="E2744">
        <v>6</v>
      </c>
      <c r="F2744" t="s">
        <v>2892</v>
      </c>
    </row>
    <row r="2745" spans="1:6" x14ac:dyDescent="0.25">
      <c r="A2745" t="s">
        <v>2948</v>
      </c>
      <c r="B2745" t="s">
        <v>449</v>
      </c>
      <c r="C2745" t="s">
        <v>450</v>
      </c>
      <c r="D2745" t="str">
        <f>HYPERLINK("http://service.sap.com/sap/support/notes/1546729","1546729")</f>
        <v>1546729</v>
      </c>
      <c r="E2745">
        <v>11</v>
      </c>
      <c r="F2745" t="s">
        <v>2893</v>
      </c>
    </row>
    <row r="2746" spans="1:6" x14ac:dyDescent="0.25">
      <c r="A2746" t="s">
        <v>2948</v>
      </c>
      <c r="B2746" t="s">
        <v>449</v>
      </c>
      <c r="C2746" t="s">
        <v>450</v>
      </c>
      <c r="D2746" t="str">
        <f>HYPERLINK("http://service.sap.com/sap/support/notes/1561222","1561222")</f>
        <v>1561222</v>
      </c>
      <c r="E2746">
        <v>7</v>
      </c>
      <c r="F2746" t="s">
        <v>2894</v>
      </c>
    </row>
    <row r="2747" spans="1:6" x14ac:dyDescent="0.25">
      <c r="A2747" t="s">
        <v>2948</v>
      </c>
      <c r="B2747" t="s">
        <v>460</v>
      </c>
      <c r="C2747" t="s">
        <v>461</v>
      </c>
      <c r="D2747" t="str">
        <f>HYPERLINK("http://service.sap.com/sap/support/notes/1562656","1562656")</f>
        <v>1562656</v>
      </c>
      <c r="E2747">
        <v>2</v>
      </c>
      <c r="F2747" t="s">
        <v>2895</v>
      </c>
    </row>
    <row r="2748" spans="1:6" x14ac:dyDescent="0.25">
      <c r="A2748" t="s">
        <v>2948</v>
      </c>
      <c r="B2748" t="s">
        <v>460</v>
      </c>
      <c r="C2748" t="s">
        <v>461</v>
      </c>
      <c r="D2748" t="str">
        <f>HYPERLINK("http://service.sap.com/sap/support/notes/1562799","1562799")</f>
        <v>1562799</v>
      </c>
      <c r="E2748">
        <v>2</v>
      </c>
      <c r="F2748" t="s">
        <v>2896</v>
      </c>
    </row>
    <row r="2749" spans="1:6" x14ac:dyDescent="0.25">
      <c r="A2749" t="s">
        <v>2948</v>
      </c>
      <c r="B2749" t="s">
        <v>460</v>
      </c>
      <c r="C2749" t="s">
        <v>461</v>
      </c>
      <c r="D2749" t="str">
        <f>HYPERLINK("http://service.sap.com/sap/support/notes/1563628","1563628")</f>
        <v>1563628</v>
      </c>
      <c r="E2749">
        <v>1</v>
      </c>
      <c r="F2749" t="s">
        <v>2897</v>
      </c>
    </row>
    <row r="2750" spans="1:6" x14ac:dyDescent="0.25">
      <c r="A2750" t="s">
        <v>2948</v>
      </c>
      <c r="B2750" t="s">
        <v>460</v>
      </c>
      <c r="C2750" t="s">
        <v>461</v>
      </c>
      <c r="D2750" t="str">
        <f>HYPERLINK("http://service.sap.com/sap/support/notes/1564895","1564895")</f>
        <v>1564895</v>
      </c>
      <c r="E2750">
        <v>1</v>
      </c>
      <c r="F2750" t="s">
        <v>2898</v>
      </c>
    </row>
    <row r="2751" spans="1:6" x14ac:dyDescent="0.25">
      <c r="A2751" t="s">
        <v>2948</v>
      </c>
      <c r="B2751" t="s">
        <v>460</v>
      </c>
      <c r="C2751" t="s">
        <v>461</v>
      </c>
      <c r="D2751" t="str">
        <f>HYPERLINK("http://service.sap.com/sap/support/notes/1568837","1568837")</f>
        <v>1568837</v>
      </c>
      <c r="E2751">
        <v>2</v>
      </c>
      <c r="F2751" t="s">
        <v>2899</v>
      </c>
    </row>
    <row r="2752" spans="1:6" x14ac:dyDescent="0.25">
      <c r="A2752" t="s">
        <v>2948</v>
      </c>
      <c r="B2752" t="s">
        <v>460</v>
      </c>
      <c r="C2752" t="s">
        <v>461</v>
      </c>
      <c r="D2752" t="str">
        <f>HYPERLINK("http://service.sap.com/sap/support/notes/1569035","1569035")</f>
        <v>1569035</v>
      </c>
      <c r="E2752">
        <v>3</v>
      </c>
      <c r="F2752" t="s">
        <v>2900</v>
      </c>
    </row>
    <row r="2753" spans="1:6" x14ac:dyDescent="0.25">
      <c r="A2753" t="s">
        <v>2948</v>
      </c>
      <c r="B2753" t="s">
        <v>460</v>
      </c>
      <c r="C2753" t="s">
        <v>461</v>
      </c>
      <c r="D2753" t="str">
        <f>HYPERLINK("http://service.sap.com/sap/support/notes/1570370","1570370")</f>
        <v>1570370</v>
      </c>
      <c r="E2753">
        <v>1</v>
      </c>
      <c r="F2753" t="s">
        <v>2901</v>
      </c>
    </row>
    <row r="2754" spans="1:6" x14ac:dyDescent="0.25">
      <c r="A2754" t="s">
        <v>2948</v>
      </c>
      <c r="B2754" t="s">
        <v>472</v>
      </c>
      <c r="C2754" t="s">
        <v>473</v>
      </c>
      <c r="D2754" t="str">
        <f>HYPERLINK("http://service.sap.com/sap/support/notes/1481383","1481383")</f>
        <v>1481383</v>
      </c>
      <c r="E2754">
        <v>6</v>
      </c>
      <c r="F2754" t="s">
        <v>2902</v>
      </c>
    </row>
    <row r="2755" spans="1:6" x14ac:dyDescent="0.25">
      <c r="A2755" t="s">
        <v>2948</v>
      </c>
      <c r="B2755" t="s">
        <v>472</v>
      </c>
      <c r="C2755" t="s">
        <v>473</v>
      </c>
      <c r="D2755" t="str">
        <f>HYPERLINK("http://service.sap.com/sap/support/notes/1549329","1549329")</f>
        <v>1549329</v>
      </c>
      <c r="E2755">
        <v>1</v>
      </c>
      <c r="F2755" t="s">
        <v>2903</v>
      </c>
    </row>
    <row r="2756" spans="1:6" x14ac:dyDescent="0.25">
      <c r="A2756" t="s">
        <v>2948</v>
      </c>
      <c r="B2756" t="s">
        <v>472</v>
      </c>
      <c r="C2756" t="s">
        <v>473</v>
      </c>
      <c r="D2756" t="str">
        <f>HYPERLINK("http://service.sap.com/sap/support/notes/1556295","1556295")</f>
        <v>1556295</v>
      </c>
      <c r="E2756">
        <v>1</v>
      </c>
      <c r="F2756" t="s">
        <v>2904</v>
      </c>
    </row>
    <row r="2757" spans="1:6" x14ac:dyDescent="0.25">
      <c r="A2757" t="s">
        <v>2948</v>
      </c>
      <c r="B2757" t="s">
        <v>472</v>
      </c>
      <c r="C2757" t="s">
        <v>473</v>
      </c>
      <c r="D2757" t="str">
        <f>HYPERLINK("http://service.sap.com/sap/support/notes/1558726","1558726")</f>
        <v>1558726</v>
      </c>
      <c r="E2757">
        <v>2</v>
      </c>
      <c r="F2757" t="s">
        <v>2905</v>
      </c>
    </row>
    <row r="2758" spans="1:6" x14ac:dyDescent="0.25">
      <c r="A2758" t="s">
        <v>2948</v>
      </c>
      <c r="B2758" t="s">
        <v>472</v>
      </c>
      <c r="C2758" t="s">
        <v>473</v>
      </c>
      <c r="D2758" t="str">
        <f>HYPERLINK("http://service.sap.com/sap/support/notes/1562826","1562826")</f>
        <v>1562826</v>
      </c>
      <c r="E2758">
        <v>1</v>
      </c>
      <c r="F2758" t="s">
        <v>2906</v>
      </c>
    </row>
    <row r="2759" spans="1:6" x14ac:dyDescent="0.25">
      <c r="A2759" t="s">
        <v>2948</v>
      </c>
      <c r="B2759" t="s">
        <v>472</v>
      </c>
      <c r="C2759" t="s">
        <v>473</v>
      </c>
      <c r="D2759" t="str">
        <f>HYPERLINK("http://service.sap.com/sap/support/notes/1565295","1565295")</f>
        <v>1565295</v>
      </c>
      <c r="E2759">
        <v>1</v>
      </c>
      <c r="F2759" t="s">
        <v>2907</v>
      </c>
    </row>
    <row r="2760" spans="1:6" x14ac:dyDescent="0.25">
      <c r="A2760" t="s">
        <v>2948</v>
      </c>
      <c r="B2760" t="s">
        <v>472</v>
      </c>
      <c r="C2760" t="s">
        <v>473</v>
      </c>
      <c r="D2760" t="str">
        <f>HYPERLINK("http://service.sap.com/sap/support/notes/1566771","1566771")</f>
        <v>1566771</v>
      </c>
      <c r="E2760">
        <v>1</v>
      </c>
      <c r="F2760" t="s">
        <v>2908</v>
      </c>
    </row>
    <row r="2761" spans="1:6" x14ac:dyDescent="0.25">
      <c r="A2761" t="s">
        <v>2948</v>
      </c>
      <c r="B2761" t="s">
        <v>472</v>
      </c>
      <c r="C2761" t="s">
        <v>473</v>
      </c>
      <c r="D2761" t="str">
        <f>HYPERLINK("http://service.sap.com/sap/support/notes/1568783","1568783")</f>
        <v>1568783</v>
      </c>
      <c r="E2761">
        <v>1</v>
      </c>
      <c r="F2761" t="s">
        <v>2909</v>
      </c>
    </row>
    <row r="2762" spans="1:6" x14ac:dyDescent="0.25">
      <c r="A2762" t="s">
        <v>2948</v>
      </c>
      <c r="B2762" t="s">
        <v>472</v>
      </c>
      <c r="C2762" t="s">
        <v>473</v>
      </c>
      <c r="D2762" t="str">
        <f>HYPERLINK("http://service.sap.com/sap/support/notes/1569185","1569185")</f>
        <v>1569185</v>
      </c>
      <c r="E2762">
        <v>1</v>
      </c>
      <c r="F2762" t="s">
        <v>2902</v>
      </c>
    </row>
    <row r="2763" spans="1:6" x14ac:dyDescent="0.25">
      <c r="A2763" t="s">
        <v>2948</v>
      </c>
      <c r="B2763" t="s">
        <v>479</v>
      </c>
      <c r="C2763" t="s">
        <v>480</v>
      </c>
      <c r="D2763" t="str">
        <f>HYPERLINK("http://service.sap.com/sap/support/notes/1562358","1562358")</f>
        <v>1562358</v>
      </c>
      <c r="E2763">
        <v>1</v>
      </c>
      <c r="F2763" t="s">
        <v>2910</v>
      </c>
    </row>
    <row r="2764" spans="1:6" x14ac:dyDescent="0.25">
      <c r="A2764" t="s">
        <v>2948</v>
      </c>
      <c r="B2764" t="s">
        <v>479</v>
      </c>
      <c r="C2764" t="s">
        <v>480</v>
      </c>
      <c r="D2764" t="str">
        <f>HYPERLINK("http://service.sap.com/sap/support/notes/1564885","1564885")</f>
        <v>1564885</v>
      </c>
      <c r="E2764">
        <v>1</v>
      </c>
      <c r="F2764" t="s">
        <v>2911</v>
      </c>
    </row>
    <row r="2765" spans="1:6" x14ac:dyDescent="0.25">
      <c r="A2765" t="s">
        <v>2948</v>
      </c>
      <c r="B2765" t="s">
        <v>479</v>
      </c>
      <c r="C2765" t="s">
        <v>480</v>
      </c>
      <c r="D2765" t="str">
        <f>HYPERLINK("http://service.sap.com/sap/support/notes/1567815","1567815")</f>
        <v>1567815</v>
      </c>
      <c r="E2765">
        <v>1</v>
      </c>
      <c r="F2765" t="s">
        <v>2912</v>
      </c>
    </row>
    <row r="2766" spans="1:6" x14ac:dyDescent="0.25">
      <c r="A2766" t="s">
        <v>2948</v>
      </c>
      <c r="B2766" t="s">
        <v>487</v>
      </c>
      <c r="C2766" t="s">
        <v>153</v>
      </c>
      <c r="D2766" t="str">
        <f>HYPERLINK("http://service.sap.com/sap/support/notes/1562784","1562784")</f>
        <v>1562784</v>
      </c>
      <c r="E2766">
        <v>1</v>
      </c>
      <c r="F2766" t="s">
        <v>2913</v>
      </c>
    </row>
    <row r="2767" spans="1:6" x14ac:dyDescent="0.25">
      <c r="A2767" t="s">
        <v>2948</v>
      </c>
      <c r="B2767" t="s">
        <v>489</v>
      </c>
      <c r="C2767" t="s">
        <v>104</v>
      </c>
      <c r="D2767" t="str">
        <f>HYPERLINK("http://service.sap.com/sap/support/notes/1545762","1545762")</f>
        <v>1545762</v>
      </c>
      <c r="E2767">
        <v>1</v>
      </c>
      <c r="F2767" t="s">
        <v>2914</v>
      </c>
    </row>
    <row r="2768" spans="1:6" x14ac:dyDescent="0.25">
      <c r="A2768" t="s">
        <v>2948</v>
      </c>
      <c r="B2768" t="s">
        <v>489</v>
      </c>
      <c r="C2768" t="s">
        <v>104</v>
      </c>
      <c r="D2768" t="str">
        <f>HYPERLINK("http://service.sap.com/sap/support/notes/1557213","1557213")</f>
        <v>1557213</v>
      </c>
      <c r="E2768">
        <v>2</v>
      </c>
      <c r="F2768" t="s">
        <v>2915</v>
      </c>
    </row>
    <row r="2769" spans="1:6" x14ac:dyDescent="0.25">
      <c r="A2769" t="s">
        <v>2948</v>
      </c>
      <c r="B2769" t="s">
        <v>489</v>
      </c>
      <c r="C2769" t="s">
        <v>104</v>
      </c>
      <c r="D2769" t="str">
        <f>HYPERLINK("http://service.sap.com/sap/support/notes/1559982","1559982")</f>
        <v>1559982</v>
      </c>
      <c r="E2769">
        <v>1</v>
      </c>
      <c r="F2769" t="s">
        <v>2916</v>
      </c>
    </row>
    <row r="2770" spans="1:6" x14ac:dyDescent="0.25">
      <c r="A2770" t="s">
        <v>2948</v>
      </c>
      <c r="B2770" t="s">
        <v>489</v>
      </c>
      <c r="C2770" t="s">
        <v>104</v>
      </c>
      <c r="D2770" t="str">
        <f>HYPERLINK("http://service.sap.com/sap/support/notes/1562777","1562777")</f>
        <v>1562777</v>
      </c>
      <c r="E2770">
        <v>1</v>
      </c>
      <c r="F2770" t="s">
        <v>2917</v>
      </c>
    </row>
    <row r="2771" spans="1:6" x14ac:dyDescent="0.25">
      <c r="A2771" t="s">
        <v>2948</v>
      </c>
      <c r="B2771" t="s">
        <v>489</v>
      </c>
      <c r="C2771" t="s">
        <v>104</v>
      </c>
      <c r="D2771" t="str">
        <f>HYPERLINK("http://service.sap.com/sap/support/notes/1563303","1563303")</f>
        <v>1563303</v>
      </c>
      <c r="E2771">
        <v>2</v>
      </c>
      <c r="F2771" t="s">
        <v>2918</v>
      </c>
    </row>
    <row r="2772" spans="1:6" x14ac:dyDescent="0.25">
      <c r="A2772" t="s">
        <v>2948</v>
      </c>
      <c r="B2772" t="s">
        <v>489</v>
      </c>
      <c r="C2772" t="s">
        <v>104</v>
      </c>
      <c r="D2772" t="str">
        <f>HYPERLINK("http://service.sap.com/sap/support/notes/1563805","1563805")</f>
        <v>1563805</v>
      </c>
      <c r="E2772">
        <v>1</v>
      </c>
      <c r="F2772" t="s">
        <v>2919</v>
      </c>
    </row>
    <row r="2773" spans="1:6" x14ac:dyDescent="0.25">
      <c r="A2773" t="s">
        <v>2948</v>
      </c>
      <c r="B2773" t="s">
        <v>489</v>
      </c>
      <c r="C2773" t="s">
        <v>104</v>
      </c>
      <c r="D2773" t="str">
        <f>HYPERLINK("http://service.sap.com/sap/support/notes/1564826","1564826")</f>
        <v>1564826</v>
      </c>
      <c r="E2773">
        <v>1</v>
      </c>
      <c r="F2773" t="s">
        <v>2920</v>
      </c>
    </row>
    <row r="2774" spans="1:6" x14ac:dyDescent="0.25">
      <c r="A2774" t="s">
        <v>2948</v>
      </c>
      <c r="B2774" t="s">
        <v>489</v>
      </c>
      <c r="C2774" t="s">
        <v>104</v>
      </c>
      <c r="D2774" t="str">
        <f>HYPERLINK("http://service.sap.com/sap/support/notes/1565288","1565288")</f>
        <v>1565288</v>
      </c>
      <c r="E2774">
        <v>1</v>
      </c>
      <c r="F2774" t="s">
        <v>2921</v>
      </c>
    </row>
    <row r="2775" spans="1:6" x14ac:dyDescent="0.25">
      <c r="A2775" t="s">
        <v>2948</v>
      </c>
      <c r="B2775" t="s">
        <v>489</v>
      </c>
      <c r="C2775" t="s">
        <v>104</v>
      </c>
      <c r="D2775" t="str">
        <f>HYPERLINK("http://service.sap.com/sap/support/notes/1566426","1566426")</f>
        <v>1566426</v>
      </c>
      <c r="E2775">
        <v>1</v>
      </c>
      <c r="F2775" t="s">
        <v>2922</v>
      </c>
    </row>
    <row r="2776" spans="1:6" x14ac:dyDescent="0.25">
      <c r="A2776" t="s">
        <v>2948</v>
      </c>
      <c r="B2776" t="s">
        <v>489</v>
      </c>
      <c r="C2776" t="s">
        <v>104</v>
      </c>
      <c r="D2776" t="str">
        <f>HYPERLINK("http://service.sap.com/sap/support/notes/1567250","1567250")</f>
        <v>1567250</v>
      </c>
      <c r="E2776">
        <v>1</v>
      </c>
      <c r="F2776" t="s">
        <v>2923</v>
      </c>
    </row>
    <row r="2777" spans="1:6" x14ac:dyDescent="0.25">
      <c r="A2777" t="s">
        <v>2948</v>
      </c>
      <c r="B2777" t="s">
        <v>489</v>
      </c>
      <c r="C2777" t="s">
        <v>104</v>
      </c>
      <c r="D2777" t="str">
        <f>HYPERLINK("http://service.sap.com/sap/support/notes/1567995","1567995")</f>
        <v>1567995</v>
      </c>
      <c r="E2777">
        <v>1</v>
      </c>
      <c r="F2777" t="s">
        <v>2924</v>
      </c>
    </row>
    <row r="2778" spans="1:6" x14ac:dyDescent="0.25">
      <c r="A2778" t="s">
        <v>2948</v>
      </c>
      <c r="B2778" t="s">
        <v>495</v>
      </c>
      <c r="C2778" t="s">
        <v>496</v>
      </c>
      <c r="D2778" t="str">
        <f>HYPERLINK("http://service.sap.com/sap/support/notes/1563306","1563306")</f>
        <v>1563306</v>
      </c>
      <c r="E2778">
        <v>1</v>
      </c>
      <c r="F2778" t="s">
        <v>2925</v>
      </c>
    </row>
    <row r="2779" spans="1:6" x14ac:dyDescent="0.25">
      <c r="A2779" t="s">
        <v>2948</v>
      </c>
      <c r="B2779" t="s">
        <v>495</v>
      </c>
      <c r="C2779" t="s">
        <v>496</v>
      </c>
      <c r="D2779" t="str">
        <f>HYPERLINK("http://service.sap.com/sap/support/notes/1567276","1567276")</f>
        <v>1567276</v>
      </c>
      <c r="E2779">
        <v>3</v>
      </c>
      <c r="F2779" t="s">
        <v>2926</v>
      </c>
    </row>
    <row r="2780" spans="1:6" x14ac:dyDescent="0.25">
      <c r="A2780" t="s">
        <v>2948</v>
      </c>
      <c r="B2780" t="s">
        <v>495</v>
      </c>
      <c r="C2780" t="s">
        <v>496</v>
      </c>
      <c r="D2780" t="str">
        <f>HYPERLINK("http://service.sap.com/sap/support/notes/1568219","1568219")</f>
        <v>1568219</v>
      </c>
      <c r="E2780">
        <v>1</v>
      </c>
      <c r="F2780" t="s">
        <v>2927</v>
      </c>
    </row>
    <row r="2781" spans="1:6" x14ac:dyDescent="0.25">
      <c r="A2781" t="s">
        <v>2948</v>
      </c>
      <c r="B2781" t="s">
        <v>499</v>
      </c>
      <c r="C2781" t="s">
        <v>108</v>
      </c>
      <c r="D2781" t="str">
        <f>HYPERLINK("http://service.sap.com/sap/support/notes/1557937","1557937")</f>
        <v>1557937</v>
      </c>
      <c r="E2781">
        <v>2</v>
      </c>
      <c r="F2781" t="s">
        <v>2928</v>
      </c>
    </row>
    <row r="2782" spans="1:6" x14ac:dyDescent="0.25">
      <c r="A2782" t="s">
        <v>2948</v>
      </c>
      <c r="B2782" t="s">
        <v>501</v>
      </c>
      <c r="C2782" t="s">
        <v>153</v>
      </c>
      <c r="D2782" t="str">
        <f>HYPERLINK("http://service.sap.com/sap/support/notes/1562255","1562255")</f>
        <v>1562255</v>
      </c>
      <c r="E2782">
        <v>2</v>
      </c>
      <c r="F2782" t="s">
        <v>2929</v>
      </c>
    </row>
    <row r="2783" spans="1:6" x14ac:dyDescent="0.25">
      <c r="A2783" t="s">
        <v>2948</v>
      </c>
      <c r="B2783" t="s">
        <v>508</v>
      </c>
      <c r="C2783" t="s">
        <v>509</v>
      </c>
      <c r="D2783" t="str">
        <f>HYPERLINK("http://service.sap.com/sap/support/notes/1552134","1552134")</f>
        <v>1552134</v>
      </c>
      <c r="E2783">
        <v>2</v>
      </c>
      <c r="F2783" t="s">
        <v>2930</v>
      </c>
    </row>
    <row r="2784" spans="1:6" x14ac:dyDescent="0.25">
      <c r="A2784" t="s">
        <v>2948</v>
      </c>
      <c r="B2784" t="s">
        <v>508</v>
      </c>
      <c r="C2784" t="s">
        <v>509</v>
      </c>
      <c r="D2784" t="str">
        <f>HYPERLINK("http://service.sap.com/sap/support/notes/1553770","1553770")</f>
        <v>1553770</v>
      </c>
      <c r="E2784">
        <v>7</v>
      </c>
      <c r="F2784" t="s">
        <v>2931</v>
      </c>
    </row>
    <row r="2785" spans="1:6" x14ac:dyDescent="0.25">
      <c r="A2785" t="s">
        <v>2948</v>
      </c>
      <c r="B2785" t="s">
        <v>508</v>
      </c>
      <c r="C2785" t="s">
        <v>509</v>
      </c>
      <c r="D2785" t="str">
        <f>HYPERLINK("http://service.sap.com/sap/support/notes/1555279","1555279")</f>
        <v>1555279</v>
      </c>
      <c r="E2785">
        <v>2</v>
      </c>
      <c r="F2785" t="s">
        <v>2932</v>
      </c>
    </row>
    <row r="2786" spans="1:6" x14ac:dyDescent="0.25">
      <c r="A2786" t="s">
        <v>2948</v>
      </c>
      <c r="B2786" t="s">
        <v>508</v>
      </c>
      <c r="C2786" t="s">
        <v>509</v>
      </c>
      <c r="D2786" t="str">
        <f>HYPERLINK("http://service.sap.com/sap/support/notes/1556112","1556112")</f>
        <v>1556112</v>
      </c>
      <c r="E2786">
        <v>1</v>
      </c>
      <c r="F2786" t="s">
        <v>2933</v>
      </c>
    </row>
    <row r="2787" spans="1:6" x14ac:dyDescent="0.25">
      <c r="A2787" t="s">
        <v>2948</v>
      </c>
      <c r="B2787" t="s">
        <v>508</v>
      </c>
      <c r="C2787" t="s">
        <v>509</v>
      </c>
      <c r="D2787" t="str">
        <f>HYPERLINK("http://service.sap.com/sap/support/notes/1559312","1559312")</f>
        <v>1559312</v>
      </c>
      <c r="E2787">
        <v>1</v>
      </c>
      <c r="F2787" t="s">
        <v>2934</v>
      </c>
    </row>
    <row r="2788" spans="1:6" x14ac:dyDescent="0.25">
      <c r="A2788" t="s">
        <v>2948</v>
      </c>
      <c r="B2788" t="s">
        <v>508</v>
      </c>
      <c r="C2788" t="s">
        <v>509</v>
      </c>
      <c r="D2788" t="str">
        <f>HYPERLINK("http://service.sap.com/sap/support/notes/1563671","1563671")</f>
        <v>1563671</v>
      </c>
      <c r="E2788">
        <v>1</v>
      </c>
      <c r="F2788" t="s">
        <v>2935</v>
      </c>
    </row>
    <row r="2789" spans="1:6" x14ac:dyDescent="0.25">
      <c r="A2789" t="s">
        <v>2948</v>
      </c>
      <c r="B2789" t="s">
        <v>508</v>
      </c>
      <c r="C2789" t="s">
        <v>509</v>
      </c>
      <c r="D2789" t="str">
        <f>HYPERLINK("http://service.sap.com/sap/support/notes/1565026","1565026")</f>
        <v>1565026</v>
      </c>
      <c r="E2789">
        <v>1</v>
      </c>
      <c r="F2789" t="s">
        <v>2936</v>
      </c>
    </row>
    <row r="2790" spans="1:6" x14ac:dyDescent="0.25">
      <c r="A2790" t="s">
        <v>2948</v>
      </c>
      <c r="B2790" t="s">
        <v>508</v>
      </c>
      <c r="C2790" t="s">
        <v>509</v>
      </c>
      <c r="D2790" t="str">
        <f>HYPERLINK("http://service.sap.com/sap/support/notes/1565551","1565551")</f>
        <v>1565551</v>
      </c>
      <c r="E2790">
        <v>2</v>
      </c>
      <c r="F2790" t="s">
        <v>2937</v>
      </c>
    </row>
    <row r="2791" spans="1:6" x14ac:dyDescent="0.25">
      <c r="A2791" t="s">
        <v>2948</v>
      </c>
      <c r="B2791" t="s">
        <v>534</v>
      </c>
      <c r="C2791" t="s">
        <v>535</v>
      </c>
      <c r="D2791" t="str">
        <f>HYPERLINK("http://service.sap.com/sap/support/notes/171512","171512")</f>
        <v>171512</v>
      </c>
      <c r="E2791">
        <v>23</v>
      </c>
      <c r="F2791" t="s">
        <v>2938</v>
      </c>
    </row>
    <row r="2792" spans="1:6" x14ac:dyDescent="0.25">
      <c r="A2792" t="s">
        <v>2948</v>
      </c>
      <c r="B2792" t="s">
        <v>534</v>
      </c>
      <c r="C2792" t="s">
        <v>535</v>
      </c>
      <c r="D2792" t="str">
        <f>HYPERLINK("http://service.sap.com/sap/support/notes/1175233","1175233")</f>
        <v>1175233</v>
      </c>
      <c r="E2792">
        <v>1</v>
      </c>
      <c r="F2792" t="s">
        <v>2939</v>
      </c>
    </row>
    <row r="2793" spans="1:6" x14ac:dyDescent="0.25">
      <c r="A2793" t="s">
        <v>2948</v>
      </c>
      <c r="B2793" t="s">
        <v>534</v>
      </c>
      <c r="C2793" t="s">
        <v>535</v>
      </c>
      <c r="D2793" t="str">
        <f>HYPERLINK("http://service.sap.com/sap/support/notes/1550414","1550414")</f>
        <v>1550414</v>
      </c>
      <c r="E2793">
        <v>1</v>
      </c>
      <c r="F2793" t="s">
        <v>2940</v>
      </c>
    </row>
    <row r="2794" spans="1:6" x14ac:dyDescent="0.25">
      <c r="A2794" t="s">
        <v>2948</v>
      </c>
      <c r="B2794" t="s">
        <v>534</v>
      </c>
      <c r="C2794" t="s">
        <v>535</v>
      </c>
      <c r="D2794" t="str">
        <f>HYPERLINK("http://service.sap.com/sap/support/notes/1562240","1562240")</f>
        <v>1562240</v>
      </c>
      <c r="E2794">
        <v>2</v>
      </c>
      <c r="F2794" t="s">
        <v>2941</v>
      </c>
    </row>
    <row r="2795" spans="1:6" x14ac:dyDescent="0.25">
      <c r="A2795" t="s">
        <v>2948</v>
      </c>
      <c r="B2795" t="s">
        <v>534</v>
      </c>
      <c r="C2795" t="s">
        <v>535</v>
      </c>
      <c r="D2795" t="str">
        <f>HYPERLINK("http://service.sap.com/sap/support/notes/1562818","1562818")</f>
        <v>1562818</v>
      </c>
      <c r="E2795">
        <v>2</v>
      </c>
      <c r="F2795" t="s">
        <v>2942</v>
      </c>
    </row>
    <row r="2796" spans="1:6" x14ac:dyDescent="0.25">
      <c r="A2796" t="s">
        <v>2948</v>
      </c>
      <c r="B2796" t="s">
        <v>534</v>
      </c>
      <c r="C2796" t="s">
        <v>535</v>
      </c>
      <c r="D2796" t="str">
        <f>HYPERLINK("http://service.sap.com/sap/support/notes/1563293","1563293")</f>
        <v>1563293</v>
      </c>
      <c r="E2796">
        <v>1</v>
      </c>
      <c r="F2796" t="s">
        <v>2943</v>
      </c>
    </row>
    <row r="2797" spans="1:6" x14ac:dyDescent="0.25">
      <c r="A2797" t="s">
        <v>2948</v>
      </c>
      <c r="B2797" t="s">
        <v>534</v>
      </c>
      <c r="C2797" t="s">
        <v>535</v>
      </c>
      <c r="D2797" t="str">
        <f>HYPERLINK("http://service.sap.com/sap/support/notes/1564023","1564023")</f>
        <v>1564023</v>
      </c>
      <c r="E2797">
        <v>3</v>
      </c>
      <c r="F2797" t="s">
        <v>2944</v>
      </c>
    </row>
    <row r="2798" spans="1:6" x14ac:dyDescent="0.25">
      <c r="A2798" t="s">
        <v>2948</v>
      </c>
      <c r="B2798" t="s">
        <v>534</v>
      </c>
      <c r="C2798" t="s">
        <v>535</v>
      </c>
      <c r="D2798" t="str">
        <f>HYPERLINK("http://service.sap.com/sap/support/notes/1564787","1564787")</f>
        <v>1564787</v>
      </c>
      <c r="E2798">
        <v>2</v>
      </c>
      <c r="F2798" t="s">
        <v>2945</v>
      </c>
    </row>
    <row r="2799" spans="1:6" x14ac:dyDescent="0.25">
      <c r="A2799" t="s">
        <v>2948</v>
      </c>
      <c r="B2799" t="s">
        <v>534</v>
      </c>
      <c r="C2799" t="s">
        <v>535</v>
      </c>
      <c r="D2799" t="str">
        <f>HYPERLINK("http://service.sap.com/sap/support/notes/1566504","1566504")</f>
        <v>1566504</v>
      </c>
      <c r="E2799">
        <v>3</v>
      </c>
      <c r="F2799" t="s">
        <v>2946</v>
      </c>
    </row>
    <row r="2800" spans="1:6" x14ac:dyDescent="0.25">
      <c r="A2800" t="s">
        <v>2948</v>
      </c>
      <c r="B2800" t="s">
        <v>534</v>
      </c>
      <c r="C2800" t="s">
        <v>535</v>
      </c>
      <c r="D2800" t="str">
        <f>HYPERLINK("http://service.sap.com/sap/support/notes/1567822","1567822")</f>
        <v>1567822</v>
      </c>
      <c r="E2800">
        <v>1</v>
      </c>
      <c r="F2800" t="s">
        <v>2947</v>
      </c>
    </row>
    <row r="2801" spans="1:6" x14ac:dyDescent="0.25">
      <c r="A2801" t="s">
        <v>3366</v>
      </c>
      <c r="B2801" t="s">
        <v>554</v>
      </c>
      <c r="C2801" t="s">
        <v>1732</v>
      </c>
    </row>
    <row r="2802" spans="1:6" x14ac:dyDescent="0.25">
      <c r="A2802" t="s">
        <v>3366</v>
      </c>
      <c r="B2802" t="s">
        <v>555</v>
      </c>
      <c r="C2802" t="s">
        <v>1733</v>
      </c>
    </row>
    <row r="2803" spans="1:6" x14ac:dyDescent="0.25">
      <c r="A2803" t="s">
        <v>3366</v>
      </c>
      <c r="B2803" t="s">
        <v>556</v>
      </c>
      <c r="C2803" t="s">
        <v>1734</v>
      </c>
      <c r="D2803" t="str">
        <f>HYPERLINK("http://service.sap.com/sap/support/notes/1571795","1571795")</f>
        <v>1571795</v>
      </c>
      <c r="E2803">
        <v>1</v>
      </c>
      <c r="F2803" t="s">
        <v>2949</v>
      </c>
    </row>
    <row r="2804" spans="1:6" x14ac:dyDescent="0.25">
      <c r="A2804" t="s">
        <v>3366</v>
      </c>
      <c r="B2804" t="s">
        <v>5</v>
      </c>
      <c r="C2804" t="s">
        <v>6</v>
      </c>
    </row>
    <row r="2805" spans="1:6" x14ac:dyDescent="0.25">
      <c r="A2805" t="s">
        <v>3366</v>
      </c>
      <c r="B2805" t="s">
        <v>7</v>
      </c>
      <c r="C2805" t="s">
        <v>8</v>
      </c>
    </row>
    <row r="2806" spans="1:6" x14ac:dyDescent="0.25">
      <c r="A2806" t="s">
        <v>3366</v>
      </c>
      <c r="B2806" t="s">
        <v>12</v>
      </c>
      <c r="C2806" t="s">
        <v>13</v>
      </c>
      <c r="D2806" t="str">
        <f>HYPERLINK("http://service.sap.com/sap/support/notes/1540415","1540415")</f>
        <v>1540415</v>
      </c>
      <c r="E2806">
        <v>1</v>
      </c>
      <c r="F2806" t="s">
        <v>2950</v>
      </c>
    </row>
    <row r="2807" spans="1:6" x14ac:dyDescent="0.25">
      <c r="A2807" t="s">
        <v>3366</v>
      </c>
      <c r="B2807" t="s">
        <v>12</v>
      </c>
      <c r="C2807" t="s">
        <v>13</v>
      </c>
      <c r="D2807" t="str">
        <f>HYPERLINK("http://service.sap.com/sap/support/notes/1548953","1548953")</f>
        <v>1548953</v>
      </c>
      <c r="E2807">
        <v>2</v>
      </c>
      <c r="F2807" t="s">
        <v>2951</v>
      </c>
    </row>
    <row r="2808" spans="1:6" x14ac:dyDescent="0.25">
      <c r="A2808" t="s">
        <v>3366</v>
      </c>
      <c r="B2808" t="s">
        <v>12</v>
      </c>
      <c r="C2808" t="s">
        <v>13</v>
      </c>
      <c r="D2808" t="str">
        <f>HYPERLINK("http://service.sap.com/sap/support/notes/1566469","1566469")</f>
        <v>1566469</v>
      </c>
      <c r="E2808">
        <v>3</v>
      </c>
      <c r="F2808" t="s">
        <v>2952</v>
      </c>
    </row>
    <row r="2809" spans="1:6" x14ac:dyDescent="0.25">
      <c r="A2809" t="s">
        <v>3366</v>
      </c>
      <c r="B2809" t="s">
        <v>12</v>
      </c>
      <c r="C2809" t="s">
        <v>13</v>
      </c>
      <c r="D2809" t="str">
        <f>HYPERLINK("http://service.sap.com/sap/support/notes/1574335","1574335")</f>
        <v>1574335</v>
      </c>
      <c r="E2809">
        <v>3</v>
      </c>
      <c r="F2809" t="s">
        <v>2953</v>
      </c>
    </row>
    <row r="2810" spans="1:6" x14ac:dyDescent="0.25">
      <c r="A2810" t="s">
        <v>3366</v>
      </c>
      <c r="B2810" t="s">
        <v>569</v>
      </c>
      <c r="C2810" t="s">
        <v>2598</v>
      </c>
      <c r="D2810" t="str">
        <f>HYPERLINK("http://service.sap.com/sap/support/notes/1571187","1571187")</f>
        <v>1571187</v>
      </c>
      <c r="E2810">
        <v>1</v>
      </c>
      <c r="F2810" t="s">
        <v>2954</v>
      </c>
    </row>
    <row r="2811" spans="1:6" x14ac:dyDescent="0.25">
      <c r="A2811" t="s">
        <v>3366</v>
      </c>
      <c r="B2811" t="s">
        <v>17</v>
      </c>
      <c r="C2811" t="s">
        <v>18</v>
      </c>
      <c r="D2811" t="str">
        <f>HYPERLINK("http://service.sap.com/sap/support/notes/1572164","1572164")</f>
        <v>1572164</v>
      </c>
      <c r="E2811">
        <v>1</v>
      </c>
      <c r="F2811" t="s">
        <v>2955</v>
      </c>
    </row>
    <row r="2812" spans="1:6" x14ac:dyDescent="0.25">
      <c r="A2812" t="s">
        <v>3366</v>
      </c>
      <c r="B2812" t="s">
        <v>581</v>
      </c>
      <c r="C2812" t="s">
        <v>1739</v>
      </c>
    </row>
    <row r="2813" spans="1:6" x14ac:dyDescent="0.25">
      <c r="A2813" t="s">
        <v>3366</v>
      </c>
      <c r="B2813" t="s">
        <v>582</v>
      </c>
      <c r="C2813" t="s">
        <v>1740</v>
      </c>
      <c r="D2813" t="str">
        <f>HYPERLINK("http://service.sap.com/sap/support/notes/1581936","1581936")</f>
        <v>1581936</v>
      </c>
      <c r="E2813">
        <v>1</v>
      </c>
      <c r="F2813" t="s">
        <v>2956</v>
      </c>
    </row>
    <row r="2814" spans="1:6" x14ac:dyDescent="0.25">
      <c r="A2814" t="s">
        <v>3366</v>
      </c>
      <c r="B2814" t="s">
        <v>585</v>
      </c>
      <c r="C2814" t="s">
        <v>1443</v>
      </c>
    </row>
    <row r="2815" spans="1:6" x14ac:dyDescent="0.25">
      <c r="A2815" t="s">
        <v>3366</v>
      </c>
      <c r="B2815" t="s">
        <v>586</v>
      </c>
      <c r="C2815" t="s">
        <v>1444</v>
      </c>
    </row>
    <row r="2816" spans="1:6" x14ac:dyDescent="0.25">
      <c r="A2816" t="s">
        <v>3366</v>
      </c>
      <c r="B2816" t="s">
        <v>587</v>
      </c>
      <c r="C2816" t="s">
        <v>1445</v>
      </c>
    </row>
    <row r="2817" spans="1:6" x14ac:dyDescent="0.25">
      <c r="A2817" t="s">
        <v>3366</v>
      </c>
      <c r="B2817" t="s">
        <v>588</v>
      </c>
      <c r="C2817" t="s">
        <v>1446</v>
      </c>
      <c r="D2817" t="str">
        <f>HYPERLINK("http://service.sap.com/sap/support/notes/1388256","1388256")</f>
        <v>1388256</v>
      </c>
      <c r="E2817">
        <v>2</v>
      </c>
      <c r="F2817" t="s">
        <v>2957</v>
      </c>
    </row>
    <row r="2818" spans="1:6" x14ac:dyDescent="0.25">
      <c r="A2818" t="s">
        <v>3366</v>
      </c>
      <c r="B2818" t="s">
        <v>20</v>
      </c>
      <c r="C2818" t="s">
        <v>21</v>
      </c>
    </row>
    <row r="2819" spans="1:6" x14ac:dyDescent="0.25">
      <c r="A2819" t="s">
        <v>3366</v>
      </c>
      <c r="B2819" t="s">
        <v>22</v>
      </c>
      <c r="C2819" t="s">
        <v>23</v>
      </c>
      <c r="D2819" t="str">
        <f>HYPERLINK("http://service.sap.com/sap/support/notes/1576193","1576193")</f>
        <v>1576193</v>
      </c>
      <c r="E2819">
        <v>2</v>
      </c>
      <c r="F2819" t="s">
        <v>2958</v>
      </c>
    </row>
    <row r="2820" spans="1:6" x14ac:dyDescent="0.25">
      <c r="A2820" t="s">
        <v>3366</v>
      </c>
      <c r="B2820" t="s">
        <v>27</v>
      </c>
      <c r="C2820" t="s">
        <v>13</v>
      </c>
    </row>
    <row r="2821" spans="1:6" x14ac:dyDescent="0.25">
      <c r="A2821" t="s">
        <v>3366</v>
      </c>
      <c r="B2821" t="s">
        <v>633</v>
      </c>
      <c r="C2821" t="s">
        <v>2959</v>
      </c>
      <c r="D2821" t="str">
        <f>HYPERLINK("http://service.sap.com/sap/support/notes/533921","533921")</f>
        <v>533921</v>
      </c>
      <c r="E2821">
        <v>1</v>
      </c>
      <c r="F2821" t="s">
        <v>2960</v>
      </c>
    </row>
    <row r="2822" spans="1:6" x14ac:dyDescent="0.25">
      <c r="A2822" t="s">
        <v>3366</v>
      </c>
      <c r="B2822" t="s">
        <v>633</v>
      </c>
      <c r="C2822" t="s">
        <v>2959</v>
      </c>
      <c r="D2822" t="str">
        <f>HYPERLINK("http://service.sap.com/sap/support/notes/1526288","1526288")</f>
        <v>1526288</v>
      </c>
      <c r="E2822">
        <v>3</v>
      </c>
      <c r="F2822" t="s">
        <v>2961</v>
      </c>
    </row>
    <row r="2823" spans="1:6" x14ac:dyDescent="0.25">
      <c r="A2823" t="s">
        <v>3366</v>
      </c>
      <c r="B2823" t="s">
        <v>38</v>
      </c>
      <c r="C2823" t="s">
        <v>39</v>
      </c>
    </row>
    <row r="2824" spans="1:6" x14ac:dyDescent="0.25">
      <c r="A2824" t="s">
        <v>3366</v>
      </c>
      <c r="B2824" t="s">
        <v>40</v>
      </c>
      <c r="C2824" t="s">
        <v>41</v>
      </c>
      <c r="D2824" t="str">
        <f>HYPERLINK("http://service.sap.com/sap/support/notes/1533248","1533248")</f>
        <v>1533248</v>
      </c>
      <c r="E2824">
        <v>2</v>
      </c>
      <c r="F2824" t="s">
        <v>2962</v>
      </c>
    </row>
    <row r="2825" spans="1:6" x14ac:dyDescent="0.25">
      <c r="A2825" t="s">
        <v>3366</v>
      </c>
      <c r="B2825" t="s">
        <v>40</v>
      </c>
      <c r="C2825" t="s">
        <v>41</v>
      </c>
      <c r="D2825" t="str">
        <f>HYPERLINK("http://service.sap.com/sap/support/notes/1547036","1547036")</f>
        <v>1547036</v>
      </c>
      <c r="E2825">
        <v>3</v>
      </c>
      <c r="F2825" t="s">
        <v>2164</v>
      </c>
    </row>
    <row r="2826" spans="1:6" x14ac:dyDescent="0.25">
      <c r="A2826" t="s">
        <v>3366</v>
      </c>
      <c r="B2826" t="s">
        <v>40</v>
      </c>
      <c r="C2826" t="s">
        <v>41</v>
      </c>
      <c r="D2826" t="str">
        <f>HYPERLINK("http://service.sap.com/sap/support/notes/1564102","1564102")</f>
        <v>1564102</v>
      </c>
      <c r="E2826">
        <v>2</v>
      </c>
      <c r="F2826" t="s">
        <v>2963</v>
      </c>
    </row>
    <row r="2827" spans="1:6" x14ac:dyDescent="0.25">
      <c r="A2827" t="s">
        <v>3366</v>
      </c>
      <c r="B2827" t="s">
        <v>40</v>
      </c>
      <c r="C2827" t="s">
        <v>41</v>
      </c>
      <c r="D2827" t="str">
        <f>HYPERLINK("http://service.sap.com/sap/support/notes/1574782","1574782")</f>
        <v>1574782</v>
      </c>
      <c r="E2827">
        <v>2</v>
      </c>
      <c r="F2827" t="s">
        <v>2964</v>
      </c>
    </row>
    <row r="2828" spans="1:6" x14ac:dyDescent="0.25">
      <c r="A2828" t="s">
        <v>3366</v>
      </c>
      <c r="B2828" t="s">
        <v>671</v>
      </c>
      <c r="C2828" t="s">
        <v>214</v>
      </c>
      <c r="D2828" t="str">
        <f>HYPERLINK("http://service.sap.com/sap/support/notes/1563083","1563083")</f>
        <v>1563083</v>
      </c>
      <c r="E2828">
        <v>2</v>
      </c>
      <c r="F2828" t="s">
        <v>2965</v>
      </c>
    </row>
    <row r="2829" spans="1:6" x14ac:dyDescent="0.25">
      <c r="A2829" t="s">
        <v>3366</v>
      </c>
      <c r="B2829" t="s">
        <v>48</v>
      </c>
      <c r="C2829" t="s">
        <v>49</v>
      </c>
      <c r="D2829" t="str">
        <f>HYPERLINK("http://service.sap.com/sap/support/notes/1571541","1571541")</f>
        <v>1571541</v>
      </c>
      <c r="E2829">
        <v>2</v>
      </c>
      <c r="F2829" t="s">
        <v>2966</v>
      </c>
    </row>
    <row r="2830" spans="1:6" x14ac:dyDescent="0.25">
      <c r="A2830" t="s">
        <v>3366</v>
      </c>
      <c r="B2830" t="s">
        <v>48</v>
      </c>
      <c r="C2830" t="s">
        <v>49</v>
      </c>
      <c r="D2830" t="str">
        <f>HYPERLINK("http://service.sap.com/sap/support/notes/1577553","1577553")</f>
        <v>1577553</v>
      </c>
      <c r="E2830">
        <v>2</v>
      </c>
      <c r="F2830" t="s">
        <v>2967</v>
      </c>
    </row>
    <row r="2831" spans="1:6" x14ac:dyDescent="0.25">
      <c r="A2831" t="s">
        <v>3366</v>
      </c>
      <c r="B2831" t="s">
        <v>51</v>
      </c>
      <c r="C2831" t="s">
        <v>52</v>
      </c>
      <c r="D2831" t="str">
        <f>HYPERLINK("http://service.sap.com/sap/support/notes/1570652","1570652")</f>
        <v>1570652</v>
      </c>
      <c r="E2831">
        <v>3</v>
      </c>
      <c r="F2831" t="s">
        <v>2968</v>
      </c>
    </row>
    <row r="2832" spans="1:6" x14ac:dyDescent="0.25">
      <c r="A2832" t="s">
        <v>3366</v>
      </c>
      <c r="B2832" t="s">
        <v>51</v>
      </c>
      <c r="C2832" t="s">
        <v>52</v>
      </c>
      <c r="D2832" t="str">
        <f>HYPERLINK("http://service.sap.com/sap/support/notes/1579605","1579605")</f>
        <v>1579605</v>
      </c>
      <c r="E2832">
        <v>2</v>
      </c>
      <c r="F2832" t="s">
        <v>2969</v>
      </c>
    </row>
    <row r="2833" spans="1:6" x14ac:dyDescent="0.25">
      <c r="A2833" t="s">
        <v>3366</v>
      </c>
      <c r="B2833" t="s">
        <v>57</v>
      </c>
      <c r="C2833" t="s">
        <v>58</v>
      </c>
    </row>
    <row r="2834" spans="1:6" x14ac:dyDescent="0.25">
      <c r="A2834" t="s">
        <v>3366</v>
      </c>
      <c r="B2834" t="s">
        <v>59</v>
      </c>
      <c r="C2834" t="s">
        <v>60</v>
      </c>
      <c r="D2834" t="str">
        <f>HYPERLINK("http://service.sap.com/sap/support/notes/1405991","1405991")</f>
        <v>1405991</v>
      </c>
      <c r="E2834">
        <v>1</v>
      </c>
      <c r="F2834" t="s">
        <v>2970</v>
      </c>
    </row>
    <row r="2835" spans="1:6" x14ac:dyDescent="0.25">
      <c r="A2835" t="s">
        <v>3366</v>
      </c>
      <c r="B2835" t="s">
        <v>59</v>
      </c>
      <c r="C2835" t="s">
        <v>60</v>
      </c>
      <c r="D2835" t="str">
        <f>HYPERLINK("http://service.sap.com/sap/support/notes/1566874","1566874")</f>
        <v>1566874</v>
      </c>
      <c r="E2835">
        <v>6</v>
      </c>
      <c r="F2835" t="s">
        <v>2971</v>
      </c>
    </row>
    <row r="2836" spans="1:6" x14ac:dyDescent="0.25">
      <c r="A2836" t="s">
        <v>3366</v>
      </c>
      <c r="B2836" t="s">
        <v>59</v>
      </c>
      <c r="C2836" t="s">
        <v>60</v>
      </c>
      <c r="D2836" t="str">
        <f>HYPERLINK("http://service.sap.com/sap/support/notes/1571133","1571133")</f>
        <v>1571133</v>
      </c>
      <c r="E2836">
        <v>3</v>
      </c>
      <c r="F2836" t="s">
        <v>2972</v>
      </c>
    </row>
    <row r="2837" spans="1:6" x14ac:dyDescent="0.25">
      <c r="A2837" t="s">
        <v>3366</v>
      </c>
      <c r="B2837" t="s">
        <v>59</v>
      </c>
      <c r="C2837" t="s">
        <v>60</v>
      </c>
      <c r="D2837" t="str">
        <f>HYPERLINK("http://service.sap.com/sap/support/notes/1572165","1572165")</f>
        <v>1572165</v>
      </c>
      <c r="E2837">
        <v>4</v>
      </c>
      <c r="F2837" t="s">
        <v>2973</v>
      </c>
    </row>
    <row r="2838" spans="1:6" x14ac:dyDescent="0.25">
      <c r="A2838" t="s">
        <v>3366</v>
      </c>
      <c r="B2838" t="s">
        <v>59</v>
      </c>
      <c r="C2838" t="s">
        <v>60</v>
      </c>
      <c r="D2838" t="str">
        <f>HYPERLINK("http://service.sap.com/sap/support/notes/1572775","1572775")</f>
        <v>1572775</v>
      </c>
      <c r="E2838">
        <v>1</v>
      </c>
      <c r="F2838" t="s">
        <v>2974</v>
      </c>
    </row>
    <row r="2839" spans="1:6" x14ac:dyDescent="0.25">
      <c r="A2839" t="s">
        <v>3366</v>
      </c>
      <c r="B2839" t="s">
        <v>59</v>
      </c>
      <c r="C2839" t="s">
        <v>60</v>
      </c>
      <c r="D2839" t="str">
        <f>HYPERLINK("http://service.sap.com/sap/support/notes/1575169","1575169")</f>
        <v>1575169</v>
      </c>
      <c r="E2839">
        <v>1</v>
      </c>
      <c r="F2839" t="s">
        <v>2975</v>
      </c>
    </row>
    <row r="2840" spans="1:6" x14ac:dyDescent="0.25">
      <c r="A2840" t="s">
        <v>3366</v>
      </c>
      <c r="B2840" t="s">
        <v>59</v>
      </c>
      <c r="C2840" t="s">
        <v>60</v>
      </c>
      <c r="D2840" t="str">
        <f>HYPERLINK("http://service.sap.com/sap/support/notes/1580700","1580700")</f>
        <v>1580700</v>
      </c>
      <c r="E2840">
        <v>2</v>
      </c>
      <c r="F2840" t="s">
        <v>2976</v>
      </c>
    </row>
    <row r="2841" spans="1:6" x14ac:dyDescent="0.25">
      <c r="A2841" t="s">
        <v>3366</v>
      </c>
      <c r="B2841" t="s">
        <v>694</v>
      </c>
      <c r="C2841" t="s">
        <v>695</v>
      </c>
      <c r="D2841" t="str">
        <f>HYPERLINK("http://service.sap.com/sap/support/notes/1572666","1572666")</f>
        <v>1572666</v>
      </c>
      <c r="E2841">
        <v>2</v>
      </c>
      <c r="F2841" t="s">
        <v>2977</v>
      </c>
    </row>
    <row r="2842" spans="1:6" x14ac:dyDescent="0.25">
      <c r="A2842" t="s">
        <v>3366</v>
      </c>
      <c r="B2842" t="s">
        <v>2978</v>
      </c>
      <c r="C2842" t="s">
        <v>354</v>
      </c>
      <c r="D2842" t="str">
        <f>HYPERLINK("http://service.sap.com/sap/support/notes/1576945","1576945")</f>
        <v>1576945</v>
      </c>
      <c r="E2842">
        <v>2</v>
      </c>
      <c r="F2842" t="s">
        <v>2979</v>
      </c>
    </row>
    <row r="2843" spans="1:6" x14ac:dyDescent="0.25">
      <c r="A2843" t="s">
        <v>3366</v>
      </c>
      <c r="B2843" t="s">
        <v>76</v>
      </c>
      <c r="C2843" t="s">
        <v>77</v>
      </c>
      <c r="D2843" t="str">
        <f>HYPERLINK("http://service.sap.com/sap/support/notes/448307","448307")</f>
        <v>448307</v>
      </c>
      <c r="E2843">
        <v>1</v>
      </c>
      <c r="F2843" t="s">
        <v>78</v>
      </c>
    </row>
    <row r="2844" spans="1:6" x14ac:dyDescent="0.25">
      <c r="A2844" t="s">
        <v>3366</v>
      </c>
      <c r="B2844" t="s">
        <v>79</v>
      </c>
      <c r="C2844" t="s">
        <v>80</v>
      </c>
      <c r="D2844" t="str">
        <f>HYPERLINK("http://service.sap.com/sap/support/notes/1568250","1568250")</f>
        <v>1568250</v>
      </c>
      <c r="E2844">
        <v>3</v>
      </c>
      <c r="F2844" t="s">
        <v>2980</v>
      </c>
    </row>
    <row r="2845" spans="1:6" x14ac:dyDescent="0.25">
      <c r="A2845" t="s">
        <v>3366</v>
      </c>
      <c r="B2845" t="s">
        <v>79</v>
      </c>
      <c r="C2845" t="s">
        <v>80</v>
      </c>
      <c r="D2845" t="str">
        <f>HYPERLINK("http://service.sap.com/sap/support/notes/1576414","1576414")</f>
        <v>1576414</v>
      </c>
      <c r="E2845">
        <v>1</v>
      </c>
      <c r="F2845" t="s">
        <v>2981</v>
      </c>
    </row>
    <row r="2846" spans="1:6" x14ac:dyDescent="0.25">
      <c r="A2846" t="s">
        <v>3366</v>
      </c>
      <c r="B2846" t="s">
        <v>89</v>
      </c>
      <c r="C2846" t="s">
        <v>90</v>
      </c>
      <c r="D2846" t="str">
        <f>HYPERLINK("http://service.sap.com/sap/support/notes/1571599","1571599")</f>
        <v>1571599</v>
      </c>
      <c r="E2846">
        <v>1</v>
      </c>
      <c r="F2846" t="s">
        <v>2982</v>
      </c>
    </row>
    <row r="2847" spans="1:6" x14ac:dyDescent="0.25">
      <c r="A2847" t="s">
        <v>3366</v>
      </c>
      <c r="B2847" t="s">
        <v>89</v>
      </c>
      <c r="C2847" t="s">
        <v>90</v>
      </c>
      <c r="D2847" t="str">
        <f>HYPERLINK("http://service.sap.com/sap/support/notes/1575988","1575988")</f>
        <v>1575988</v>
      </c>
      <c r="E2847">
        <v>3</v>
      </c>
      <c r="F2847" t="s">
        <v>2983</v>
      </c>
    </row>
    <row r="2848" spans="1:6" x14ac:dyDescent="0.25">
      <c r="A2848" t="s">
        <v>3366</v>
      </c>
      <c r="B2848" t="s">
        <v>704</v>
      </c>
      <c r="C2848" t="s">
        <v>412</v>
      </c>
      <c r="D2848" t="str">
        <f>HYPERLINK("http://service.sap.com/sap/support/notes/1501865","1501865")</f>
        <v>1501865</v>
      </c>
      <c r="E2848">
        <v>2</v>
      </c>
      <c r="F2848" t="s">
        <v>2984</v>
      </c>
    </row>
    <row r="2849" spans="1:6" x14ac:dyDescent="0.25">
      <c r="A2849" t="s">
        <v>3366</v>
      </c>
      <c r="B2849" t="s">
        <v>704</v>
      </c>
      <c r="C2849" t="s">
        <v>412</v>
      </c>
      <c r="D2849" t="str">
        <f>HYPERLINK("http://service.sap.com/sap/support/notes/1576748","1576748")</f>
        <v>1576748</v>
      </c>
      <c r="E2849">
        <v>2</v>
      </c>
      <c r="F2849" t="s">
        <v>2985</v>
      </c>
    </row>
    <row r="2850" spans="1:6" x14ac:dyDescent="0.25">
      <c r="A2850" t="s">
        <v>3366</v>
      </c>
      <c r="B2850" t="s">
        <v>1461</v>
      </c>
      <c r="C2850" t="s">
        <v>441</v>
      </c>
      <c r="D2850" t="str">
        <f>HYPERLINK("http://service.sap.com/sap/support/notes/1572979","1572979")</f>
        <v>1572979</v>
      </c>
      <c r="E2850">
        <v>1</v>
      </c>
      <c r="F2850" t="s">
        <v>2986</v>
      </c>
    </row>
    <row r="2851" spans="1:6" x14ac:dyDescent="0.25">
      <c r="A2851" t="s">
        <v>3366</v>
      </c>
      <c r="B2851" t="s">
        <v>92</v>
      </c>
      <c r="C2851" t="s">
        <v>93</v>
      </c>
      <c r="D2851" t="str">
        <f>HYPERLINK("http://service.sap.com/sap/support/notes/1566806","1566806")</f>
        <v>1566806</v>
      </c>
      <c r="E2851">
        <v>2</v>
      </c>
      <c r="F2851" t="s">
        <v>2987</v>
      </c>
    </row>
    <row r="2852" spans="1:6" x14ac:dyDescent="0.25">
      <c r="A2852" t="s">
        <v>3366</v>
      </c>
      <c r="B2852" t="s">
        <v>92</v>
      </c>
      <c r="C2852" t="s">
        <v>93</v>
      </c>
      <c r="D2852" t="str">
        <f>HYPERLINK("http://service.sap.com/sap/support/notes/1570607","1570607")</f>
        <v>1570607</v>
      </c>
      <c r="E2852">
        <v>1</v>
      </c>
      <c r="F2852" t="s">
        <v>2988</v>
      </c>
    </row>
    <row r="2853" spans="1:6" x14ac:dyDescent="0.25">
      <c r="A2853" t="s">
        <v>3366</v>
      </c>
      <c r="B2853" t="s">
        <v>92</v>
      </c>
      <c r="C2853" t="s">
        <v>93</v>
      </c>
      <c r="D2853" t="str">
        <f>HYPERLINK("http://service.sap.com/sap/support/notes/1572036","1572036")</f>
        <v>1572036</v>
      </c>
      <c r="E2853">
        <v>1</v>
      </c>
      <c r="F2853" t="s">
        <v>2989</v>
      </c>
    </row>
    <row r="2854" spans="1:6" x14ac:dyDescent="0.25">
      <c r="A2854" t="s">
        <v>3366</v>
      </c>
      <c r="B2854" t="s">
        <v>92</v>
      </c>
      <c r="C2854" t="s">
        <v>93</v>
      </c>
      <c r="D2854" t="str">
        <f>HYPERLINK("http://service.sap.com/sap/support/notes/1574588","1574588")</f>
        <v>1574588</v>
      </c>
      <c r="E2854">
        <v>1</v>
      </c>
      <c r="F2854" t="s">
        <v>2990</v>
      </c>
    </row>
    <row r="2855" spans="1:6" x14ac:dyDescent="0.25">
      <c r="A2855" t="s">
        <v>3366</v>
      </c>
      <c r="B2855" t="s">
        <v>92</v>
      </c>
      <c r="C2855" t="s">
        <v>93</v>
      </c>
      <c r="D2855" t="str">
        <f>HYPERLINK("http://service.sap.com/sap/support/notes/1575319","1575319")</f>
        <v>1575319</v>
      </c>
      <c r="E2855">
        <v>10</v>
      </c>
      <c r="F2855" t="s">
        <v>2991</v>
      </c>
    </row>
    <row r="2856" spans="1:6" x14ac:dyDescent="0.25">
      <c r="A2856" t="s">
        <v>3366</v>
      </c>
      <c r="B2856" t="s">
        <v>92</v>
      </c>
      <c r="C2856" t="s">
        <v>93</v>
      </c>
      <c r="D2856" t="str">
        <f>HYPERLINK("http://service.sap.com/sap/support/notes/1577472","1577472")</f>
        <v>1577472</v>
      </c>
      <c r="E2856">
        <v>3</v>
      </c>
      <c r="F2856" t="s">
        <v>2992</v>
      </c>
    </row>
    <row r="2857" spans="1:6" x14ac:dyDescent="0.25">
      <c r="A2857" t="s">
        <v>3366</v>
      </c>
      <c r="B2857" t="s">
        <v>107</v>
      </c>
      <c r="C2857" t="s">
        <v>108</v>
      </c>
      <c r="D2857" t="str">
        <f>HYPERLINK("http://service.sap.com/sap/support/notes/1557058","1557058")</f>
        <v>1557058</v>
      </c>
      <c r="E2857">
        <v>3</v>
      </c>
      <c r="F2857" t="s">
        <v>2993</v>
      </c>
    </row>
    <row r="2858" spans="1:6" x14ac:dyDescent="0.25">
      <c r="A2858" t="s">
        <v>3366</v>
      </c>
      <c r="B2858" t="s">
        <v>118</v>
      </c>
      <c r="C2858" t="s">
        <v>119</v>
      </c>
    </row>
    <row r="2859" spans="1:6" x14ac:dyDescent="0.25">
      <c r="A2859" t="s">
        <v>3366</v>
      </c>
      <c r="B2859" t="s">
        <v>120</v>
      </c>
      <c r="C2859" t="s">
        <v>121</v>
      </c>
      <c r="D2859" t="str">
        <f>HYPERLINK("http://service.sap.com/sap/support/notes/1573597","1573597")</f>
        <v>1573597</v>
      </c>
      <c r="E2859">
        <v>2</v>
      </c>
      <c r="F2859" t="s">
        <v>2994</v>
      </c>
    </row>
    <row r="2860" spans="1:6" x14ac:dyDescent="0.25">
      <c r="A2860" t="s">
        <v>3366</v>
      </c>
      <c r="B2860" t="s">
        <v>123</v>
      </c>
      <c r="C2860" t="s">
        <v>124</v>
      </c>
      <c r="D2860" t="str">
        <f>HYPERLINK("http://service.sap.com/sap/support/notes/1568634","1568634")</f>
        <v>1568634</v>
      </c>
      <c r="E2860">
        <v>7</v>
      </c>
      <c r="F2860" t="s">
        <v>2995</v>
      </c>
    </row>
    <row r="2861" spans="1:6" x14ac:dyDescent="0.25">
      <c r="A2861" t="s">
        <v>3366</v>
      </c>
      <c r="B2861" t="s">
        <v>123</v>
      </c>
      <c r="C2861" t="s">
        <v>124</v>
      </c>
      <c r="D2861" t="str">
        <f>HYPERLINK("http://service.sap.com/sap/support/notes/1568947","1568947")</f>
        <v>1568947</v>
      </c>
      <c r="E2861">
        <v>3</v>
      </c>
      <c r="F2861" t="s">
        <v>2996</v>
      </c>
    </row>
    <row r="2862" spans="1:6" x14ac:dyDescent="0.25">
      <c r="A2862" t="s">
        <v>3366</v>
      </c>
      <c r="B2862" t="s">
        <v>123</v>
      </c>
      <c r="C2862" t="s">
        <v>124</v>
      </c>
      <c r="D2862" t="str">
        <f>HYPERLINK("http://service.sap.com/sap/support/notes/1572710","1572710")</f>
        <v>1572710</v>
      </c>
      <c r="E2862">
        <v>3</v>
      </c>
      <c r="F2862" t="s">
        <v>2997</v>
      </c>
    </row>
    <row r="2863" spans="1:6" x14ac:dyDescent="0.25">
      <c r="A2863" t="s">
        <v>3366</v>
      </c>
      <c r="B2863" t="s">
        <v>123</v>
      </c>
      <c r="C2863" t="s">
        <v>124</v>
      </c>
      <c r="D2863" t="str">
        <f>HYPERLINK("http://service.sap.com/sap/support/notes/1573937","1573937")</f>
        <v>1573937</v>
      </c>
      <c r="E2863">
        <v>5</v>
      </c>
      <c r="F2863" t="s">
        <v>2998</v>
      </c>
    </row>
    <row r="2864" spans="1:6" x14ac:dyDescent="0.25">
      <c r="A2864" t="s">
        <v>3366</v>
      </c>
      <c r="B2864" t="s">
        <v>123</v>
      </c>
      <c r="C2864" t="s">
        <v>124</v>
      </c>
      <c r="D2864" t="str">
        <f>HYPERLINK("http://service.sap.com/sap/support/notes/1580820","1580820")</f>
        <v>1580820</v>
      </c>
      <c r="E2864">
        <v>2</v>
      </c>
      <c r="F2864" t="s">
        <v>2999</v>
      </c>
    </row>
    <row r="2865" spans="1:6" x14ac:dyDescent="0.25">
      <c r="A2865" t="s">
        <v>3366</v>
      </c>
      <c r="B2865" t="s">
        <v>126</v>
      </c>
      <c r="C2865" t="s">
        <v>127</v>
      </c>
    </row>
    <row r="2866" spans="1:6" x14ac:dyDescent="0.25">
      <c r="A2866" t="s">
        <v>3366</v>
      </c>
      <c r="B2866" t="s">
        <v>824</v>
      </c>
      <c r="C2866" t="s">
        <v>1777</v>
      </c>
    </row>
    <row r="2867" spans="1:6" x14ac:dyDescent="0.25">
      <c r="A2867" t="s">
        <v>3366</v>
      </c>
      <c r="B2867" t="s">
        <v>825</v>
      </c>
      <c r="C2867" t="s">
        <v>1778</v>
      </c>
      <c r="D2867" t="str">
        <f>HYPERLINK("http://service.sap.com/sap/support/notes/1483603","1483603")</f>
        <v>1483603</v>
      </c>
      <c r="E2867">
        <v>2</v>
      </c>
      <c r="F2867" t="s">
        <v>3000</v>
      </c>
    </row>
    <row r="2868" spans="1:6" x14ac:dyDescent="0.25">
      <c r="A2868" t="s">
        <v>3366</v>
      </c>
      <c r="B2868" t="s">
        <v>825</v>
      </c>
      <c r="C2868" t="s">
        <v>1778</v>
      </c>
      <c r="D2868" t="str">
        <f>HYPERLINK("http://service.sap.com/sap/support/notes/1543144","1543144")</f>
        <v>1543144</v>
      </c>
      <c r="E2868">
        <v>2</v>
      </c>
      <c r="F2868" t="s">
        <v>3001</v>
      </c>
    </row>
    <row r="2869" spans="1:6" x14ac:dyDescent="0.25">
      <c r="A2869" t="s">
        <v>3366</v>
      </c>
      <c r="B2869" t="s">
        <v>831</v>
      </c>
      <c r="C2869" t="s">
        <v>2598</v>
      </c>
    </row>
    <row r="2870" spans="1:6" x14ac:dyDescent="0.25">
      <c r="A2870" t="s">
        <v>3366</v>
      </c>
      <c r="B2870" t="s">
        <v>871</v>
      </c>
      <c r="C2870" t="s">
        <v>872</v>
      </c>
      <c r="D2870" t="str">
        <f>HYPERLINK("http://service.sap.com/sap/support/notes/1523943","1523943")</f>
        <v>1523943</v>
      </c>
      <c r="E2870">
        <v>1</v>
      </c>
      <c r="F2870" t="s">
        <v>3002</v>
      </c>
    </row>
    <row r="2871" spans="1:6" x14ac:dyDescent="0.25">
      <c r="A2871" t="s">
        <v>3366</v>
      </c>
      <c r="B2871" t="s">
        <v>871</v>
      </c>
      <c r="C2871" t="s">
        <v>872</v>
      </c>
      <c r="D2871" t="str">
        <f>HYPERLINK("http://service.sap.com/sap/support/notes/1532281","1532281")</f>
        <v>1532281</v>
      </c>
      <c r="E2871">
        <v>1</v>
      </c>
      <c r="F2871" t="s">
        <v>3003</v>
      </c>
    </row>
    <row r="2872" spans="1:6" x14ac:dyDescent="0.25">
      <c r="A2872" t="s">
        <v>3366</v>
      </c>
      <c r="B2872" t="s">
        <v>871</v>
      </c>
      <c r="C2872" t="s">
        <v>872</v>
      </c>
      <c r="D2872" t="str">
        <f>HYPERLINK("http://service.sap.com/sap/support/notes/1546022","1546022")</f>
        <v>1546022</v>
      </c>
      <c r="E2872">
        <v>2</v>
      </c>
      <c r="F2872" t="s">
        <v>3004</v>
      </c>
    </row>
    <row r="2873" spans="1:6" x14ac:dyDescent="0.25">
      <c r="A2873" t="s">
        <v>3366</v>
      </c>
      <c r="B2873" t="s">
        <v>871</v>
      </c>
      <c r="C2873" t="s">
        <v>872</v>
      </c>
      <c r="D2873" t="str">
        <f>HYPERLINK("http://service.sap.com/sap/support/notes/1564435","1564435")</f>
        <v>1564435</v>
      </c>
      <c r="E2873">
        <v>1</v>
      </c>
      <c r="F2873" t="s">
        <v>3005</v>
      </c>
    </row>
    <row r="2874" spans="1:6" x14ac:dyDescent="0.25">
      <c r="A2874" t="s">
        <v>3366</v>
      </c>
      <c r="B2874" t="s">
        <v>871</v>
      </c>
      <c r="C2874" t="s">
        <v>872</v>
      </c>
      <c r="D2874" t="str">
        <f>HYPERLINK("http://service.sap.com/sap/support/notes/1572186","1572186")</f>
        <v>1572186</v>
      </c>
      <c r="E2874">
        <v>2</v>
      </c>
      <c r="F2874" t="s">
        <v>3006</v>
      </c>
    </row>
    <row r="2875" spans="1:6" x14ac:dyDescent="0.25">
      <c r="A2875" t="s">
        <v>3366</v>
      </c>
      <c r="B2875" t="s">
        <v>871</v>
      </c>
      <c r="C2875" t="s">
        <v>872</v>
      </c>
      <c r="D2875" t="str">
        <f>HYPERLINK("http://service.sap.com/sap/support/notes/1572843","1572843")</f>
        <v>1572843</v>
      </c>
      <c r="E2875">
        <v>2</v>
      </c>
      <c r="F2875" t="s">
        <v>3007</v>
      </c>
    </row>
    <row r="2876" spans="1:6" x14ac:dyDescent="0.25">
      <c r="A2876" t="s">
        <v>3366</v>
      </c>
      <c r="B2876" t="s">
        <v>871</v>
      </c>
      <c r="C2876" t="s">
        <v>872</v>
      </c>
      <c r="D2876" t="str">
        <f>HYPERLINK("http://service.sap.com/sap/support/notes/1573607","1573607")</f>
        <v>1573607</v>
      </c>
      <c r="E2876">
        <v>1</v>
      </c>
      <c r="F2876" t="s">
        <v>3008</v>
      </c>
    </row>
    <row r="2877" spans="1:6" x14ac:dyDescent="0.25">
      <c r="A2877" t="s">
        <v>3366</v>
      </c>
      <c r="B2877" t="s">
        <v>871</v>
      </c>
      <c r="C2877" t="s">
        <v>872</v>
      </c>
      <c r="D2877" t="str">
        <f>HYPERLINK("http://service.sap.com/sap/support/notes/1574313","1574313")</f>
        <v>1574313</v>
      </c>
      <c r="E2877">
        <v>1</v>
      </c>
      <c r="F2877" t="s">
        <v>3009</v>
      </c>
    </row>
    <row r="2878" spans="1:6" x14ac:dyDescent="0.25">
      <c r="A2878" t="s">
        <v>3366</v>
      </c>
      <c r="B2878" t="s">
        <v>871</v>
      </c>
      <c r="C2878" t="s">
        <v>872</v>
      </c>
      <c r="D2878" t="str">
        <f>HYPERLINK("http://service.sap.com/sap/support/notes/1576664","1576664")</f>
        <v>1576664</v>
      </c>
      <c r="E2878">
        <v>1</v>
      </c>
      <c r="F2878" t="s">
        <v>3010</v>
      </c>
    </row>
    <row r="2879" spans="1:6" x14ac:dyDescent="0.25">
      <c r="A2879" t="s">
        <v>3366</v>
      </c>
      <c r="B2879" t="s">
        <v>3011</v>
      </c>
      <c r="C2879" t="s">
        <v>3012</v>
      </c>
      <c r="D2879" t="str">
        <f>HYPERLINK("http://service.sap.com/sap/support/notes/1530957","1530957")</f>
        <v>1530957</v>
      </c>
      <c r="E2879">
        <v>1</v>
      </c>
      <c r="F2879" t="s">
        <v>3013</v>
      </c>
    </row>
    <row r="2880" spans="1:6" x14ac:dyDescent="0.25">
      <c r="A2880" t="s">
        <v>3366</v>
      </c>
      <c r="B2880" t="s">
        <v>131</v>
      </c>
      <c r="C2880" t="s">
        <v>132</v>
      </c>
    </row>
    <row r="2881" spans="1:6" x14ac:dyDescent="0.25">
      <c r="A2881" t="s">
        <v>3366</v>
      </c>
      <c r="B2881" t="s">
        <v>133</v>
      </c>
      <c r="C2881" t="s">
        <v>134</v>
      </c>
      <c r="D2881" t="str">
        <f>HYPERLINK("http://service.sap.com/sap/support/notes/1565605","1565605")</f>
        <v>1565605</v>
      </c>
      <c r="E2881">
        <v>3</v>
      </c>
      <c r="F2881" t="s">
        <v>3014</v>
      </c>
    </row>
    <row r="2882" spans="1:6" x14ac:dyDescent="0.25">
      <c r="A2882" t="s">
        <v>3366</v>
      </c>
      <c r="B2882" t="s">
        <v>133</v>
      </c>
      <c r="C2882" t="s">
        <v>134</v>
      </c>
      <c r="D2882" t="str">
        <f>HYPERLINK("http://service.sap.com/sap/support/notes/1569456","1569456")</f>
        <v>1569456</v>
      </c>
      <c r="E2882">
        <v>2</v>
      </c>
      <c r="F2882" t="s">
        <v>3015</v>
      </c>
    </row>
    <row r="2883" spans="1:6" x14ac:dyDescent="0.25">
      <c r="A2883" t="s">
        <v>3366</v>
      </c>
      <c r="B2883" t="s">
        <v>133</v>
      </c>
      <c r="C2883" t="s">
        <v>134</v>
      </c>
      <c r="D2883" t="str">
        <f>HYPERLINK("http://service.sap.com/sap/support/notes/1573353","1573353")</f>
        <v>1573353</v>
      </c>
      <c r="E2883">
        <v>2</v>
      </c>
      <c r="F2883" t="s">
        <v>3016</v>
      </c>
    </row>
    <row r="2884" spans="1:6" x14ac:dyDescent="0.25">
      <c r="A2884" t="s">
        <v>3366</v>
      </c>
      <c r="B2884" t="s">
        <v>133</v>
      </c>
      <c r="C2884" t="s">
        <v>134</v>
      </c>
      <c r="D2884" t="str">
        <f>HYPERLINK("http://service.sap.com/sap/support/notes/1573471","1573471")</f>
        <v>1573471</v>
      </c>
      <c r="E2884">
        <v>4</v>
      </c>
      <c r="F2884" t="s">
        <v>3017</v>
      </c>
    </row>
    <row r="2885" spans="1:6" x14ac:dyDescent="0.25">
      <c r="A2885" t="s">
        <v>3366</v>
      </c>
      <c r="B2885" t="s">
        <v>133</v>
      </c>
      <c r="C2885" t="s">
        <v>134</v>
      </c>
      <c r="D2885" t="str">
        <f>HYPERLINK("http://service.sap.com/sap/support/notes/1576253","1576253")</f>
        <v>1576253</v>
      </c>
      <c r="E2885">
        <v>4</v>
      </c>
      <c r="F2885" t="s">
        <v>3018</v>
      </c>
    </row>
    <row r="2886" spans="1:6" x14ac:dyDescent="0.25">
      <c r="A2886" t="s">
        <v>3366</v>
      </c>
      <c r="B2886" t="s">
        <v>133</v>
      </c>
      <c r="C2886" t="s">
        <v>134</v>
      </c>
      <c r="D2886" t="str">
        <f>HYPERLINK("http://service.sap.com/sap/support/notes/1577232","1577232")</f>
        <v>1577232</v>
      </c>
      <c r="E2886">
        <v>4</v>
      </c>
      <c r="F2886" t="s">
        <v>3019</v>
      </c>
    </row>
    <row r="2887" spans="1:6" x14ac:dyDescent="0.25">
      <c r="A2887" t="s">
        <v>3366</v>
      </c>
      <c r="B2887" t="s">
        <v>141</v>
      </c>
      <c r="C2887" t="s">
        <v>41</v>
      </c>
      <c r="D2887" t="str">
        <f>HYPERLINK("http://service.sap.com/sap/support/notes/1444884","1444884")</f>
        <v>1444884</v>
      </c>
      <c r="E2887">
        <v>8</v>
      </c>
      <c r="F2887" t="s">
        <v>3020</v>
      </c>
    </row>
    <row r="2888" spans="1:6" x14ac:dyDescent="0.25">
      <c r="A2888" t="s">
        <v>3366</v>
      </c>
      <c r="B2888" t="s">
        <v>141</v>
      </c>
      <c r="C2888" t="s">
        <v>41</v>
      </c>
      <c r="D2888" t="str">
        <f>HYPERLINK("http://service.sap.com/sap/support/notes/1521571","1521571")</f>
        <v>1521571</v>
      </c>
      <c r="E2888">
        <v>2</v>
      </c>
      <c r="F2888" t="s">
        <v>3021</v>
      </c>
    </row>
    <row r="2889" spans="1:6" x14ac:dyDescent="0.25">
      <c r="A2889" t="s">
        <v>3366</v>
      </c>
      <c r="B2889" t="s">
        <v>141</v>
      </c>
      <c r="C2889" t="s">
        <v>41</v>
      </c>
      <c r="D2889" t="str">
        <f>HYPERLINK("http://service.sap.com/sap/support/notes/1539689","1539689")</f>
        <v>1539689</v>
      </c>
      <c r="E2889">
        <v>3</v>
      </c>
      <c r="F2889" t="s">
        <v>3022</v>
      </c>
    </row>
    <row r="2890" spans="1:6" x14ac:dyDescent="0.25">
      <c r="A2890" t="s">
        <v>3366</v>
      </c>
      <c r="B2890" t="s">
        <v>141</v>
      </c>
      <c r="C2890" t="s">
        <v>41</v>
      </c>
      <c r="D2890" t="str">
        <f>HYPERLINK("http://service.sap.com/sap/support/notes/1564290","1564290")</f>
        <v>1564290</v>
      </c>
      <c r="E2890">
        <v>3</v>
      </c>
      <c r="F2890" t="s">
        <v>3023</v>
      </c>
    </row>
    <row r="2891" spans="1:6" x14ac:dyDescent="0.25">
      <c r="A2891" t="s">
        <v>3366</v>
      </c>
      <c r="B2891" t="s">
        <v>141</v>
      </c>
      <c r="C2891" t="s">
        <v>41</v>
      </c>
      <c r="D2891" t="str">
        <f>HYPERLINK("http://service.sap.com/sap/support/notes/1564812","1564812")</f>
        <v>1564812</v>
      </c>
      <c r="E2891">
        <v>1</v>
      </c>
      <c r="F2891" t="s">
        <v>3024</v>
      </c>
    </row>
    <row r="2892" spans="1:6" x14ac:dyDescent="0.25">
      <c r="A2892" t="s">
        <v>3366</v>
      </c>
      <c r="B2892" t="s">
        <v>141</v>
      </c>
      <c r="C2892" t="s">
        <v>41</v>
      </c>
      <c r="D2892" t="str">
        <f>HYPERLINK("http://service.sap.com/sap/support/notes/1565264","1565264")</f>
        <v>1565264</v>
      </c>
      <c r="E2892">
        <v>2</v>
      </c>
      <c r="F2892" t="s">
        <v>3025</v>
      </c>
    </row>
    <row r="2893" spans="1:6" x14ac:dyDescent="0.25">
      <c r="A2893" t="s">
        <v>3366</v>
      </c>
      <c r="B2893" t="s">
        <v>141</v>
      </c>
      <c r="C2893" t="s">
        <v>41</v>
      </c>
      <c r="D2893" t="str">
        <f>HYPERLINK("http://service.sap.com/sap/support/notes/1567087","1567087")</f>
        <v>1567087</v>
      </c>
      <c r="E2893">
        <v>2</v>
      </c>
      <c r="F2893" t="s">
        <v>3026</v>
      </c>
    </row>
    <row r="2894" spans="1:6" x14ac:dyDescent="0.25">
      <c r="A2894" t="s">
        <v>3366</v>
      </c>
      <c r="B2894" t="s">
        <v>141</v>
      </c>
      <c r="C2894" t="s">
        <v>41</v>
      </c>
      <c r="D2894" t="str">
        <f>HYPERLINK("http://service.sap.com/sap/support/notes/1567318","1567318")</f>
        <v>1567318</v>
      </c>
      <c r="E2894">
        <v>6</v>
      </c>
      <c r="F2894" t="s">
        <v>3027</v>
      </c>
    </row>
    <row r="2895" spans="1:6" x14ac:dyDescent="0.25">
      <c r="A2895" t="s">
        <v>3366</v>
      </c>
      <c r="B2895" t="s">
        <v>141</v>
      </c>
      <c r="C2895" t="s">
        <v>41</v>
      </c>
      <c r="D2895" t="str">
        <f>HYPERLINK("http://service.sap.com/sap/support/notes/1572846","1572846")</f>
        <v>1572846</v>
      </c>
      <c r="E2895">
        <v>1</v>
      </c>
      <c r="F2895" t="s">
        <v>3028</v>
      </c>
    </row>
    <row r="2896" spans="1:6" x14ac:dyDescent="0.25">
      <c r="A2896" t="s">
        <v>3366</v>
      </c>
      <c r="B2896" t="s">
        <v>141</v>
      </c>
      <c r="C2896" t="s">
        <v>41</v>
      </c>
      <c r="D2896" t="str">
        <f>HYPERLINK("http://service.sap.com/sap/support/notes/1573363","1573363")</f>
        <v>1573363</v>
      </c>
      <c r="E2896">
        <v>1</v>
      </c>
      <c r="F2896" t="s">
        <v>3029</v>
      </c>
    </row>
    <row r="2897" spans="1:6" x14ac:dyDescent="0.25">
      <c r="A2897" t="s">
        <v>3366</v>
      </c>
      <c r="B2897" t="s">
        <v>141</v>
      </c>
      <c r="C2897" t="s">
        <v>41</v>
      </c>
      <c r="D2897" t="str">
        <f>HYPERLINK("http://service.sap.com/sap/support/notes/1573387","1573387")</f>
        <v>1573387</v>
      </c>
      <c r="E2897">
        <v>3</v>
      </c>
      <c r="F2897" t="s">
        <v>3030</v>
      </c>
    </row>
    <row r="2898" spans="1:6" x14ac:dyDescent="0.25">
      <c r="A2898" t="s">
        <v>3366</v>
      </c>
      <c r="B2898" t="s">
        <v>141</v>
      </c>
      <c r="C2898" t="s">
        <v>41</v>
      </c>
      <c r="D2898" t="str">
        <f>HYPERLINK("http://service.sap.com/sap/support/notes/1573790","1573790")</f>
        <v>1573790</v>
      </c>
      <c r="E2898">
        <v>2</v>
      </c>
      <c r="F2898" t="s">
        <v>3031</v>
      </c>
    </row>
    <row r="2899" spans="1:6" x14ac:dyDescent="0.25">
      <c r="A2899" t="s">
        <v>3366</v>
      </c>
      <c r="B2899" t="s">
        <v>141</v>
      </c>
      <c r="C2899" t="s">
        <v>41</v>
      </c>
      <c r="D2899" t="str">
        <f>HYPERLINK("http://service.sap.com/sap/support/notes/1575689","1575689")</f>
        <v>1575689</v>
      </c>
      <c r="E2899">
        <v>3</v>
      </c>
      <c r="F2899" t="s">
        <v>3032</v>
      </c>
    </row>
    <row r="2900" spans="1:6" x14ac:dyDescent="0.25">
      <c r="A2900" t="s">
        <v>3366</v>
      </c>
      <c r="B2900" t="s">
        <v>141</v>
      </c>
      <c r="C2900" t="s">
        <v>41</v>
      </c>
      <c r="D2900" t="str">
        <f>HYPERLINK("http://service.sap.com/sap/support/notes/1576282","1576282")</f>
        <v>1576282</v>
      </c>
      <c r="E2900">
        <v>1</v>
      </c>
      <c r="F2900" t="s">
        <v>3033</v>
      </c>
    </row>
    <row r="2901" spans="1:6" x14ac:dyDescent="0.25">
      <c r="A2901" t="s">
        <v>3366</v>
      </c>
      <c r="B2901" t="s">
        <v>141</v>
      </c>
      <c r="C2901" t="s">
        <v>41</v>
      </c>
      <c r="D2901" t="str">
        <f>HYPERLINK("http://service.sap.com/sap/support/notes/1576535","1576535")</f>
        <v>1576535</v>
      </c>
      <c r="E2901">
        <v>1</v>
      </c>
      <c r="F2901" t="s">
        <v>3034</v>
      </c>
    </row>
    <row r="2902" spans="1:6" x14ac:dyDescent="0.25">
      <c r="A2902" t="s">
        <v>3366</v>
      </c>
      <c r="B2902" t="s">
        <v>141</v>
      </c>
      <c r="C2902" t="s">
        <v>41</v>
      </c>
      <c r="D2902" t="str">
        <f>HYPERLINK("http://service.sap.com/sap/support/notes/1577933","1577933")</f>
        <v>1577933</v>
      </c>
      <c r="E2902">
        <v>1</v>
      </c>
      <c r="F2902" t="s">
        <v>3035</v>
      </c>
    </row>
    <row r="2903" spans="1:6" x14ac:dyDescent="0.25">
      <c r="A2903" t="s">
        <v>3366</v>
      </c>
      <c r="B2903" t="s">
        <v>141</v>
      </c>
      <c r="C2903" t="s">
        <v>41</v>
      </c>
      <c r="D2903" t="str">
        <f>HYPERLINK("http://service.sap.com/sap/support/notes/1578183","1578183")</f>
        <v>1578183</v>
      </c>
      <c r="E2903">
        <v>1</v>
      </c>
      <c r="F2903" t="s">
        <v>3036</v>
      </c>
    </row>
    <row r="2904" spans="1:6" x14ac:dyDescent="0.25">
      <c r="A2904" t="s">
        <v>3366</v>
      </c>
      <c r="B2904" t="s">
        <v>141</v>
      </c>
      <c r="C2904" t="s">
        <v>41</v>
      </c>
      <c r="D2904" t="str">
        <f>HYPERLINK("http://service.sap.com/sap/support/notes/1579480","1579480")</f>
        <v>1579480</v>
      </c>
      <c r="E2904">
        <v>4</v>
      </c>
      <c r="F2904" t="s">
        <v>3037</v>
      </c>
    </row>
    <row r="2905" spans="1:6" x14ac:dyDescent="0.25">
      <c r="A2905" t="s">
        <v>3366</v>
      </c>
      <c r="B2905" t="s">
        <v>141</v>
      </c>
      <c r="C2905" t="s">
        <v>41</v>
      </c>
      <c r="D2905" t="str">
        <f>HYPERLINK("http://service.sap.com/sap/support/notes/1582117","1582117")</f>
        <v>1582117</v>
      </c>
      <c r="E2905">
        <v>1</v>
      </c>
      <c r="F2905" t="s">
        <v>3038</v>
      </c>
    </row>
    <row r="2906" spans="1:6" x14ac:dyDescent="0.25">
      <c r="A2906" t="s">
        <v>3366</v>
      </c>
      <c r="B2906" t="s">
        <v>152</v>
      </c>
      <c r="C2906" t="s">
        <v>153</v>
      </c>
      <c r="D2906" t="str">
        <f>HYPERLINK("http://service.sap.com/sap/support/notes/1568598","1568598")</f>
        <v>1568598</v>
      </c>
      <c r="E2906">
        <v>3</v>
      </c>
      <c r="F2906" t="s">
        <v>3039</v>
      </c>
    </row>
    <row r="2907" spans="1:6" x14ac:dyDescent="0.25">
      <c r="A2907" t="s">
        <v>3366</v>
      </c>
      <c r="B2907" t="s">
        <v>152</v>
      </c>
      <c r="C2907" t="s">
        <v>153</v>
      </c>
      <c r="D2907" t="str">
        <f>HYPERLINK("http://service.sap.com/sap/support/notes/1571712","1571712")</f>
        <v>1571712</v>
      </c>
      <c r="E2907">
        <v>2</v>
      </c>
      <c r="F2907" t="s">
        <v>3040</v>
      </c>
    </row>
    <row r="2908" spans="1:6" x14ac:dyDescent="0.25">
      <c r="A2908" t="s">
        <v>3366</v>
      </c>
      <c r="B2908" t="s">
        <v>152</v>
      </c>
      <c r="C2908" t="s">
        <v>153</v>
      </c>
      <c r="D2908" t="str">
        <f>HYPERLINK("http://service.sap.com/sap/support/notes/1574414","1574414")</f>
        <v>1574414</v>
      </c>
      <c r="E2908">
        <v>2</v>
      </c>
      <c r="F2908" t="s">
        <v>3041</v>
      </c>
    </row>
    <row r="2909" spans="1:6" x14ac:dyDescent="0.25">
      <c r="A2909" t="s">
        <v>3366</v>
      </c>
      <c r="B2909" t="s">
        <v>152</v>
      </c>
      <c r="C2909" t="s">
        <v>153</v>
      </c>
      <c r="D2909" t="str">
        <f>HYPERLINK("http://service.sap.com/sap/support/notes/1580163","1580163")</f>
        <v>1580163</v>
      </c>
      <c r="E2909">
        <v>1</v>
      </c>
      <c r="F2909" t="s">
        <v>3042</v>
      </c>
    </row>
    <row r="2910" spans="1:6" x14ac:dyDescent="0.25">
      <c r="A2910" t="s">
        <v>3366</v>
      </c>
      <c r="B2910" t="s">
        <v>155</v>
      </c>
      <c r="C2910" t="s">
        <v>156</v>
      </c>
      <c r="D2910" t="str">
        <f>HYPERLINK("http://service.sap.com/sap/support/notes/1554923","1554923")</f>
        <v>1554923</v>
      </c>
      <c r="E2910">
        <v>3</v>
      </c>
      <c r="F2910" t="s">
        <v>2222</v>
      </c>
    </row>
    <row r="2911" spans="1:6" x14ac:dyDescent="0.25">
      <c r="A2911" t="s">
        <v>3366</v>
      </c>
      <c r="B2911" t="s">
        <v>155</v>
      </c>
      <c r="C2911" t="s">
        <v>156</v>
      </c>
      <c r="D2911" t="str">
        <f>HYPERLINK("http://service.sap.com/sap/support/notes/1568952","1568952")</f>
        <v>1568952</v>
      </c>
      <c r="E2911">
        <v>1</v>
      </c>
      <c r="F2911" t="s">
        <v>3043</v>
      </c>
    </row>
    <row r="2912" spans="1:6" x14ac:dyDescent="0.25">
      <c r="A2912" t="s">
        <v>3366</v>
      </c>
      <c r="B2912" t="s">
        <v>155</v>
      </c>
      <c r="C2912" t="s">
        <v>156</v>
      </c>
      <c r="D2912" t="str">
        <f>HYPERLINK("http://service.sap.com/sap/support/notes/1570952","1570952")</f>
        <v>1570952</v>
      </c>
      <c r="E2912">
        <v>1</v>
      </c>
      <c r="F2912" t="s">
        <v>3044</v>
      </c>
    </row>
    <row r="2913" spans="1:6" x14ac:dyDescent="0.25">
      <c r="A2913" t="s">
        <v>3366</v>
      </c>
      <c r="B2913" t="s">
        <v>155</v>
      </c>
      <c r="C2913" t="s">
        <v>156</v>
      </c>
      <c r="D2913" t="str">
        <f>HYPERLINK("http://service.sap.com/sap/support/notes/1572046","1572046")</f>
        <v>1572046</v>
      </c>
      <c r="E2913">
        <v>1</v>
      </c>
      <c r="F2913" t="s">
        <v>3045</v>
      </c>
    </row>
    <row r="2914" spans="1:6" x14ac:dyDescent="0.25">
      <c r="A2914" t="s">
        <v>3366</v>
      </c>
      <c r="B2914" t="s">
        <v>155</v>
      </c>
      <c r="C2914" t="s">
        <v>156</v>
      </c>
      <c r="D2914" t="str">
        <f>HYPERLINK("http://service.sap.com/sap/support/notes/1574061","1574061")</f>
        <v>1574061</v>
      </c>
      <c r="E2914">
        <v>1</v>
      </c>
      <c r="F2914" t="s">
        <v>3046</v>
      </c>
    </row>
    <row r="2915" spans="1:6" x14ac:dyDescent="0.25">
      <c r="A2915" t="s">
        <v>3366</v>
      </c>
      <c r="B2915" t="s">
        <v>155</v>
      </c>
      <c r="C2915" t="s">
        <v>156</v>
      </c>
      <c r="D2915" t="str">
        <f>HYPERLINK("http://service.sap.com/sap/support/notes/1575028","1575028")</f>
        <v>1575028</v>
      </c>
      <c r="E2915">
        <v>1</v>
      </c>
      <c r="F2915" t="s">
        <v>3047</v>
      </c>
    </row>
    <row r="2916" spans="1:6" x14ac:dyDescent="0.25">
      <c r="A2916" t="s">
        <v>3366</v>
      </c>
      <c r="B2916" t="s">
        <v>155</v>
      </c>
      <c r="C2916" t="s">
        <v>156</v>
      </c>
      <c r="D2916" t="str">
        <f>HYPERLINK("http://service.sap.com/sap/support/notes/1575092","1575092")</f>
        <v>1575092</v>
      </c>
      <c r="E2916">
        <v>1</v>
      </c>
      <c r="F2916" t="s">
        <v>3048</v>
      </c>
    </row>
    <row r="2917" spans="1:6" x14ac:dyDescent="0.25">
      <c r="A2917" t="s">
        <v>3366</v>
      </c>
      <c r="B2917" t="s">
        <v>155</v>
      </c>
      <c r="C2917" t="s">
        <v>156</v>
      </c>
      <c r="D2917" t="str">
        <f>HYPERLINK("http://service.sap.com/sap/support/notes/1575528","1575528")</f>
        <v>1575528</v>
      </c>
      <c r="E2917">
        <v>1</v>
      </c>
      <c r="F2917" t="s">
        <v>3049</v>
      </c>
    </row>
    <row r="2918" spans="1:6" x14ac:dyDescent="0.25">
      <c r="A2918" t="s">
        <v>3366</v>
      </c>
      <c r="B2918" t="s">
        <v>155</v>
      </c>
      <c r="C2918" t="s">
        <v>156</v>
      </c>
      <c r="D2918" t="str">
        <f>HYPERLINK("http://service.sap.com/sap/support/notes/1576396","1576396")</f>
        <v>1576396</v>
      </c>
      <c r="E2918">
        <v>1</v>
      </c>
      <c r="F2918" t="s">
        <v>3050</v>
      </c>
    </row>
    <row r="2919" spans="1:6" x14ac:dyDescent="0.25">
      <c r="A2919" t="s">
        <v>3366</v>
      </c>
      <c r="B2919" t="s">
        <v>155</v>
      </c>
      <c r="C2919" t="s">
        <v>156</v>
      </c>
      <c r="D2919" t="str">
        <f>HYPERLINK("http://service.sap.com/sap/support/notes/1576474","1576474")</f>
        <v>1576474</v>
      </c>
      <c r="E2919">
        <v>1</v>
      </c>
      <c r="F2919" t="s">
        <v>3051</v>
      </c>
    </row>
    <row r="2920" spans="1:6" x14ac:dyDescent="0.25">
      <c r="A2920" t="s">
        <v>3366</v>
      </c>
      <c r="B2920" t="s">
        <v>155</v>
      </c>
      <c r="C2920" t="s">
        <v>156</v>
      </c>
      <c r="D2920" t="str">
        <f>HYPERLINK("http://service.sap.com/sap/support/notes/1580590","1580590")</f>
        <v>1580590</v>
      </c>
      <c r="E2920">
        <v>1</v>
      </c>
      <c r="F2920" t="s">
        <v>3052</v>
      </c>
    </row>
    <row r="2921" spans="1:6" x14ac:dyDescent="0.25">
      <c r="A2921" t="s">
        <v>3366</v>
      </c>
      <c r="B2921" t="s">
        <v>155</v>
      </c>
      <c r="C2921" t="s">
        <v>156</v>
      </c>
      <c r="D2921" t="str">
        <f>HYPERLINK("http://service.sap.com/sap/support/notes/1581517","1581517")</f>
        <v>1581517</v>
      </c>
      <c r="E2921">
        <v>1</v>
      </c>
      <c r="F2921" t="s">
        <v>3053</v>
      </c>
    </row>
    <row r="2922" spans="1:6" x14ac:dyDescent="0.25">
      <c r="A2922" t="s">
        <v>3366</v>
      </c>
      <c r="B2922" t="s">
        <v>155</v>
      </c>
      <c r="C2922" t="s">
        <v>156</v>
      </c>
      <c r="D2922" t="str">
        <f>HYPERLINK("http://service.sap.com/sap/support/notes/1581925","1581925")</f>
        <v>1581925</v>
      </c>
      <c r="E2922">
        <v>2</v>
      </c>
      <c r="F2922" t="s">
        <v>3054</v>
      </c>
    </row>
    <row r="2923" spans="1:6" x14ac:dyDescent="0.25">
      <c r="A2923" t="s">
        <v>3366</v>
      </c>
      <c r="B2923" t="s">
        <v>155</v>
      </c>
      <c r="C2923" t="s">
        <v>156</v>
      </c>
      <c r="D2923" t="str">
        <f>HYPERLINK("http://service.sap.com/sap/support/notes/1581934","1581934")</f>
        <v>1581934</v>
      </c>
      <c r="E2923">
        <v>1</v>
      </c>
      <c r="F2923" t="s">
        <v>3055</v>
      </c>
    </row>
    <row r="2924" spans="1:6" x14ac:dyDescent="0.25">
      <c r="A2924" t="s">
        <v>3366</v>
      </c>
      <c r="B2924" t="s">
        <v>171</v>
      </c>
      <c r="C2924" t="s">
        <v>153</v>
      </c>
      <c r="D2924" t="str">
        <f>HYPERLINK("http://service.sap.com/sap/support/notes/1560810","1560810")</f>
        <v>1560810</v>
      </c>
      <c r="E2924">
        <v>2</v>
      </c>
      <c r="F2924" t="s">
        <v>3056</v>
      </c>
    </row>
    <row r="2925" spans="1:6" x14ac:dyDescent="0.25">
      <c r="A2925" t="s">
        <v>3366</v>
      </c>
      <c r="B2925" t="s">
        <v>171</v>
      </c>
      <c r="C2925" t="s">
        <v>153</v>
      </c>
      <c r="D2925" t="str">
        <f>HYPERLINK("http://service.sap.com/sap/support/notes/1568452","1568452")</f>
        <v>1568452</v>
      </c>
      <c r="E2925">
        <v>1</v>
      </c>
      <c r="F2925" t="s">
        <v>3057</v>
      </c>
    </row>
    <row r="2926" spans="1:6" x14ac:dyDescent="0.25">
      <c r="A2926" t="s">
        <v>3366</v>
      </c>
      <c r="B2926" t="s">
        <v>171</v>
      </c>
      <c r="C2926" t="s">
        <v>153</v>
      </c>
      <c r="D2926" t="str">
        <f>HYPERLINK("http://service.sap.com/sap/support/notes/1570545","1570545")</f>
        <v>1570545</v>
      </c>
      <c r="E2926">
        <v>1</v>
      </c>
      <c r="F2926" t="s">
        <v>2228</v>
      </c>
    </row>
    <row r="2927" spans="1:6" x14ac:dyDescent="0.25">
      <c r="A2927" t="s">
        <v>3366</v>
      </c>
      <c r="B2927" t="s">
        <v>171</v>
      </c>
      <c r="C2927" t="s">
        <v>153</v>
      </c>
      <c r="D2927" t="str">
        <f>HYPERLINK("http://service.sap.com/sap/support/notes/1572098","1572098")</f>
        <v>1572098</v>
      </c>
      <c r="E2927">
        <v>1</v>
      </c>
      <c r="F2927" t="s">
        <v>3058</v>
      </c>
    </row>
    <row r="2928" spans="1:6" x14ac:dyDescent="0.25">
      <c r="A2928" t="s">
        <v>3366</v>
      </c>
      <c r="B2928" t="s">
        <v>171</v>
      </c>
      <c r="C2928" t="s">
        <v>153</v>
      </c>
      <c r="D2928" t="str">
        <f>HYPERLINK("http://service.sap.com/sap/support/notes/1575703","1575703")</f>
        <v>1575703</v>
      </c>
      <c r="E2928">
        <v>2</v>
      </c>
      <c r="F2928" t="s">
        <v>3059</v>
      </c>
    </row>
    <row r="2929" spans="1:6" x14ac:dyDescent="0.25">
      <c r="A2929" t="s">
        <v>3366</v>
      </c>
      <c r="B2929" t="s">
        <v>173</v>
      </c>
      <c r="C2929" t="s">
        <v>45</v>
      </c>
      <c r="D2929" t="str">
        <f>HYPERLINK("http://service.sap.com/sap/support/notes/1551167","1551167")</f>
        <v>1551167</v>
      </c>
      <c r="E2929">
        <v>2</v>
      </c>
      <c r="F2929" t="s">
        <v>3060</v>
      </c>
    </row>
    <row r="2930" spans="1:6" x14ac:dyDescent="0.25">
      <c r="A2930" t="s">
        <v>3366</v>
      </c>
      <c r="B2930" t="s">
        <v>173</v>
      </c>
      <c r="C2930" t="s">
        <v>45</v>
      </c>
      <c r="D2930" t="str">
        <f>HYPERLINK("http://service.sap.com/sap/support/notes/1561697","1561697")</f>
        <v>1561697</v>
      </c>
      <c r="E2930">
        <v>2</v>
      </c>
      <c r="F2930" t="s">
        <v>3061</v>
      </c>
    </row>
    <row r="2931" spans="1:6" x14ac:dyDescent="0.25">
      <c r="A2931" t="s">
        <v>3366</v>
      </c>
      <c r="B2931" t="s">
        <v>173</v>
      </c>
      <c r="C2931" t="s">
        <v>45</v>
      </c>
      <c r="D2931" t="str">
        <f>HYPERLINK("http://service.sap.com/sap/support/notes/1564580","1564580")</f>
        <v>1564580</v>
      </c>
      <c r="E2931">
        <v>4</v>
      </c>
      <c r="F2931" t="s">
        <v>3062</v>
      </c>
    </row>
    <row r="2932" spans="1:6" x14ac:dyDescent="0.25">
      <c r="A2932" t="s">
        <v>3366</v>
      </c>
      <c r="B2932" t="s">
        <v>173</v>
      </c>
      <c r="C2932" t="s">
        <v>45</v>
      </c>
      <c r="D2932" t="str">
        <f>HYPERLINK("http://service.sap.com/sap/support/notes/1565496","1565496")</f>
        <v>1565496</v>
      </c>
      <c r="E2932">
        <v>3</v>
      </c>
      <c r="F2932" t="s">
        <v>3063</v>
      </c>
    </row>
    <row r="2933" spans="1:6" x14ac:dyDescent="0.25">
      <c r="A2933" t="s">
        <v>3366</v>
      </c>
      <c r="B2933" t="s">
        <v>173</v>
      </c>
      <c r="C2933" t="s">
        <v>45</v>
      </c>
      <c r="D2933" t="str">
        <f>HYPERLINK("http://service.sap.com/sap/support/notes/1567023","1567023")</f>
        <v>1567023</v>
      </c>
      <c r="E2933">
        <v>1</v>
      </c>
      <c r="F2933" t="s">
        <v>3064</v>
      </c>
    </row>
    <row r="2934" spans="1:6" x14ac:dyDescent="0.25">
      <c r="A2934" t="s">
        <v>3366</v>
      </c>
      <c r="B2934" t="s">
        <v>173</v>
      </c>
      <c r="C2934" t="s">
        <v>45</v>
      </c>
      <c r="D2934" t="str">
        <f>HYPERLINK("http://service.sap.com/sap/support/notes/1567550","1567550")</f>
        <v>1567550</v>
      </c>
      <c r="E2934">
        <v>1</v>
      </c>
      <c r="F2934" t="s">
        <v>3065</v>
      </c>
    </row>
    <row r="2935" spans="1:6" x14ac:dyDescent="0.25">
      <c r="A2935" t="s">
        <v>3366</v>
      </c>
      <c r="B2935" t="s">
        <v>173</v>
      </c>
      <c r="C2935" t="s">
        <v>45</v>
      </c>
      <c r="D2935" t="str">
        <f>HYPERLINK("http://service.sap.com/sap/support/notes/1569945","1569945")</f>
        <v>1569945</v>
      </c>
      <c r="E2935">
        <v>4</v>
      </c>
      <c r="F2935" t="s">
        <v>3066</v>
      </c>
    </row>
    <row r="2936" spans="1:6" x14ac:dyDescent="0.25">
      <c r="A2936" t="s">
        <v>3366</v>
      </c>
      <c r="B2936" t="s">
        <v>173</v>
      </c>
      <c r="C2936" t="s">
        <v>45</v>
      </c>
      <c r="D2936" t="str">
        <f>HYPERLINK("http://service.sap.com/sap/support/notes/1570721","1570721")</f>
        <v>1570721</v>
      </c>
      <c r="E2936">
        <v>3</v>
      </c>
      <c r="F2936" t="s">
        <v>3067</v>
      </c>
    </row>
    <row r="2937" spans="1:6" x14ac:dyDescent="0.25">
      <c r="A2937" t="s">
        <v>3366</v>
      </c>
      <c r="B2937" t="s">
        <v>173</v>
      </c>
      <c r="C2937" t="s">
        <v>45</v>
      </c>
      <c r="D2937" t="str">
        <f>HYPERLINK("http://service.sap.com/sap/support/notes/1570729","1570729")</f>
        <v>1570729</v>
      </c>
      <c r="E2937">
        <v>1</v>
      </c>
      <c r="F2937" t="s">
        <v>3068</v>
      </c>
    </row>
    <row r="2938" spans="1:6" x14ac:dyDescent="0.25">
      <c r="A2938" t="s">
        <v>3366</v>
      </c>
      <c r="B2938" t="s">
        <v>173</v>
      </c>
      <c r="C2938" t="s">
        <v>45</v>
      </c>
      <c r="D2938" t="str">
        <f>HYPERLINK("http://service.sap.com/sap/support/notes/1570889","1570889")</f>
        <v>1570889</v>
      </c>
      <c r="E2938">
        <v>2</v>
      </c>
      <c r="F2938" t="s">
        <v>3069</v>
      </c>
    </row>
    <row r="2939" spans="1:6" x14ac:dyDescent="0.25">
      <c r="A2939" t="s">
        <v>3366</v>
      </c>
      <c r="B2939" t="s">
        <v>173</v>
      </c>
      <c r="C2939" t="s">
        <v>45</v>
      </c>
      <c r="D2939" t="str">
        <f>HYPERLINK("http://service.sap.com/sap/support/notes/1571758","1571758")</f>
        <v>1571758</v>
      </c>
      <c r="E2939">
        <v>1</v>
      </c>
      <c r="F2939" t="s">
        <v>3070</v>
      </c>
    </row>
    <row r="2940" spans="1:6" x14ac:dyDescent="0.25">
      <c r="A2940" t="s">
        <v>3366</v>
      </c>
      <c r="B2940" t="s">
        <v>173</v>
      </c>
      <c r="C2940" t="s">
        <v>45</v>
      </c>
      <c r="D2940" t="str">
        <f>HYPERLINK("http://service.sap.com/sap/support/notes/1573229","1573229")</f>
        <v>1573229</v>
      </c>
      <c r="E2940">
        <v>4</v>
      </c>
      <c r="F2940" t="s">
        <v>3071</v>
      </c>
    </row>
    <row r="2941" spans="1:6" x14ac:dyDescent="0.25">
      <c r="A2941" t="s">
        <v>3366</v>
      </c>
      <c r="B2941" t="s">
        <v>173</v>
      </c>
      <c r="C2941" t="s">
        <v>45</v>
      </c>
      <c r="D2941" t="str">
        <f>HYPERLINK("http://service.sap.com/sap/support/notes/1573820","1573820")</f>
        <v>1573820</v>
      </c>
      <c r="E2941">
        <v>2</v>
      </c>
      <c r="F2941" t="s">
        <v>3072</v>
      </c>
    </row>
    <row r="2942" spans="1:6" x14ac:dyDescent="0.25">
      <c r="A2942" t="s">
        <v>3366</v>
      </c>
      <c r="B2942" t="s">
        <v>173</v>
      </c>
      <c r="C2942" t="s">
        <v>45</v>
      </c>
      <c r="D2942" t="str">
        <f>HYPERLINK("http://service.sap.com/sap/support/notes/1575546","1575546")</f>
        <v>1575546</v>
      </c>
      <c r="E2942">
        <v>1</v>
      </c>
      <c r="F2942" t="s">
        <v>3073</v>
      </c>
    </row>
    <row r="2943" spans="1:6" x14ac:dyDescent="0.25">
      <c r="A2943" t="s">
        <v>3366</v>
      </c>
      <c r="B2943" t="s">
        <v>173</v>
      </c>
      <c r="C2943" t="s">
        <v>45</v>
      </c>
      <c r="D2943" t="str">
        <f>HYPERLINK("http://service.sap.com/sap/support/notes/1576553","1576553")</f>
        <v>1576553</v>
      </c>
      <c r="E2943">
        <v>2</v>
      </c>
      <c r="F2943" t="s">
        <v>3074</v>
      </c>
    </row>
    <row r="2944" spans="1:6" x14ac:dyDescent="0.25">
      <c r="A2944" t="s">
        <v>3366</v>
      </c>
      <c r="B2944" t="s">
        <v>173</v>
      </c>
      <c r="C2944" t="s">
        <v>45</v>
      </c>
      <c r="D2944" t="str">
        <f>HYPERLINK("http://service.sap.com/sap/support/notes/1576665","1576665")</f>
        <v>1576665</v>
      </c>
      <c r="E2944">
        <v>2</v>
      </c>
      <c r="F2944" t="s">
        <v>3075</v>
      </c>
    </row>
    <row r="2945" spans="1:6" x14ac:dyDescent="0.25">
      <c r="A2945" t="s">
        <v>3366</v>
      </c>
      <c r="B2945" t="s">
        <v>173</v>
      </c>
      <c r="C2945" t="s">
        <v>45</v>
      </c>
      <c r="D2945" t="str">
        <f>HYPERLINK("http://service.sap.com/sap/support/notes/1576672","1576672")</f>
        <v>1576672</v>
      </c>
      <c r="E2945">
        <v>2</v>
      </c>
      <c r="F2945" t="s">
        <v>3076</v>
      </c>
    </row>
    <row r="2946" spans="1:6" x14ac:dyDescent="0.25">
      <c r="A2946" t="s">
        <v>3366</v>
      </c>
      <c r="B2946" t="s">
        <v>173</v>
      </c>
      <c r="C2946" t="s">
        <v>45</v>
      </c>
      <c r="D2946" t="str">
        <f>HYPERLINK("http://service.sap.com/sap/support/notes/1576836","1576836")</f>
        <v>1576836</v>
      </c>
      <c r="E2946">
        <v>3</v>
      </c>
      <c r="F2946" t="s">
        <v>3077</v>
      </c>
    </row>
    <row r="2947" spans="1:6" x14ac:dyDescent="0.25">
      <c r="A2947" t="s">
        <v>3366</v>
      </c>
      <c r="B2947" t="s">
        <v>173</v>
      </c>
      <c r="C2947" t="s">
        <v>45</v>
      </c>
      <c r="D2947" t="str">
        <f>HYPERLINK("http://service.sap.com/sap/support/notes/1577288","1577288")</f>
        <v>1577288</v>
      </c>
      <c r="E2947">
        <v>2</v>
      </c>
      <c r="F2947" t="s">
        <v>3078</v>
      </c>
    </row>
    <row r="2948" spans="1:6" x14ac:dyDescent="0.25">
      <c r="A2948" t="s">
        <v>3366</v>
      </c>
      <c r="B2948" t="s">
        <v>173</v>
      </c>
      <c r="C2948" t="s">
        <v>45</v>
      </c>
      <c r="D2948" t="str">
        <f>HYPERLINK("http://service.sap.com/sap/support/notes/1579068","1579068")</f>
        <v>1579068</v>
      </c>
      <c r="E2948">
        <v>2</v>
      </c>
      <c r="F2948" t="s">
        <v>3079</v>
      </c>
    </row>
    <row r="2949" spans="1:6" x14ac:dyDescent="0.25">
      <c r="A2949" t="s">
        <v>3366</v>
      </c>
      <c r="B2949" t="s">
        <v>191</v>
      </c>
      <c r="C2949" t="s">
        <v>192</v>
      </c>
      <c r="D2949" t="str">
        <f>HYPERLINK("http://service.sap.com/sap/support/notes/1060819","1060819")</f>
        <v>1060819</v>
      </c>
      <c r="E2949">
        <v>1</v>
      </c>
      <c r="F2949" t="s">
        <v>193</v>
      </c>
    </row>
    <row r="2950" spans="1:6" x14ac:dyDescent="0.25">
      <c r="A2950" t="s">
        <v>3366</v>
      </c>
      <c r="B2950" t="s">
        <v>191</v>
      </c>
      <c r="C2950" t="s">
        <v>192</v>
      </c>
      <c r="D2950" t="str">
        <f>HYPERLINK("http://service.sap.com/sap/support/notes/1514408","1514408")</f>
        <v>1514408</v>
      </c>
      <c r="E2950">
        <v>3</v>
      </c>
      <c r="F2950" t="s">
        <v>3080</v>
      </c>
    </row>
    <row r="2951" spans="1:6" x14ac:dyDescent="0.25">
      <c r="A2951" t="s">
        <v>3366</v>
      </c>
      <c r="B2951" t="s">
        <v>191</v>
      </c>
      <c r="C2951" t="s">
        <v>192</v>
      </c>
      <c r="D2951" t="str">
        <f>HYPERLINK("http://service.sap.com/sap/support/notes/1518532","1518532")</f>
        <v>1518532</v>
      </c>
      <c r="E2951">
        <v>3</v>
      </c>
      <c r="F2951" t="s">
        <v>3081</v>
      </c>
    </row>
    <row r="2952" spans="1:6" x14ac:dyDescent="0.25">
      <c r="A2952" t="s">
        <v>3366</v>
      </c>
      <c r="B2952" t="s">
        <v>191</v>
      </c>
      <c r="C2952" t="s">
        <v>192</v>
      </c>
      <c r="D2952" t="str">
        <f>HYPERLINK("http://service.sap.com/sap/support/notes/1552609","1552609")</f>
        <v>1552609</v>
      </c>
      <c r="E2952">
        <v>3</v>
      </c>
      <c r="F2952" t="s">
        <v>3082</v>
      </c>
    </row>
    <row r="2953" spans="1:6" x14ac:dyDescent="0.25">
      <c r="A2953" t="s">
        <v>3366</v>
      </c>
      <c r="B2953" t="s">
        <v>191</v>
      </c>
      <c r="C2953" t="s">
        <v>192</v>
      </c>
      <c r="D2953" t="str">
        <f>HYPERLINK("http://service.sap.com/sap/support/notes/1558579","1558579")</f>
        <v>1558579</v>
      </c>
      <c r="E2953">
        <v>3</v>
      </c>
      <c r="F2953" t="s">
        <v>3083</v>
      </c>
    </row>
    <row r="2954" spans="1:6" x14ac:dyDescent="0.25">
      <c r="A2954" t="s">
        <v>3366</v>
      </c>
      <c r="B2954" t="s">
        <v>191</v>
      </c>
      <c r="C2954" t="s">
        <v>192</v>
      </c>
      <c r="D2954" t="str">
        <f>HYPERLINK("http://service.sap.com/sap/support/notes/1564207","1564207")</f>
        <v>1564207</v>
      </c>
      <c r="E2954">
        <v>2</v>
      </c>
      <c r="F2954" t="s">
        <v>3084</v>
      </c>
    </row>
    <row r="2955" spans="1:6" x14ac:dyDescent="0.25">
      <c r="A2955" t="s">
        <v>3366</v>
      </c>
      <c r="B2955" t="s">
        <v>191</v>
      </c>
      <c r="C2955" t="s">
        <v>192</v>
      </c>
      <c r="D2955" t="str">
        <f>HYPERLINK("http://service.sap.com/sap/support/notes/1564670","1564670")</f>
        <v>1564670</v>
      </c>
      <c r="E2955">
        <v>2</v>
      </c>
      <c r="F2955" t="s">
        <v>3085</v>
      </c>
    </row>
    <row r="2956" spans="1:6" x14ac:dyDescent="0.25">
      <c r="A2956" t="s">
        <v>3366</v>
      </c>
      <c r="B2956" t="s">
        <v>191</v>
      </c>
      <c r="C2956" t="s">
        <v>192</v>
      </c>
      <c r="D2956" t="str">
        <f>HYPERLINK("http://service.sap.com/sap/support/notes/1564746","1564746")</f>
        <v>1564746</v>
      </c>
      <c r="E2956">
        <v>2</v>
      </c>
      <c r="F2956" t="s">
        <v>3086</v>
      </c>
    </row>
    <row r="2957" spans="1:6" x14ac:dyDescent="0.25">
      <c r="A2957" t="s">
        <v>3366</v>
      </c>
      <c r="B2957" t="s">
        <v>191</v>
      </c>
      <c r="C2957" t="s">
        <v>192</v>
      </c>
      <c r="D2957" t="str">
        <f>HYPERLINK("http://service.sap.com/sap/support/notes/1568167","1568167")</f>
        <v>1568167</v>
      </c>
      <c r="E2957">
        <v>1</v>
      </c>
      <c r="F2957" t="s">
        <v>3087</v>
      </c>
    </row>
    <row r="2958" spans="1:6" x14ac:dyDescent="0.25">
      <c r="A2958" t="s">
        <v>3366</v>
      </c>
      <c r="B2958" t="s">
        <v>191</v>
      </c>
      <c r="C2958" t="s">
        <v>192</v>
      </c>
      <c r="D2958" t="str">
        <f>HYPERLINK("http://service.sap.com/sap/support/notes/1570968","1570968")</f>
        <v>1570968</v>
      </c>
      <c r="E2958">
        <v>1</v>
      </c>
      <c r="F2958" t="s">
        <v>3088</v>
      </c>
    </row>
    <row r="2959" spans="1:6" x14ac:dyDescent="0.25">
      <c r="A2959" t="s">
        <v>3366</v>
      </c>
      <c r="B2959" t="s">
        <v>191</v>
      </c>
      <c r="C2959" t="s">
        <v>192</v>
      </c>
      <c r="D2959" t="str">
        <f>HYPERLINK("http://service.sap.com/sap/support/notes/1572911","1572911")</f>
        <v>1572911</v>
      </c>
      <c r="E2959">
        <v>1</v>
      </c>
      <c r="F2959" t="s">
        <v>3089</v>
      </c>
    </row>
    <row r="2960" spans="1:6" x14ac:dyDescent="0.25">
      <c r="A2960" t="s">
        <v>3366</v>
      </c>
      <c r="B2960" t="s">
        <v>191</v>
      </c>
      <c r="C2960" t="s">
        <v>192</v>
      </c>
      <c r="D2960" t="str">
        <f>HYPERLINK("http://service.sap.com/sap/support/notes/1580824","1580824")</f>
        <v>1580824</v>
      </c>
      <c r="E2960">
        <v>2</v>
      </c>
      <c r="F2960" t="s">
        <v>3090</v>
      </c>
    </row>
    <row r="2961" spans="1:6" x14ac:dyDescent="0.25">
      <c r="A2961" t="s">
        <v>3366</v>
      </c>
      <c r="B2961" t="s">
        <v>201</v>
      </c>
      <c r="C2961" t="s">
        <v>202</v>
      </c>
    </row>
    <row r="2962" spans="1:6" x14ac:dyDescent="0.25">
      <c r="A2962" t="s">
        <v>3366</v>
      </c>
      <c r="B2962" t="s">
        <v>964</v>
      </c>
      <c r="C2962" t="s">
        <v>299</v>
      </c>
      <c r="D2962" t="str">
        <f>HYPERLINK("http://service.sap.com/sap/support/notes/1573573","1573573")</f>
        <v>1573573</v>
      </c>
      <c r="E2962">
        <v>1</v>
      </c>
      <c r="F2962" t="s">
        <v>3091</v>
      </c>
    </row>
    <row r="2963" spans="1:6" x14ac:dyDescent="0.25">
      <c r="A2963" t="s">
        <v>3366</v>
      </c>
      <c r="B2963" t="s">
        <v>964</v>
      </c>
      <c r="C2963" t="s">
        <v>299</v>
      </c>
      <c r="D2963" t="str">
        <f>HYPERLINK("http://service.sap.com/sap/support/notes/1579493","1579493")</f>
        <v>1579493</v>
      </c>
      <c r="E2963">
        <v>1</v>
      </c>
      <c r="F2963" t="s">
        <v>3092</v>
      </c>
    </row>
    <row r="2964" spans="1:6" x14ac:dyDescent="0.25">
      <c r="A2964" t="s">
        <v>3366</v>
      </c>
      <c r="B2964" t="s">
        <v>207</v>
      </c>
      <c r="C2964" t="s">
        <v>208</v>
      </c>
      <c r="D2964" t="str">
        <f>HYPERLINK("http://service.sap.com/sap/support/notes/1565310","1565310")</f>
        <v>1565310</v>
      </c>
      <c r="E2964">
        <v>3</v>
      </c>
      <c r="F2964" t="s">
        <v>3093</v>
      </c>
    </row>
    <row r="2965" spans="1:6" x14ac:dyDescent="0.25">
      <c r="A2965" t="s">
        <v>3366</v>
      </c>
      <c r="B2965" t="s">
        <v>207</v>
      </c>
      <c r="C2965" t="s">
        <v>208</v>
      </c>
      <c r="D2965" t="str">
        <f>HYPERLINK("http://service.sap.com/sap/support/notes/1571779","1571779")</f>
        <v>1571779</v>
      </c>
      <c r="E2965">
        <v>1</v>
      </c>
      <c r="F2965" t="s">
        <v>3094</v>
      </c>
    </row>
    <row r="2966" spans="1:6" x14ac:dyDescent="0.25">
      <c r="A2966" t="s">
        <v>3366</v>
      </c>
      <c r="B2966" t="s">
        <v>207</v>
      </c>
      <c r="C2966" t="s">
        <v>208</v>
      </c>
      <c r="D2966" t="str">
        <f>HYPERLINK("http://service.sap.com/sap/support/notes/1572660","1572660")</f>
        <v>1572660</v>
      </c>
      <c r="E2966">
        <v>2</v>
      </c>
      <c r="F2966" t="s">
        <v>3095</v>
      </c>
    </row>
    <row r="2967" spans="1:6" x14ac:dyDescent="0.25">
      <c r="A2967" t="s">
        <v>3366</v>
      </c>
      <c r="B2967" t="s">
        <v>207</v>
      </c>
      <c r="C2967" t="s">
        <v>208</v>
      </c>
      <c r="D2967" t="str">
        <f>HYPERLINK("http://service.sap.com/sap/support/notes/1572850","1572850")</f>
        <v>1572850</v>
      </c>
      <c r="E2967">
        <v>2</v>
      </c>
      <c r="F2967" t="s">
        <v>3096</v>
      </c>
    </row>
    <row r="2968" spans="1:6" x14ac:dyDescent="0.25">
      <c r="A2968" t="s">
        <v>3366</v>
      </c>
      <c r="B2968" t="s">
        <v>207</v>
      </c>
      <c r="C2968" t="s">
        <v>208</v>
      </c>
      <c r="D2968" t="str">
        <f>HYPERLINK("http://service.sap.com/sap/support/notes/1575633","1575633")</f>
        <v>1575633</v>
      </c>
      <c r="E2968">
        <v>1</v>
      </c>
      <c r="F2968" t="s">
        <v>3097</v>
      </c>
    </row>
    <row r="2969" spans="1:6" x14ac:dyDescent="0.25">
      <c r="A2969" t="s">
        <v>3366</v>
      </c>
      <c r="B2969" t="s">
        <v>213</v>
      </c>
      <c r="C2969" t="s">
        <v>214</v>
      </c>
      <c r="D2969" t="str">
        <f>HYPERLINK("http://service.sap.com/sap/support/notes/1522521","1522521")</f>
        <v>1522521</v>
      </c>
      <c r="E2969">
        <v>8</v>
      </c>
      <c r="F2969" t="s">
        <v>3098</v>
      </c>
    </row>
    <row r="2970" spans="1:6" x14ac:dyDescent="0.25">
      <c r="A2970" t="s">
        <v>3366</v>
      </c>
      <c r="B2970" t="s">
        <v>213</v>
      </c>
      <c r="C2970" t="s">
        <v>214</v>
      </c>
      <c r="D2970" t="str">
        <f>HYPERLINK("http://service.sap.com/sap/support/notes/1542316","1542316")</f>
        <v>1542316</v>
      </c>
      <c r="E2970">
        <v>2</v>
      </c>
      <c r="F2970" t="s">
        <v>3099</v>
      </c>
    </row>
    <row r="2971" spans="1:6" x14ac:dyDescent="0.25">
      <c r="A2971" t="s">
        <v>3366</v>
      </c>
      <c r="B2971" t="s">
        <v>213</v>
      </c>
      <c r="C2971" t="s">
        <v>214</v>
      </c>
      <c r="D2971" t="str">
        <f>HYPERLINK("http://service.sap.com/sap/support/notes/1547039","1547039")</f>
        <v>1547039</v>
      </c>
      <c r="E2971">
        <v>4</v>
      </c>
      <c r="F2971" t="s">
        <v>3100</v>
      </c>
    </row>
    <row r="2972" spans="1:6" x14ac:dyDescent="0.25">
      <c r="A2972" t="s">
        <v>3366</v>
      </c>
      <c r="B2972" t="s">
        <v>213</v>
      </c>
      <c r="C2972" t="s">
        <v>214</v>
      </c>
      <c r="D2972" t="str">
        <f>HYPERLINK("http://service.sap.com/sap/support/notes/1552135","1552135")</f>
        <v>1552135</v>
      </c>
      <c r="E2972">
        <v>2</v>
      </c>
      <c r="F2972" t="s">
        <v>3101</v>
      </c>
    </row>
    <row r="2973" spans="1:6" x14ac:dyDescent="0.25">
      <c r="A2973" t="s">
        <v>3366</v>
      </c>
      <c r="B2973" t="s">
        <v>213</v>
      </c>
      <c r="C2973" t="s">
        <v>214</v>
      </c>
      <c r="D2973" t="str">
        <f>HYPERLINK("http://service.sap.com/sap/support/notes/1552808","1552808")</f>
        <v>1552808</v>
      </c>
      <c r="E2973">
        <v>2</v>
      </c>
      <c r="F2973" t="s">
        <v>3102</v>
      </c>
    </row>
    <row r="2974" spans="1:6" x14ac:dyDescent="0.25">
      <c r="A2974" t="s">
        <v>3366</v>
      </c>
      <c r="B2974" t="s">
        <v>213</v>
      </c>
      <c r="C2974" t="s">
        <v>214</v>
      </c>
      <c r="D2974" t="str">
        <f>HYPERLINK("http://service.sap.com/sap/support/notes/1555718","1555718")</f>
        <v>1555718</v>
      </c>
      <c r="E2974">
        <v>2</v>
      </c>
      <c r="F2974" t="s">
        <v>3103</v>
      </c>
    </row>
    <row r="2975" spans="1:6" x14ac:dyDescent="0.25">
      <c r="A2975" t="s">
        <v>3366</v>
      </c>
      <c r="B2975" t="s">
        <v>213</v>
      </c>
      <c r="C2975" t="s">
        <v>214</v>
      </c>
      <c r="D2975" t="str">
        <f>HYPERLINK("http://service.sap.com/sap/support/notes/1556116","1556116")</f>
        <v>1556116</v>
      </c>
      <c r="E2975">
        <v>2</v>
      </c>
      <c r="F2975" t="s">
        <v>3104</v>
      </c>
    </row>
    <row r="2976" spans="1:6" x14ac:dyDescent="0.25">
      <c r="A2976" t="s">
        <v>3366</v>
      </c>
      <c r="B2976" t="s">
        <v>213</v>
      </c>
      <c r="C2976" t="s">
        <v>214</v>
      </c>
      <c r="D2976" t="str">
        <f>HYPERLINK("http://service.sap.com/sap/support/notes/1557344","1557344")</f>
        <v>1557344</v>
      </c>
      <c r="E2976">
        <v>2</v>
      </c>
      <c r="F2976" t="s">
        <v>3105</v>
      </c>
    </row>
    <row r="2977" spans="1:6" x14ac:dyDescent="0.25">
      <c r="A2977" t="s">
        <v>3366</v>
      </c>
      <c r="B2977" t="s">
        <v>213</v>
      </c>
      <c r="C2977" t="s">
        <v>214</v>
      </c>
      <c r="D2977" t="str">
        <f>HYPERLINK("http://service.sap.com/sap/support/notes/1559762","1559762")</f>
        <v>1559762</v>
      </c>
      <c r="E2977">
        <v>3</v>
      </c>
      <c r="F2977" t="s">
        <v>3106</v>
      </c>
    </row>
    <row r="2978" spans="1:6" x14ac:dyDescent="0.25">
      <c r="A2978" t="s">
        <v>3366</v>
      </c>
      <c r="B2978" t="s">
        <v>213</v>
      </c>
      <c r="C2978" t="s">
        <v>214</v>
      </c>
      <c r="D2978" t="str">
        <f>HYPERLINK("http://service.sap.com/sap/support/notes/1560716","1560716")</f>
        <v>1560716</v>
      </c>
      <c r="E2978">
        <v>2</v>
      </c>
      <c r="F2978" t="s">
        <v>3107</v>
      </c>
    </row>
    <row r="2979" spans="1:6" x14ac:dyDescent="0.25">
      <c r="A2979" t="s">
        <v>3366</v>
      </c>
      <c r="B2979" t="s">
        <v>213</v>
      </c>
      <c r="C2979" t="s">
        <v>214</v>
      </c>
      <c r="D2979" t="str">
        <f>HYPERLINK("http://service.sap.com/sap/support/notes/1563570","1563570")</f>
        <v>1563570</v>
      </c>
      <c r="E2979">
        <v>5</v>
      </c>
      <c r="F2979" t="s">
        <v>3108</v>
      </c>
    </row>
    <row r="2980" spans="1:6" x14ac:dyDescent="0.25">
      <c r="A2980" t="s">
        <v>3366</v>
      </c>
      <c r="B2980" t="s">
        <v>213</v>
      </c>
      <c r="C2980" t="s">
        <v>214</v>
      </c>
      <c r="D2980" t="str">
        <f>HYPERLINK("http://service.sap.com/sap/support/notes/1565643","1565643")</f>
        <v>1565643</v>
      </c>
      <c r="E2980">
        <v>2</v>
      </c>
      <c r="F2980" t="s">
        <v>3109</v>
      </c>
    </row>
    <row r="2981" spans="1:6" x14ac:dyDescent="0.25">
      <c r="A2981" t="s">
        <v>3366</v>
      </c>
      <c r="B2981" t="s">
        <v>213</v>
      </c>
      <c r="C2981" t="s">
        <v>214</v>
      </c>
      <c r="D2981" t="str">
        <f>HYPERLINK("http://service.sap.com/sap/support/notes/1571957","1571957")</f>
        <v>1571957</v>
      </c>
      <c r="E2981">
        <v>5</v>
      </c>
      <c r="F2981" t="s">
        <v>3110</v>
      </c>
    </row>
    <row r="2982" spans="1:6" x14ac:dyDescent="0.25">
      <c r="A2982" t="s">
        <v>3366</v>
      </c>
      <c r="B2982" t="s">
        <v>213</v>
      </c>
      <c r="C2982" t="s">
        <v>214</v>
      </c>
      <c r="D2982" t="str">
        <f>HYPERLINK("http://service.sap.com/sap/support/notes/1576315","1576315")</f>
        <v>1576315</v>
      </c>
      <c r="E2982">
        <v>4</v>
      </c>
      <c r="F2982" t="s">
        <v>3111</v>
      </c>
    </row>
    <row r="2983" spans="1:6" x14ac:dyDescent="0.25">
      <c r="A2983" t="s">
        <v>3366</v>
      </c>
      <c r="B2983" t="s">
        <v>223</v>
      </c>
      <c r="C2983" t="s">
        <v>49</v>
      </c>
      <c r="D2983" t="str">
        <f>HYPERLINK("http://service.sap.com/sap/support/notes/1459905","1459905")</f>
        <v>1459905</v>
      </c>
      <c r="E2983">
        <v>1</v>
      </c>
      <c r="F2983" t="s">
        <v>1858</v>
      </c>
    </row>
    <row r="2984" spans="1:6" x14ac:dyDescent="0.25">
      <c r="A2984" t="s">
        <v>3366</v>
      </c>
      <c r="B2984" t="s">
        <v>223</v>
      </c>
      <c r="C2984" t="s">
        <v>49</v>
      </c>
      <c r="D2984" t="str">
        <f>HYPERLINK("http://service.sap.com/sap/support/notes/1570547","1570547")</f>
        <v>1570547</v>
      </c>
      <c r="E2984">
        <v>3</v>
      </c>
      <c r="F2984" t="s">
        <v>3112</v>
      </c>
    </row>
    <row r="2985" spans="1:6" x14ac:dyDescent="0.25">
      <c r="A2985" t="s">
        <v>3366</v>
      </c>
      <c r="B2985" t="s">
        <v>223</v>
      </c>
      <c r="C2985" t="s">
        <v>49</v>
      </c>
      <c r="D2985" t="str">
        <f>HYPERLINK("http://service.sap.com/sap/support/notes/1576593","1576593")</f>
        <v>1576593</v>
      </c>
      <c r="E2985">
        <v>1</v>
      </c>
      <c r="F2985" t="s">
        <v>3113</v>
      </c>
    </row>
    <row r="2986" spans="1:6" x14ac:dyDescent="0.25">
      <c r="A2986" t="s">
        <v>3366</v>
      </c>
      <c r="B2986" t="s">
        <v>223</v>
      </c>
      <c r="C2986" t="s">
        <v>49</v>
      </c>
      <c r="D2986" t="str">
        <f>HYPERLINK("http://service.sap.com/sap/support/notes/1577888","1577888")</f>
        <v>1577888</v>
      </c>
      <c r="E2986">
        <v>1</v>
      </c>
      <c r="F2986" t="s">
        <v>3114</v>
      </c>
    </row>
    <row r="2987" spans="1:6" x14ac:dyDescent="0.25">
      <c r="A2987" t="s">
        <v>3366</v>
      </c>
      <c r="B2987" t="s">
        <v>223</v>
      </c>
      <c r="C2987" t="s">
        <v>49</v>
      </c>
      <c r="D2987" t="str">
        <f>HYPERLINK("http://service.sap.com/sap/support/notes/1581852","1581852")</f>
        <v>1581852</v>
      </c>
      <c r="E2987">
        <v>1</v>
      </c>
      <c r="F2987" t="s">
        <v>3115</v>
      </c>
    </row>
    <row r="2988" spans="1:6" x14ac:dyDescent="0.25">
      <c r="A2988" t="s">
        <v>3366</v>
      </c>
      <c r="B2988" t="s">
        <v>223</v>
      </c>
      <c r="C2988" t="s">
        <v>49</v>
      </c>
      <c r="D2988" t="str">
        <f>HYPERLINK("http://service.sap.com/sap/support/notes/1582042","1582042")</f>
        <v>1582042</v>
      </c>
      <c r="E2988">
        <v>1</v>
      </c>
      <c r="F2988" t="s">
        <v>3116</v>
      </c>
    </row>
    <row r="2989" spans="1:6" x14ac:dyDescent="0.25">
      <c r="A2989" t="s">
        <v>3366</v>
      </c>
      <c r="B2989" t="s">
        <v>226</v>
      </c>
      <c r="C2989" t="s">
        <v>52</v>
      </c>
    </row>
    <row r="2990" spans="1:6" x14ac:dyDescent="0.25">
      <c r="A2990" t="s">
        <v>3366</v>
      </c>
      <c r="B2990" t="s">
        <v>227</v>
      </c>
      <c r="C2990" t="s">
        <v>228</v>
      </c>
      <c r="D2990" t="str">
        <f>HYPERLINK("http://service.sap.com/sap/support/notes/1561967","1561967")</f>
        <v>1561967</v>
      </c>
      <c r="E2990">
        <v>2</v>
      </c>
      <c r="F2990" t="s">
        <v>3117</v>
      </c>
    </row>
    <row r="2991" spans="1:6" x14ac:dyDescent="0.25">
      <c r="A2991" t="s">
        <v>3366</v>
      </c>
      <c r="B2991" t="s">
        <v>232</v>
      </c>
      <c r="C2991" t="s">
        <v>233</v>
      </c>
      <c r="D2991" t="str">
        <f>HYPERLINK("http://service.sap.com/sap/support/notes/1573183","1573183")</f>
        <v>1573183</v>
      </c>
      <c r="E2991">
        <v>1</v>
      </c>
      <c r="F2991" t="s">
        <v>3118</v>
      </c>
    </row>
    <row r="2992" spans="1:6" x14ac:dyDescent="0.25">
      <c r="A2992" t="s">
        <v>3366</v>
      </c>
      <c r="B2992" t="s">
        <v>232</v>
      </c>
      <c r="C2992" t="s">
        <v>233</v>
      </c>
      <c r="D2992" t="str">
        <f>HYPERLINK("http://service.sap.com/sap/support/notes/1577956","1577956")</f>
        <v>1577956</v>
      </c>
      <c r="E2992">
        <v>1</v>
      </c>
      <c r="F2992" t="s">
        <v>3119</v>
      </c>
    </row>
    <row r="2993" spans="1:6" x14ac:dyDescent="0.25">
      <c r="A2993" t="s">
        <v>3366</v>
      </c>
      <c r="B2993" t="s">
        <v>235</v>
      </c>
      <c r="C2993" t="s">
        <v>236</v>
      </c>
    </row>
    <row r="2994" spans="1:6" x14ac:dyDescent="0.25">
      <c r="A2994" t="s">
        <v>3366</v>
      </c>
      <c r="B2994" t="s">
        <v>237</v>
      </c>
      <c r="C2994" t="s">
        <v>238</v>
      </c>
      <c r="D2994" t="str">
        <f>HYPERLINK("http://service.sap.com/sap/support/notes/1560710","1560710")</f>
        <v>1560710</v>
      </c>
      <c r="E2994">
        <v>1</v>
      </c>
      <c r="F2994" t="s">
        <v>3120</v>
      </c>
    </row>
    <row r="2995" spans="1:6" x14ac:dyDescent="0.25">
      <c r="A2995" t="s">
        <v>3366</v>
      </c>
      <c r="B2995" t="s">
        <v>237</v>
      </c>
      <c r="C2995" t="s">
        <v>238</v>
      </c>
      <c r="D2995" t="str">
        <f>HYPERLINK("http://service.sap.com/sap/support/notes/1569975","1569975")</f>
        <v>1569975</v>
      </c>
      <c r="E2995">
        <v>1</v>
      </c>
      <c r="F2995" t="s">
        <v>3121</v>
      </c>
    </row>
    <row r="2996" spans="1:6" x14ac:dyDescent="0.25">
      <c r="A2996" t="s">
        <v>3366</v>
      </c>
      <c r="B2996" t="s">
        <v>237</v>
      </c>
      <c r="C2996" t="s">
        <v>238</v>
      </c>
      <c r="D2996" t="str">
        <f>HYPERLINK("http://service.sap.com/sap/support/notes/1574318","1574318")</f>
        <v>1574318</v>
      </c>
      <c r="E2996">
        <v>2</v>
      </c>
      <c r="F2996" t="s">
        <v>3122</v>
      </c>
    </row>
    <row r="2997" spans="1:6" x14ac:dyDescent="0.25">
      <c r="A2997" t="s">
        <v>3366</v>
      </c>
      <c r="B2997" t="s">
        <v>237</v>
      </c>
      <c r="C2997" t="s">
        <v>238</v>
      </c>
      <c r="D2997" t="str">
        <f>HYPERLINK("http://service.sap.com/sap/support/notes/1579018","1579018")</f>
        <v>1579018</v>
      </c>
      <c r="E2997">
        <v>2</v>
      </c>
      <c r="F2997" t="s">
        <v>3123</v>
      </c>
    </row>
    <row r="2998" spans="1:6" x14ac:dyDescent="0.25">
      <c r="A2998" t="s">
        <v>3366</v>
      </c>
      <c r="B2998" t="s">
        <v>242</v>
      </c>
      <c r="C2998" t="s">
        <v>243</v>
      </c>
      <c r="D2998" t="str">
        <f>HYPERLINK("http://service.sap.com/sap/support/notes/1564347","1564347")</f>
        <v>1564347</v>
      </c>
      <c r="E2998">
        <v>2</v>
      </c>
      <c r="F2998" t="s">
        <v>3124</v>
      </c>
    </row>
    <row r="2999" spans="1:6" x14ac:dyDescent="0.25">
      <c r="A2999" t="s">
        <v>3366</v>
      </c>
      <c r="B2999" t="s">
        <v>1009</v>
      </c>
      <c r="C2999" t="s">
        <v>1010</v>
      </c>
      <c r="D2999" t="str">
        <f>HYPERLINK("http://service.sap.com/sap/support/notes/1564169","1564169")</f>
        <v>1564169</v>
      </c>
      <c r="E2999">
        <v>4</v>
      </c>
      <c r="F2999" t="s">
        <v>3125</v>
      </c>
    </row>
    <row r="3000" spans="1:6" x14ac:dyDescent="0.25">
      <c r="A3000" t="s">
        <v>3366</v>
      </c>
      <c r="B3000" t="s">
        <v>1009</v>
      </c>
      <c r="C3000" t="s">
        <v>1010</v>
      </c>
      <c r="D3000" t="str">
        <f>HYPERLINK("http://service.sap.com/sap/support/notes/1570409","1570409")</f>
        <v>1570409</v>
      </c>
      <c r="E3000">
        <v>2</v>
      </c>
      <c r="F3000" t="s">
        <v>3126</v>
      </c>
    </row>
    <row r="3001" spans="1:6" x14ac:dyDescent="0.25">
      <c r="A3001" t="s">
        <v>3366</v>
      </c>
      <c r="B3001" t="s">
        <v>1009</v>
      </c>
      <c r="C3001" t="s">
        <v>1010</v>
      </c>
      <c r="D3001" t="str">
        <f>HYPERLINK("http://service.sap.com/sap/support/notes/1570777","1570777")</f>
        <v>1570777</v>
      </c>
      <c r="E3001">
        <v>1</v>
      </c>
      <c r="F3001" t="s">
        <v>3127</v>
      </c>
    </row>
    <row r="3002" spans="1:6" x14ac:dyDescent="0.25">
      <c r="A3002" t="s">
        <v>3366</v>
      </c>
      <c r="B3002" t="s">
        <v>250</v>
      </c>
      <c r="C3002" t="s">
        <v>251</v>
      </c>
    </row>
    <row r="3003" spans="1:6" x14ac:dyDescent="0.25">
      <c r="A3003" t="s">
        <v>3366</v>
      </c>
      <c r="B3003" t="s">
        <v>255</v>
      </c>
      <c r="C3003" t="s">
        <v>256</v>
      </c>
      <c r="D3003" t="str">
        <f>HYPERLINK("http://service.sap.com/sap/support/notes/1570959","1570959")</f>
        <v>1570959</v>
      </c>
      <c r="E3003">
        <v>1</v>
      </c>
      <c r="F3003" t="s">
        <v>3128</v>
      </c>
    </row>
    <row r="3004" spans="1:6" x14ac:dyDescent="0.25">
      <c r="A3004" t="s">
        <v>3366</v>
      </c>
      <c r="B3004" t="s">
        <v>255</v>
      </c>
      <c r="C3004" t="s">
        <v>256</v>
      </c>
      <c r="D3004" t="str">
        <f>HYPERLINK("http://service.sap.com/sap/support/notes/1574716","1574716")</f>
        <v>1574716</v>
      </c>
      <c r="E3004">
        <v>1</v>
      </c>
      <c r="F3004" t="s">
        <v>3129</v>
      </c>
    </row>
    <row r="3005" spans="1:6" x14ac:dyDescent="0.25">
      <c r="A3005" t="s">
        <v>3366</v>
      </c>
      <c r="B3005" t="s">
        <v>255</v>
      </c>
      <c r="C3005" t="s">
        <v>256</v>
      </c>
      <c r="D3005" t="str">
        <f>HYPERLINK("http://service.sap.com/sap/support/notes/1576558","1576558")</f>
        <v>1576558</v>
      </c>
      <c r="E3005">
        <v>1</v>
      </c>
      <c r="F3005" t="s">
        <v>3130</v>
      </c>
    </row>
    <row r="3006" spans="1:6" x14ac:dyDescent="0.25">
      <c r="A3006" t="s">
        <v>3366</v>
      </c>
      <c r="B3006" t="s">
        <v>255</v>
      </c>
      <c r="C3006" t="s">
        <v>256</v>
      </c>
      <c r="D3006" t="str">
        <f>HYPERLINK("http://service.sap.com/sap/support/notes/1580599","1580599")</f>
        <v>1580599</v>
      </c>
      <c r="E3006">
        <v>1</v>
      </c>
      <c r="F3006" t="s">
        <v>3131</v>
      </c>
    </row>
    <row r="3007" spans="1:6" x14ac:dyDescent="0.25">
      <c r="A3007" t="s">
        <v>3366</v>
      </c>
      <c r="B3007" t="s">
        <v>258</v>
      </c>
      <c r="C3007" t="s">
        <v>259</v>
      </c>
      <c r="D3007" t="str">
        <f>HYPERLINK("http://service.sap.com/sap/support/notes/1568516","1568516")</f>
        <v>1568516</v>
      </c>
      <c r="E3007">
        <v>2</v>
      </c>
      <c r="F3007" t="s">
        <v>3132</v>
      </c>
    </row>
    <row r="3008" spans="1:6" x14ac:dyDescent="0.25">
      <c r="A3008" t="s">
        <v>3366</v>
      </c>
      <c r="B3008" t="s">
        <v>258</v>
      </c>
      <c r="C3008" t="s">
        <v>259</v>
      </c>
      <c r="D3008" t="str">
        <f>HYPERLINK("http://service.sap.com/sap/support/notes/1574611","1574611")</f>
        <v>1574611</v>
      </c>
      <c r="E3008">
        <v>2</v>
      </c>
      <c r="F3008" t="s">
        <v>3133</v>
      </c>
    </row>
    <row r="3009" spans="1:6" x14ac:dyDescent="0.25">
      <c r="A3009" t="s">
        <v>3366</v>
      </c>
      <c r="B3009" t="s">
        <v>258</v>
      </c>
      <c r="C3009" t="s">
        <v>259</v>
      </c>
      <c r="D3009" t="str">
        <f>HYPERLINK("http://service.sap.com/sap/support/notes/1576008","1576008")</f>
        <v>1576008</v>
      </c>
      <c r="E3009">
        <v>1</v>
      </c>
      <c r="F3009" t="s">
        <v>3134</v>
      </c>
    </row>
    <row r="3010" spans="1:6" x14ac:dyDescent="0.25">
      <c r="A3010" t="s">
        <v>3366</v>
      </c>
      <c r="B3010" t="s">
        <v>258</v>
      </c>
      <c r="C3010" t="s">
        <v>259</v>
      </c>
      <c r="D3010" t="str">
        <f>HYPERLINK("http://service.sap.com/sap/support/notes/1576112","1576112")</f>
        <v>1576112</v>
      </c>
      <c r="E3010">
        <v>2</v>
      </c>
      <c r="F3010" t="s">
        <v>3135</v>
      </c>
    </row>
    <row r="3011" spans="1:6" x14ac:dyDescent="0.25">
      <c r="A3011" t="s">
        <v>3366</v>
      </c>
      <c r="B3011" t="s">
        <v>1023</v>
      </c>
      <c r="C3011" t="s">
        <v>2715</v>
      </c>
      <c r="D3011" t="str">
        <f>HYPERLINK("http://service.sap.com/sap/support/notes/1577144","1577144")</f>
        <v>1577144</v>
      </c>
      <c r="E3011">
        <v>3</v>
      </c>
      <c r="F3011" t="s">
        <v>3136</v>
      </c>
    </row>
    <row r="3012" spans="1:6" x14ac:dyDescent="0.25">
      <c r="A3012" t="s">
        <v>3366</v>
      </c>
      <c r="B3012" t="s">
        <v>264</v>
      </c>
      <c r="C3012" t="s">
        <v>265</v>
      </c>
      <c r="D3012" t="str">
        <f>HYPERLINK("http://service.sap.com/sap/support/notes/1570837","1570837")</f>
        <v>1570837</v>
      </c>
      <c r="E3012">
        <v>1</v>
      </c>
      <c r="F3012" t="s">
        <v>3137</v>
      </c>
    </row>
    <row r="3013" spans="1:6" x14ac:dyDescent="0.25">
      <c r="A3013" t="s">
        <v>3366</v>
      </c>
      <c r="B3013" t="s">
        <v>264</v>
      </c>
      <c r="C3013" t="s">
        <v>265</v>
      </c>
      <c r="D3013" t="str">
        <f>HYPERLINK("http://service.sap.com/sap/support/notes/1572219","1572219")</f>
        <v>1572219</v>
      </c>
      <c r="E3013">
        <v>4</v>
      </c>
      <c r="F3013" t="s">
        <v>3138</v>
      </c>
    </row>
    <row r="3014" spans="1:6" x14ac:dyDescent="0.25">
      <c r="A3014" t="s">
        <v>3366</v>
      </c>
      <c r="B3014" t="s">
        <v>273</v>
      </c>
      <c r="C3014" t="s">
        <v>153</v>
      </c>
      <c r="D3014" t="str">
        <f>HYPERLINK("http://service.sap.com/sap/support/notes/1575399","1575399")</f>
        <v>1575399</v>
      </c>
      <c r="E3014">
        <v>2</v>
      </c>
      <c r="F3014" t="s">
        <v>3139</v>
      </c>
    </row>
    <row r="3015" spans="1:6" x14ac:dyDescent="0.25">
      <c r="A3015" t="s">
        <v>3366</v>
      </c>
      <c r="B3015" t="s">
        <v>273</v>
      </c>
      <c r="C3015" t="s">
        <v>153</v>
      </c>
      <c r="D3015" t="str">
        <f>HYPERLINK("http://service.sap.com/sap/support/notes/1575416","1575416")</f>
        <v>1575416</v>
      </c>
      <c r="E3015">
        <v>1</v>
      </c>
      <c r="F3015" t="s">
        <v>3140</v>
      </c>
    </row>
    <row r="3016" spans="1:6" x14ac:dyDescent="0.25">
      <c r="A3016" t="s">
        <v>3366</v>
      </c>
      <c r="B3016" t="s">
        <v>273</v>
      </c>
      <c r="C3016" t="s">
        <v>153</v>
      </c>
      <c r="D3016" t="str">
        <f>HYPERLINK("http://service.sap.com/sap/support/notes/1577429","1577429")</f>
        <v>1577429</v>
      </c>
      <c r="E3016">
        <v>1</v>
      </c>
      <c r="F3016" t="s">
        <v>3141</v>
      </c>
    </row>
    <row r="3017" spans="1:6" x14ac:dyDescent="0.25">
      <c r="A3017" t="s">
        <v>3366</v>
      </c>
      <c r="B3017" t="s">
        <v>273</v>
      </c>
      <c r="C3017" t="s">
        <v>153</v>
      </c>
      <c r="D3017" t="str">
        <f>HYPERLINK("http://service.sap.com/sap/support/notes/1578372","1578372")</f>
        <v>1578372</v>
      </c>
      <c r="E3017">
        <v>1</v>
      </c>
      <c r="F3017" t="s">
        <v>3142</v>
      </c>
    </row>
    <row r="3018" spans="1:6" x14ac:dyDescent="0.25">
      <c r="A3018" t="s">
        <v>3366</v>
      </c>
      <c r="B3018" t="s">
        <v>273</v>
      </c>
      <c r="C3018" t="s">
        <v>153</v>
      </c>
      <c r="D3018" t="str">
        <f>HYPERLINK("http://service.sap.com/sap/support/notes/1578587","1578587")</f>
        <v>1578587</v>
      </c>
      <c r="E3018">
        <v>2</v>
      </c>
      <c r="F3018" t="s">
        <v>3143</v>
      </c>
    </row>
    <row r="3019" spans="1:6" x14ac:dyDescent="0.25">
      <c r="A3019" t="s">
        <v>3366</v>
      </c>
      <c r="B3019" t="s">
        <v>281</v>
      </c>
      <c r="C3019" t="s">
        <v>282</v>
      </c>
      <c r="D3019" t="str">
        <f>HYPERLINK("http://service.sap.com/sap/support/notes/1576381","1576381")</f>
        <v>1576381</v>
      </c>
      <c r="E3019">
        <v>1</v>
      </c>
      <c r="F3019" t="s">
        <v>3144</v>
      </c>
    </row>
    <row r="3020" spans="1:6" x14ac:dyDescent="0.25">
      <c r="A3020" t="s">
        <v>3366</v>
      </c>
      <c r="B3020" t="s">
        <v>281</v>
      </c>
      <c r="C3020" t="s">
        <v>282</v>
      </c>
      <c r="D3020" t="str">
        <f>HYPERLINK("http://service.sap.com/sap/support/notes/1576552","1576552")</f>
        <v>1576552</v>
      </c>
      <c r="E3020">
        <v>1</v>
      </c>
      <c r="F3020" t="s">
        <v>3145</v>
      </c>
    </row>
    <row r="3021" spans="1:6" x14ac:dyDescent="0.25">
      <c r="A3021" t="s">
        <v>3366</v>
      </c>
      <c r="B3021" t="s">
        <v>284</v>
      </c>
      <c r="C3021" t="s">
        <v>285</v>
      </c>
      <c r="D3021" t="str">
        <f>HYPERLINK("http://service.sap.com/sap/support/notes/1540306","1540306")</f>
        <v>1540306</v>
      </c>
      <c r="E3021">
        <v>3</v>
      </c>
      <c r="F3021" t="s">
        <v>3146</v>
      </c>
    </row>
    <row r="3022" spans="1:6" x14ac:dyDescent="0.25">
      <c r="A3022" t="s">
        <v>3366</v>
      </c>
      <c r="B3022" t="s">
        <v>284</v>
      </c>
      <c r="C3022" t="s">
        <v>285</v>
      </c>
      <c r="D3022" t="str">
        <f>HYPERLINK("http://service.sap.com/sap/support/notes/1559439","1559439")</f>
        <v>1559439</v>
      </c>
      <c r="E3022">
        <v>2</v>
      </c>
      <c r="F3022" t="s">
        <v>3147</v>
      </c>
    </row>
    <row r="3023" spans="1:6" x14ac:dyDescent="0.25">
      <c r="A3023" t="s">
        <v>3366</v>
      </c>
      <c r="B3023" t="s">
        <v>284</v>
      </c>
      <c r="C3023" t="s">
        <v>285</v>
      </c>
      <c r="D3023" t="str">
        <f>HYPERLINK("http://service.sap.com/sap/support/notes/1570728","1570728")</f>
        <v>1570728</v>
      </c>
      <c r="E3023">
        <v>3</v>
      </c>
      <c r="F3023" t="s">
        <v>3148</v>
      </c>
    </row>
    <row r="3024" spans="1:6" x14ac:dyDescent="0.25">
      <c r="A3024" t="s">
        <v>3366</v>
      </c>
      <c r="B3024" t="s">
        <v>284</v>
      </c>
      <c r="C3024" t="s">
        <v>285</v>
      </c>
      <c r="D3024" t="str">
        <f>HYPERLINK("http://service.sap.com/sap/support/notes/1571566","1571566")</f>
        <v>1571566</v>
      </c>
      <c r="E3024">
        <v>2</v>
      </c>
      <c r="F3024" t="s">
        <v>3149</v>
      </c>
    </row>
    <row r="3025" spans="1:6" x14ac:dyDescent="0.25">
      <c r="A3025" t="s">
        <v>3366</v>
      </c>
      <c r="B3025" t="s">
        <v>284</v>
      </c>
      <c r="C3025" t="s">
        <v>285</v>
      </c>
      <c r="D3025" t="str">
        <f>HYPERLINK("http://service.sap.com/sap/support/notes/1572350","1572350")</f>
        <v>1572350</v>
      </c>
      <c r="E3025">
        <v>3</v>
      </c>
      <c r="F3025" t="s">
        <v>3150</v>
      </c>
    </row>
    <row r="3026" spans="1:6" x14ac:dyDescent="0.25">
      <c r="A3026" t="s">
        <v>3366</v>
      </c>
      <c r="B3026" t="s">
        <v>284</v>
      </c>
      <c r="C3026" t="s">
        <v>285</v>
      </c>
      <c r="D3026" t="str">
        <f>HYPERLINK("http://service.sap.com/sap/support/notes/1572415","1572415")</f>
        <v>1572415</v>
      </c>
      <c r="E3026">
        <v>1</v>
      </c>
      <c r="F3026" t="s">
        <v>3151</v>
      </c>
    </row>
    <row r="3027" spans="1:6" x14ac:dyDescent="0.25">
      <c r="A3027" t="s">
        <v>3366</v>
      </c>
      <c r="B3027" t="s">
        <v>284</v>
      </c>
      <c r="C3027" t="s">
        <v>285</v>
      </c>
      <c r="D3027" t="str">
        <f>HYPERLINK("http://service.sap.com/sap/support/notes/1572590","1572590")</f>
        <v>1572590</v>
      </c>
      <c r="E3027">
        <v>1</v>
      </c>
      <c r="F3027" t="s">
        <v>3152</v>
      </c>
    </row>
    <row r="3028" spans="1:6" x14ac:dyDescent="0.25">
      <c r="A3028" t="s">
        <v>3366</v>
      </c>
      <c r="B3028" t="s">
        <v>284</v>
      </c>
      <c r="C3028" t="s">
        <v>285</v>
      </c>
      <c r="D3028" t="str">
        <f>HYPERLINK("http://service.sap.com/sap/support/notes/1572679","1572679")</f>
        <v>1572679</v>
      </c>
      <c r="E3028">
        <v>1</v>
      </c>
      <c r="F3028" t="s">
        <v>3153</v>
      </c>
    </row>
    <row r="3029" spans="1:6" x14ac:dyDescent="0.25">
      <c r="A3029" t="s">
        <v>3366</v>
      </c>
      <c r="B3029" t="s">
        <v>284</v>
      </c>
      <c r="C3029" t="s">
        <v>285</v>
      </c>
      <c r="D3029" t="str">
        <f>HYPERLINK("http://service.sap.com/sap/support/notes/1572767","1572767")</f>
        <v>1572767</v>
      </c>
      <c r="E3029">
        <v>1</v>
      </c>
      <c r="F3029" t="s">
        <v>3154</v>
      </c>
    </row>
    <row r="3030" spans="1:6" x14ac:dyDescent="0.25">
      <c r="A3030" t="s">
        <v>3366</v>
      </c>
      <c r="B3030" t="s">
        <v>284</v>
      </c>
      <c r="C3030" t="s">
        <v>285</v>
      </c>
      <c r="D3030" t="str">
        <f>HYPERLINK("http://service.sap.com/sap/support/notes/1575969","1575969")</f>
        <v>1575969</v>
      </c>
      <c r="E3030">
        <v>1</v>
      </c>
      <c r="F3030" t="s">
        <v>3155</v>
      </c>
    </row>
    <row r="3031" spans="1:6" x14ac:dyDescent="0.25">
      <c r="A3031" t="s">
        <v>3366</v>
      </c>
      <c r="B3031" t="s">
        <v>284</v>
      </c>
      <c r="C3031" t="s">
        <v>285</v>
      </c>
      <c r="D3031" t="str">
        <f>HYPERLINK("http://service.sap.com/sap/support/notes/1576521","1576521")</f>
        <v>1576521</v>
      </c>
      <c r="E3031">
        <v>1</v>
      </c>
      <c r="F3031" t="s">
        <v>3156</v>
      </c>
    </row>
    <row r="3032" spans="1:6" x14ac:dyDescent="0.25">
      <c r="A3032" t="s">
        <v>3366</v>
      </c>
      <c r="B3032" t="s">
        <v>293</v>
      </c>
      <c r="C3032" t="s">
        <v>294</v>
      </c>
      <c r="D3032" t="str">
        <f>HYPERLINK("http://service.sap.com/sap/support/notes/1567314","1567314")</f>
        <v>1567314</v>
      </c>
      <c r="E3032">
        <v>6</v>
      </c>
      <c r="F3032" t="s">
        <v>3157</v>
      </c>
    </row>
    <row r="3033" spans="1:6" x14ac:dyDescent="0.25">
      <c r="A3033" t="s">
        <v>3366</v>
      </c>
      <c r="B3033" t="s">
        <v>298</v>
      </c>
      <c r="C3033" t="s">
        <v>299</v>
      </c>
    </row>
    <row r="3034" spans="1:6" x14ac:dyDescent="0.25">
      <c r="A3034" t="s">
        <v>3366</v>
      </c>
      <c r="B3034" t="s">
        <v>1063</v>
      </c>
      <c r="C3034" t="s">
        <v>1565</v>
      </c>
      <c r="D3034" t="str">
        <f>HYPERLINK("http://service.sap.com/sap/support/notes/1561013","1561013")</f>
        <v>1561013</v>
      </c>
      <c r="E3034">
        <v>3</v>
      </c>
      <c r="F3034" t="s">
        <v>3158</v>
      </c>
    </row>
    <row r="3035" spans="1:6" x14ac:dyDescent="0.25">
      <c r="A3035" t="s">
        <v>3366</v>
      </c>
      <c r="B3035" t="s">
        <v>1063</v>
      </c>
      <c r="C3035" t="s">
        <v>1565</v>
      </c>
      <c r="D3035" t="str">
        <f>HYPERLINK("http://service.sap.com/sap/support/notes/1570235","1570235")</f>
        <v>1570235</v>
      </c>
      <c r="E3035">
        <v>2</v>
      </c>
      <c r="F3035" t="s">
        <v>3159</v>
      </c>
    </row>
    <row r="3036" spans="1:6" x14ac:dyDescent="0.25">
      <c r="A3036" t="s">
        <v>3366</v>
      </c>
      <c r="B3036" t="s">
        <v>1063</v>
      </c>
      <c r="C3036" t="s">
        <v>1565</v>
      </c>
      <c r="D3036" t="str">
        <f>HYPERLINK("http://service.sap.com/sap/support/notes/1573096","1573096")</f>
        <v>1573096</v>
      </c>
      <c r="E3036">
        <v>1</v>
      </c>
      <c r="F3036" t="s">
        <v>3160</v>
      </c>
    </row>
    <row r="3037" spans="1:6" x14ac:dyDescent="0.25">
      <c r="A3037" t="s">
        <v>3366</v>
      </c>
      <c r="B3037" t="s">
        <v>1063</v>
      </c>
      <c r="C3037" t="s">
        <v>1565</v>
      </c>
      <c r="D3037" t="str">
        <f>HYPERLINK("http://service.sap.com/sap/support/notes/1573881","1573881")</f>
        <v>1573881</v>
      </c>
      <c r="E3037">
        <v>3</v>
      </c>
      <c r="F3037" t="s">
        <v>3161</v>
      </c>
    </row>
    <row r="3038" spans="1:6" x14ac:dyDescent="0.25">
      <c r="A3038" t="s">
        <v>3366</v>
      </c>
      <c r="B3038" t="s">
        <v>300</v>
      </c>
      <c r="C3038" t="s">
        <v>301</v>
      </c>
      <c r="D3038" t="str">
        <f>HYPERLINK("http://service.sap.com/sap/support/notes/1568507","1568507")</f>
        <v>1568507</v>
      </c>
      <c r="E3038">
        <v>4</v>
      </c>
      <c r="F3038" t="s">
        <v>3162</v>
      </c>
    </row>
    <row r="3039" spans="1:6" x14ac:dyDescent="0.25">
      <c r="A3039" t="s">
        <v>3366</v>
      </c>
      <c r="B3039" t="s">
        <v>304</v>
      </c>
      <c r="C3039" t="s">
        <v>305</v>
      </c>
      <c r="D3039" t="str">
        <f>HYPERLINK("http://service.sap.com/sap/support/notes/1519808","1519808")</f>
        <v>1519808</v>
      </c>
      <c r="E3039">
        <v>1</v>
      </c>
      <c r="F3039" t="s">
        <v>3163</v>
      </c>
    </row>
    <row r="3040" spans="1:6" x14ac:dyDescent="0.25">
      <c r="A3040" t="s">
        <v>3366</v>
      </c>
      <c r="B3040" t="s">
        <v>304</v>
      </c>
      <c r="C3040" t="s">
        <v>305</v>
      </c>
      <c r="D3040" t="str">
        <f>HYPERLINK("http://service.sap.com/sap/support/notes/1542523","1542523")</f>
        <v>1542523</v>
      </c>
      <c r="E3040">
        <v>4</v>
      </c>
      <c r="F3040" t="s">
        <v>3164</v>
      </c>
    </row>
    <row r="3041" spans="1:6" x14ac:dyDescent="0.25">
      <c r="A3041" t="s">
        <v>3366</v>
      </c>
      <c r="B3041" t="s">
        <v>304</v>
      </c>
      <c r="C3041" t="s">
        <v>305</v>
      </c>
      <c r="D3041" t="str">
        <f>HYPERLINK("http://service.sap.com/sap/support/notes/1542878","1542878")</f>
        <v>1542878</v>
      </c>
      <c r="E3041">
        <v>7</v>
      </c>
      <c r="F3041" t="s">
        <v>3165</v>
      </c>
    </row>
    <row r="3042" spans="1:6" x14ac:dyDescent="0.25">
      <c r="A3042" t="s">
        <v>3366</v>
      </c>
      <c r="B3042" t="s">
        <v>304</v>
      </c>
      <c r="C3042" t="s">
        <v>305</v>
      </c>
      <c r="D3042" t="str">
        <f>HYPERLINK("http://service.sap.com/sap/support/notes/1547086","1547086")</f>
        <v>1547086</v>
      </c>
      <c r="E3042">
        <v>2</v>
      </c>
      <c r="F3042" t="s">
        <v>3166</v>
      </c>
    </row>
    <row r="3043" spans="1:6" x14ac:dyDescent="0.25">
      <c r="A3043" t="s">
        <v>3366</v>
      </c>
      <c r="B3043" t="s">
        <v>304</v>
      </c>
      <c r="C3043" t="s">
        <v>305</v>
      </c>
      <c r="D3043" t="str">
        <f>HYPERLINK("http://service.sap.com/sap/support/notes/1554834","1554834")</f>
        <v>1554834</v>
      </c>
      <c r="E3043">
        <v>7</v>
      </c>
      <c r="F3043" t="s">
        <v>3167</v>
      </c>
    </row>
    <row r="3044" spans="1:6" x14ac:dyDescent="0.25">
      <c r="A3044" t="s">
        <v>3366</v>
      </c>
      <c r="B3044" t="s">
        <v>304</v>
      </c>
      <c r="C3044" t="s">
        <v>305</v>
      </c>
      <c r="D3044" t="str">
        <f>HYPERLINK("http://service.sap.com/sap/support/notes/1557055","1557055")</f>
        <v>1557055</v>
      </c>
      <c r="E3044">
        <v>1</v>
      </c>
      <c r="F3044" t="s">
        <v>3168</v>
      </c>
    </row>
    <row r="3045" spans="1:6" x14ac:dyDescent="0.25">
      <c r="A3045" t="s">
        <v>3366</v>
      </c>
      <c r="B3045" t="s">
        <v>304</v>
      </c>
      <c r="C3045" t="s">
        <v>305</v>
      </c>
      <c r="D3045" t="str">
        <f>HYPERLINK("http://service.sap.com/sap/support/notes/1557922","1557922")</f>
        <v>1557922</v>
      </c>
      <c r="E3045">
        <v>3</v>
      </c>
      <c r="F3045" t="s">
        <v>3169</v>
      </c>
    </row>
    <row r="3046" spans="1:6" x14ac:dyDescent="0.25">
      <c r="A3046" t="s">
        <v>3366</v>
      </c>
      <c r="B3046" t="s">
        <v>304</v>
      </c>
      <c r="C3046" t="s">
        <v>305</v>
      </c>
      <c r="D3046" t="str">
        <f>HYPERLINK("http://service.sap.com/sap/support/notes/1561747","1561747")</f>
        <v>1561747</v>
      </c>
      <c r="E3046">
        <v>3</v>
      </c>
      <c r="F3046" t="s">
        <v>3170</v>
      </c>
    </row>
    <row r="3047" spans="1:6" x14ac:dyDescent="0.25">
      <c r="A3047" t="s">
        <v>3366</v>
      </c>
      <c r="B3047" t="s">
        <v>304</v>
      </c>
      <c r="C3047" t="s">
        <v>305</v>
      </c>
      <c r="D3047" t="str">
        <f>HYPERLINK("http://service.sap.com/sap/support/notes/1562232","1562232")</f>
        <v>1562232</v>
      </c>
      <c r="E3047">
        <v>3</v>
      </c>
      <c r="F3047" t="s">
        <v>3171</v>
      </c>
    </row>
    <row r="3048" spans="1:6" x14ac:dyDescent="0.25">
      <c r="A3048" t="s">
        <v>3366</v>
      </c>
      <c r="B3048" t="s">
        <v>304</v>
      </c>
      <c r="C3048" t="s">
        <v>305</v>
      </c>
      <c r="D3048" t="str">
        <f>HYPERLINK("http://service.sap.com/sap/support/notes/1562580","1562580")</f>
        <v>1562580</v>
      </c>
      <c r="E3048">
        <v>4</v>
      </c>
      <c r="F3048" t="s">
        <v>3172</v>
      </c>
    </row>
    <row r="3049" spans="1:6" x14ac:dyDescent="0.25">
      <c r="A3049" t="s">
        <v>3366</v>
      </c>
      <c r="B3049" t="s">
        <v>304</v>
      </c>
      <c r="C3049" t="s">
        <v>305</v>
      </c>
      <c r="D3049" t="str">
        <f>HYPERLINK("http://service.sap.com/sap/support/notes/1562585","1562585")</f>
        <v>1562585</v>
      </c>
      <c r="E3049">
        <v>3</v>
      </c>
      <c r="F3049" t="s">
        <v>3173</v>
      </c>
    </row>
    <row r="3050" spans="1:6" x14ac:dyDescent="0.25">
      <c r="A3050" t="s">
        <v>3366</v>
      </c>
      <c r="B3050" t="s">
        <v>304</v>
      </c>
      <c r="C3050" t="s">
        <v>305</v>
      </c>
      <c r="D3050" t="str">
        <f>HYPERLINK("http://service.sap.com/sap/support/notes/1563522","1563522")</f>
        <v>1563522</v>
      </c>
      <c r="E3050">
        <v>7</v>
      </c>
      <c r="F3050" t="s">
        <v>3174</v>
      </c>
    </row>
    <row r="3051" spans="1:6" x14ac:dyDescent="0.25">
      <c r="A3051" t="s">
        <v>3366</v>
      </c>
      <c r="B3051" t="s">
        <v>304</v>
      </c>
      <c r="C3051" t="s">
        <v>305</v>
      </c>
      <c r="D3051" t="str">
        <f>HYPERLINK("http://service.sap.com/sap/support/notes/1564671","1564671")</f>
        <v>1564671</v>
      </c>
      <c r="E3051">
        <v>2</v>
      </c>
      <c r="F3051" t="s">
        <v>3175</v>
      </c>
    </row>
    <row r="3052" spans="1:6" x14ac:dyDescent="0.25">
      <c r="A3052" t="s">
        <v>3366</v>
      </c>
      <c r="B3052" t="s">
        <v>304</v>
      </c>
      <c r="C3052" t="s">
        <v>305</v>
      </c>
      <c r="D3052" t="str">
        <f>HYPERLINK("http://service.sap.com/sap/support/notes/1564733","1564733")</f>
        <v>1564733</v>
      </c>
      <c r="E3052">
        <v>5</v>
      </c>
      <c r="F3052" t="s">
        <v>3176</v>
      </c>
    </row>
    <row r="3053" spans="1:6" x14ac:dyDescent="0.25">
      <c r="A3053" t="s">
        <v>3366</v>
      </c>
      <c r="B3053" t="s">
        <v>304</v>
      </c>
      <c r="C3053" t="s">
        <v>305</v>
      </c>
      <c r="D3053" t="str">
        <f>HYPERLINK("http://service.sap.com/sap/support/notes/1566222","1566222")</f>
        <v>1566222</v>
      </c>
      <c r="E3053">
        <v>6</v>
      </c>
      <c r="F3053" t="s">
        <v>3177</v>
      </c>
    </row>
    <row r="3054" spans="1:6" x14ac:dyDescent="0.25">
      <c r="A3054" t="s">
        <v>3366</v>
      </c>
      <c r="B3054" t="s">
        <v>304</v>
      </c>
      <c r="C3054" t="s">
        <v>305</v>
      </c>
      <c r="D3054" t="str">
        <f>HYPERLINK("http://service.sap.com/sap/support/notes/1566616","1566616")</f>
        <v>1566616</v>
      </c>
      <c r="E3054">
        <v>3</v>
      </c>
      <c r="F3054" t="s">
        <v>3178</v>
      </c>
    </row>
    <row r="3055" spans="1:6" x14ac:dyDescent="0.25">
      <c r="A3055" t="s">
        <v>3366</v>
      </c>
      <c r="B3055" t="s">
        <v>304</v>
      </c>
      <c r="C3055" t="s">
        <v>305</v>
      </c>
      <c r="D3055" t="str">
        <f>HYPERLINK("http://service.sap.com/sap/support/notes/1568195","1568195")</f>
        <v>1568195</v>
      </c>
      <c r="E3055">
        <v>3</v>
      </c>
      <c r="F3055" t="s">
        <v>3179</v>
      </c>
    </row>
    <row r="3056" spans="1:6" x14ac:dyDescent="0.25">
      <c r="A3056" t="s">
        <v>3366</v>
      </c>
      <c r="B3056" t="s">
        <v>304</v>
      </c>
      <c r="C3056" t="s">
        <v>305</v>
      </c>
      <c r="D3056" t="str">
        <f>HYPERLINK("http://service.sap.com/sap/support/notes/1569337","1569337")</f>
        <v>1569337</v>
      </c>
      <c r="E3056">
        <v>1</v>
      </c>
      <c r="F3056" t="s">
        <v>3180</v>
      </c>
    </row>
    <row r="3057" spans="1:6" x14ac:dyDescent="0.25">
      <c r="A3057" t="s">
        <v>3366</v>
      </c>
      <c r="B3057" t="s">
        <v>304</v>
      </c>
      <c r="C3057" t="s">
        <v>305</v>
      </c>
      <c r="D3057" t="str">
        <f>HYPERLINK("http://service.sap.com/sap/support/notes/1569964","1569964")</f>
        <v>1569964</v>
      </c>
      <c r="E3057">
        <v>1</v>
      </c>
      <c r="F3057" t="s">
        <v>3181</v>
      </c>
    </row>
    <row r="3058" spans="1:6" x14ac:dyDescent="0.25">
      <c r="A3058" t="s">
        <v>3366</v>
      </c>
      <c r="B3058" t="s">
        <v>304</v>
      </c>
      <c r="C3058" t="s">
        <v>305</v>
      </c>
      <c r="D3058" t="str">
        <f>HYPERLINK("http://service.sap.com/sap/support/notes/1570981","1570981")</f>
        <v>1570981</v>
      </c>
      <c r="E3058">
        <v>2</v>
      </c>
      <c r="F3058" t="s">
        <v>3182</v>
      </c>
    </row>
    <row r="3059" spans="1:6" x14ac:dyDescent="0.25">
      <c r="A3059" t="s">
        <v>3366</v>
      </c>
      <c r="B3059" t="s">
        <v>304</v>
      </c>
      <c r="C3059" t="s">
        <v>305</v>
      </c>
      <c r="D3059" t="str">
        <f>HYPERLINK("http://service.sap.com/sap/support/notes/1571872","1571872")</f>
        <v>1571872</v>
      </c>
      <c r="E3059">
        <v>3</v>
      </c>
      <c r="F3059" t="s">
        <v>3183</v>
      </c>
    </row>
    <row r="3060" spans="1:6" x14ac:dyDescent="0.25">
      <c r="A3060" t="s">
        <v>3366</v>
      </c>
      <c r="B3060" t="s">
        <v>304</v>
      </c>
      <c r="C3060" t="s">
        <v>305</v>
      </c>
      <c r="D3060" t="str">
        <f>HYPERLINK("http://service.sap.com/sap/support/notes/1571949","1571949")</f>
        <v>1571949</v>
      </c>
      <c r="E3060">
        <v>2</v>
      </c>
      <c r="F3060" t="s">
        <v>3184</v>
      </c>
    </row>
    <row r="3061" spans="1:6" x14ac:dyDescent="0.25">
      <c r="A3061" t="s">
        <v>3366</v>
      </c>
      <c r="B3061" t="s">
        <v>304</v>
      </c>
      <c r="C3061" t="s">
        <v>305</v>
      </c>
      <c r="D3061" t="str">
        <f>HYPERLINK("http://service.sap.com/sap/support/notes/1572472","1572472")</f>
        <v>1572472</v>
      </c>
      <c r="E3061">
        <v>4</v>
      </c>
      <c r="F3061" t="s">
        <v>3185</v>
      </c>
    </row>
    <row r="3062" spans="1:6" x14ac:dyDescent="0.25">
      <c r="A3062" t="s">
        <v>3366</v>
      </c>
      <c r="B3062" t="s">
        <v>304</v>
      </c>
      <c r="C3062" t="s">
        <v>305</v>
      </c>
      <c r="D3062" t="str">
        <f>HYPERLINK("http://service.sap.com/sap/support/notes/1572895","1572895")</f>
        <v>1572895</v>
      </c>
      <c r="E3062">
        <v>2</v>
      </c>
      <c r="F3062" t="s">
        <v>3186</v>
      </c>
    </row>
    <row r="3063" spans="1:6" x14ac:dyDescent="0.25">
      <c r="A3063" t="s">
        <v>3366</v>
      </c>
      <c r="B3063" t="s">
        <v>304</v>
      </c>
      <c r="C3063" t="s">
        <v>305</v>
      </c>
      <c r="D3063" t="str">
        <f>HYPERLINK("http://service.sap.com/sap/support/notes/1573334","1573334")</f>
        <v>1573334</v>
      </c>
      <c r="E3063">
        <v>2</v>
      </c>
      <c r="F3063" t="s">
        <v>3187</v>
      </c>
    </row>
    <row r="3064" spans="1:6" x14ac:dyDescent="0.25">
      <c r="A3064" t="s">
        <v>3366</v>
      </c>
      <c r="B3064" t="s">
        <v>304</v>
      </c>
      <c r="C3064" t="s">
        <v>305</v>
      </c>
      <c r="D3064" t="str">
        <f>HYPERLINK("http://service.sap.com/sap/support/notes/1573903","1573903")</f>
        <v>1573903</v>
      </c>
      <c r="E3064">
        <v>3</v>
      </c>
      <c r="F3064" t="s">
        <v>3188</v>
      </c>
    </row>
    <row r="3065" spans="1:6" x14ac:dyDescent="0.25">
      <c r="A3065" t="s">
        <v>3366</v>
      </c>
      <c r="B3065" t="s">
        <v>304</v>
      </c>
      <c r="C3065" t="s">
        <v>305</v>
      </c>
      <c r="D3065" t="str">
        <f>HYPERLINK("http://service.sap.com/sap/support/notes/1574046","1574046")</f>
        <v>1574046</v>
      </c>
      <c r="E3065">
        <v>2</v>
      </c>
      <c r="F3065" t="s">
        <v>3189</v>
      </c>
    </row>
    <row r="3066" spans="1:6" x14ac:dyDescent="0.25">
      <c r="A3066" t="s">
        <v>3366</v>
      </c>
      <c r="B3066" t="s">
        <v>304</v>
      </c>
      <c r="C3066" t="s">
        <v>305</v>
      </c>
      <c r="D3066" t="str">
        <f>HYPERLINK("http://service.sap.com/sap/support/notes/1574497","1574497")</f>
        <v>1574497</v>
      </c>
      <c r="E3066">
        <v>1</v>
      </c>
      <c r="F3066" t="s">
        <v>3190</v>
      </c>
    </row>
    <row r="3067" spans="1:6" x14ac:dyDescent="0.25">
      <c r="A3067" t="s">
        <v>3366</v>
      </c>
      <c r="B3067" t="s">
        <v>304</v>
      </c>
      <c r="C3067" t="s">
        <v>305</v>
      </c>
      <c r="D3067" t="str">
        <f>HYPERLINK("http://service.sap.com/sap/support/notes/1575375","1575375")</f>
        <v>1575375</v>
      </c>
      <c r="E3067">
        <v>3</v>
      </c>
      <c r="F3067" t="s">
        <v>3191</v>
      </c>
    </row>
    <row r="3068" spans="1:6" x14ac:dyDescent="0.25">
      <c r="A3068" t="s">
        <v>3366</v>
      </c>
      <c r="B3068" t="s">
        <v>304</v>
      </c>
      <c r="C3068" t="s">
        <v>305</v>
      </c>
      <c r="D3068" t="str">
        <f>HYPERLINK("http://service.sap.com/sap/support/notes/1575424","1575424")</f>
        <v>1575424</v>
      </c>
      <c r="E3068">
        <v>2</v>
      </c>
      <c r="F3068" t="s">
        <v>3192</v>
      </c>
    </row>
    <row r="3069" spans="1:6" x14ac:dyDescent="0.25">
      <c r="A3069" t="s">
        <v>3366</v>
      </c>
      <c r="B3069" t="s">
        <v>304</v>
      </c>
      <c r="C3069" t="s">
        <v>305</v>
      </c>
      <c r="D3069" t="str">
        <f>HYPERLINK("http://service.sap.com/sap/support/notes/1575516","1575516")</f>
        <v>1575516</v>
      </c>
      <c r="E3069">
        <v>2</v>
      </c>
      <c r="F3069" t="s">
        <v>3193</v>
      </c>
    </row>
    <row r="3070" spans="1:6" x14ac:dyDescent="0.25">
      <c r="A3070" t="s">
        <v>3366</v>
      </c>
      <c r="B3070" t="s">
        <v>304</v>
      </c>
      <c r="C3070" t="s">
        <v>305</v>
      </c>
      <c r="D3070" t="str">
        <f>HYPERLINK("http://service.sap.com/sap/support/notes/1576339","1576339")</f>
        <v>1576339</v>
      </c>
      <c r="E3070">
        <v>2</v>
      </c>
      <c r="F3070" t="s">
        <v>3194</v>
      </c>
    </row>
    <row r="3071" spans="1:6" x14ac:dyDescent="0.25">
      <c r="A3071" t="s">
        <v>3366</v>
      </c>
      <c r="B3071" t="s">
        <v>324</v>
      </c>
      <c r="C3071" t="s">
        <v>55</v>
      </c>
      <c r="D3071" t="str">
        <f>HYPERLINK("http://service.sap.com/sap/support/notes/1553565","1553565")</f>
        <v>1553565</v>
      </c>
      <c r="E3071">
        <v>5</v>
      </c>
      <c r="F3071" t="s">
        <v>3195</v>
      </c>
    </row>
    <row r="3072" spans="1:6" x14ac:dyDescent="0.25">
      <c r="A3072" t="s">
        <v>3366</v>
      </c>
      <c r="B3072" t="s">
        <v>324</v>
      </c>
      <c r="C3072" t="s">
        <v>55</v>
      </c>
      <c r="D3072" t="str">
        <f>HYPERLINK("http://service.sap.com/sap/support/notes/1564804","1564804")</f>
        <v>1564804</v>
      </c>
      <c r="E3072">
        <v>2</v>
      </c>
      <c r="F3072" t="s">
        <v>3196</v>
      </c>
    </row>
    <row r="3073" spans="1:6" x14ac:dyDescent="0.25">
      <c r="A3073" t="s">
        <v>3366</v>
      </c>
      <c r="B3073" t="s">
        <v>324</v>
      </c>
      <c r="C3073" t="s">
        <v>55</v>
      </c>
      <c r="D3073" t="str">
        <f>HYPERLINK("http://service.sap.com/sap/support/notes/1570663","1570663")</f>
        <v>1570663</v>
      </c>
      <c r="E3073">
        <v>2</v>
      </c>
      <c r="F3073" t="s">
        <v>3197</v>
      </c>
    </row>
    <row r="3074" spans="1:6" x14ac:dyDescent="0.25">
      <c r="A3074" t="s">
        <v>3366</v>
      </c>
      <c r="B3074" t="s">
        <v>324</v>
      </c>
      <c r="C3074" t="s">
        <v>55</v>
      </c>
      <c r="D3074" t="str">
        <f>HYPERLINK("http://service.sap.com/sap/support/notes/1573332","1573332")</f>
        <v>1573332</v>
      </c>
      <c r="E3074">
        <v>3</v>
      </c>
      <c r="F3074" t="s">
        <v>3198</v>
      </c>
    </row>
    <row r="3075" spans="1:6" x14ac:dyDescent="0.25">
      <c r="A3075" t="s">
        <v>3366</v>
      </c>
      <c r="B3075" t="s">
        <v>324</v>
      </c>
      <c r="C3075" t="s">
        <v>55</v>
      </c>
      <c r="D3075" t="str">
        <f>HYPERLINK("http://service.sap.com/sap/support/notes/1576965","1576965")</f>
        <v>1576965</v>
      </c>
      <c r="E3075">
        <v>2</v>
      </c>
      <c r="F3075" t="s">
        <v>3199</v>
      </c>
    </row>
    <row r="3076" spans="1:6" x14ac:dyDescent="0.25">
      <c r="A3076" t="s">
        <v>3366</v>
      </c>
      <c r="B3076" t="s">
        <v>324</v>
      </c>
      <c r="C3076" t="s">
        <v>55</v>
      </c>
      <c r="D3076" t="str">
        <f>HYPERLINK("http://service.sap.com/sap/support/notes/1581474","1581474")</f>
        <v>1581474</v>
      </c>
      <c r="E3076">
        <v>1</v>
      </c>
      <c r="F3076" t="s">
        <v>3200</v>
      </c>
    </row>
    <row r="3077" spans="1:6" x14ac:dyDescent="0.25">
      <c r="A3077" t="s">
        <v>3366</v>
      </c>
      <c r="B3077" t="s">
        <v>328</v>
      </c>
      <c r="C3077" t="s">
        <v>58</v>
      </c>
      <c r="D3077" t="str">
        <f>HYPERLINK("http://service.sap.com/sap/support/notes/1558819","1558819")</f>
        <v>1558819</v>
      </c>
      <c r="E3077">
        <v>4</v>
      </c>
      <c r="F3077" t="s">
        <v>2773</v>
      </c>
    </row>
    <row r="3078" spans="1:6" x14ac:dyDescent="0.25">
      <c r="A3078" t="s">
        <v>3366</v>
      </c>
      <c r="B3078" t="s">
        <v>328</v>
      </c>
      <c r="C3078" t="s">
        <v>58</v>
      </c>
      <c r="D3078" t="str">
        <f>HYPERLINK("http://service.sap.com/sap/support/notes/1564665","1564665")</f>
        <v>1564665</v>
      </c>
      <c r="E3078">
        <v>4</v>
      </c>
      <c r="F3078" t="s">
        <v>2780</v>
      </c>
    </row>
    <row r="3079" spans="1:6" x14ac:dyDescent="0.25">
      <c r="A3079" t="s">
        <v>3366</v>
      </c>
      <c r="B3079" t="s">
        <v>328</v>
      </c>
      <c r="C3079" t="s">
        <v>58</v>
      </c>
      <c r="D3079" t="str">
        <f>HYPERLINK("http://service.sap.com/sap/support/notes/1569632","1569632")</f>
        <v>1569632</v>
      </c>
      <c r="E3079">
        <v>3</v>
      </c>
      <c r="F3079" t="s">
        <v>3201</v>
      </c>
    </row>
    <row r="3080" spans="1:6" x14ac:dyDescent="0.25">
      <c r="A3080" t="s">
        <v>3366</v>
      </c>
      <c r="B3080" t="s">
        <v>328</v>
      </c>
      <c r="C3080" t="s">
        <v>58</v>
      </c>
      <c r="D3080" t="str">
        <f>HYPERLINK("http://service.sap.com/sap/support/notes/1571219","1571219")</f>
        <v>1571219</v>
      </c>
      <c r="E3080">
        <v>2</v>
      </c>
      <c r="F3080" t="s">
        <v>3202</v>
      </c>
    </row>
    <row r="3081" spans="1:6" x14ac:dyDescent="0.25">
      <c r="A3081" t="s">
        <v>3366</v>
      </c>
      <c r="B3081" t="s">
        <v>328</v>
      </c>
      <c r="C3081" t="s">
        <v>58</v>
      </c>
      <c r="D3081" t="str">
        <f>HYPERLINK("http://service.sap.com/sap/support/notes/1571818","1571818")</f>
        <v>1571818</v>
      </c>
      <c r="E3081">
        <v>1</v>
      </c>
      <c r="F3081" t="s">
        <v>3203</v>
      </c>
    </row>
    <row r="3082" spans="1:6" x14ac:dyDescent="0.25">
      <c r="A3082" t="s">
        <v>3366</v>
      </c>
      <c r="B3082" t="s">
        <v>328</v>
      </c>
      <c r="C3082" t="s">
        <v>58</v>
      </c>
      <c r="D3082" t="str">
        <f>HYPERLINK("http://service.sap.com/sap/support/notes/1572245","1572245")</f>
        <v>1572245</v>
      </c>
      <c r="E3082">
        <v>1</v>
      </c>
      <c r="F3082" t="s">
        <v>3204</v>
      </c>
    </row>
    <row r="3083" spans="1:6" x14ac:dyDescent="0.25">
      <c r="A3083" t="s">
        <v>3366</v>
      </c>
      <c r="B3083" t="s">
        <v>328</v>
      </c>
      <c r="C3083" t="s">
        <v>58</v>
      </c>
      <c r="D3083" t="str">
        <f>HYPERLINK("http://service.sap.com/sap/support/notes/1577962","1577962")</f>
        <v>1577962</v>
      </c>
      <c r="E3083">
        <v>1</v>
      </c>
      <c r="F3083" t="s">
        <v>3205</v>
      </c>
    </row>
    <row r="3084" spans="1:6" x14ac:dyDescent="0.25">
      <c r="A3084" t="s">
        <v>3366</v>
      </c>
      <c r="B3084" t="s">
        <v>343</v>
      </c>
      <c r="C3084" t="s">
        <v>344</v>
      </c>
      <c r="D3084" t="str">
        <f>HYPERLINK("http://service.sap.com/sap/support/notes/1428418","1428418")</f>
        <v>1428418</v>
      </c>
      <c r="E3084">
        <v>3</v>
      </c>
      <c r="F3084" t="s">
        <v>3206</v>
      </c>
    </row>
    <row r="3085" spans="1:6" x14ac:dyDescent="0.25">
      <c r="A3085" t="s">
        <v>3366</v>
      </c>
      <c r="B3085" t="s">
        <v>343</v>
      </c>
      <c r="C3085" t="s">
        <v>344</v>
      </c>
      <c r="D3085" t="str">
        <f>HYPERLINK("http://service.sap.com/sap/support/notes/1570828","1570828")</f>
        <v>1570828</v>
      </c>
      <c r="E3085">
        <v>1</v>
      </c>
      <c r="F3085" t="s">
        <v>3207</v>
      </c>
    </row>
    <row r="3086" spans="1:6" x14ac:dyDescent="0.25">
      <c r="A3086" t="s">
        <v>3366</v>
      </c>
      <c r="B3086" t="s">
        <v>343</v>
      </c>
      <c r="C3086" t="s">
        <v>344</v>
      </c>
      <c r="D3086" t="str">
        <f>HYPERLINK("http://service.sap.com/sap/support/notes/1573564","1573564")</f>
        <v>1573564</v>
      </c>
      <c r="E3086">
        <v>1</v>
      </c>
      <c r="F3086" t="s">
        <v>3208</v>
      </c>
    </row>
    <row r="3087" spans="1:6" x14ac:dyDescent="0.25">
      <c r="A3087" t="s">
        <v>3366</v>
      </c>
      <c r="B3087" t="s">
        <v>343</v>
      </c>
      <c r="C3087" t="s">
        <v>344</v>
      </c>
      <c r="D3087" t="str">
        <f>HYPERLINK("http://service.sap.com/sap/support/notes/1573572","1573572")</f>
        <v>1573572</v>
      </c>
      <c r="E3087">
        <v>1</v>
      </c>
      <c r="F3087" t="s">
        <v>3209</v>
      </c>
    </row>
    <row r="3088" spans="1:6" x14ac:dyDescent="0.25">
      <c r="A3088" t="s">
        <v>3366</v>
      </c>
      <c r="B3088" t="s">
        <v>2021</v>
      </c>
      <c r="C3088" t="s">
        <v>1010</v>
      </c>
    </row>
    <row r="3089" spans="1:6" x14ac:dyDescent="0.25">
      <c r="A3089" t="s">
        <v>3366</v>
      </c>
      <c r="B3089" t="s">
        <v>2022</v>
      </c>
      <c r="C3089" t="s">
        <v>2023</v>
      </c>
      <c r="D3089" t="str">
        <f>HYPERLINK("http://service.sap.com/sap/support/notes/1562365","1562365")</f>
        <v>1562365</v>
      </c>
      <c r="E3089">
        <v>2</v>
      </c>
      <c r="F3089" t="s">
        <v>3210</v>
      </c>
    </row>
    <row r="3090" spans="1:6" x14ac:dyDescent="0.25">
      <c r="A3090" t="s">
        <v>3366</v>
      </c>
      <c r="B3090" t="s">
        <v>2022</v>
      </c>
      <c r="C3090" t="s">
        <v>2023</v>
      </c>
      <c r="D3090" t="str">
        <f>HYPERLINK("http://service.sap.com/sap/support/notes/1562898","1562898")</f>
        <v>1562898</v>
      </c>
      <c r="E3090">
        <v>1</v>
      </c>
      <c r="F3090" t="s">
        <v>3211</v>
      </c>
    </row>
    <row r="3091" spans="1:6" x14ac:dyDescent="0.25">
      <c r="A3091" t="s">
        <v>3366</v>
      </c>
      <c r="B3091" t="s">
        <v>2022</v>
      </c>
      <c r="C3091" t="s">
        <v>2023</v>
      </c>
      <c r="D3091" t="str">
        <f>HYPERLINK("http://service.sap.com/sap/support/notes/1569129","1569129")</f>
        <v>1569129</v>
      </c>
      <c r="E3091">
        <v>1</v>
      </c>
      <c r="F3091" t="s">
        <v>3212</v>
      </c>
    </row>
    <row r="3092" spans="1:6" x14ac:dyDescent="0.25">
      <c r="A3092" t="s">
        <v>3366</v>
      </c>
      <c r="B3092" t="s">
        <v>2022</v>
      </c>
      <c r="C3092" t="s">
        <v>2023</v>
      </c>
      <c r="D3092" t="str">
        <f>HYPERLINK("http://service.sap.com/sap/support/notes/1573159","1573159")</f>
        <v>1573159</v>
      </c>
      <c r="E3092">
        <v>1</v>
      </c>
      <c r="F3092" t="s">
        <v>3213</v>
      </c>
    </row>
    <row r="3093" spans="1:6" x14ac:dyDescent="0.25">
      <c r="A3093" t="s">
        <v>3366</v>
      </c>
      <c r="B3093" t="s">
        <v>1121</v>
      </c>
      <c r="C3093" t="s">
        <v>251</v>
      </c>
    </row>
    <row r="3094" spans="1:6" x14ac:dyDescent="0.25">
      <c r="A3094" t="s">
        <v>3366</v>
      </c>
      <c r="B3094" t="s">
        <v>2793</v>
      </c>
      <c r="C3094" t="s">
        <v>265</v>
      </c>
      <c r="D3094" t="str">
        <f>HYPERLINK("http://service.sap.com/sap/support/notes/1567800","1567800")</f>
        <v>1567800</v>
      </c>
      <c r="E3094">
        <v>1</v>
      </c>
      <c r="F3094" t="s">
        <v>3214</v>
      </c>
    </row>
    <row r="3095" spans="1:6" x14ac:dyDescent="0.25">
      <c r="A3095" t="s">
        <v>3366</v>
      </c>
      <c r="B3095" t="s">
        <v>347</v>
      </c>
      <c r="C3095" t="s">
        <v>153</v>
      </c>
      <c r="D3095" t="str">
        <f>HYPERLINK("http://service.sap.com/sap/support/notes/1519770","1519770")</f>
        <v>1519770</v>
      </c>
      <c r="E3095">
        <v>2</v>
      </c>
      <c r="F3095" t="s">
        <v>3215</v>
      </c>
    </row>
    <row r="3096" spans="1:6" x14ac:dyDescent="0.25">
      <c r="A3096" t="s">
        <v>3366</v>
      </c>
      <c r="B3096" t="s">
        <v>347</v>
      </c>
      <c r="C3096" t="s">
        <v>153</v>
      </c>
      <c r="D3096" t="str">
        <f>HYPERLINK("http://service.sap.com/sap/support/notes/1569289","1569289")</f>
        <v>1569289</v>
      </c>
      <c r="E3096">
        <v>2</v>
      </c>
      <c r="F3096" t="s">
        <v>3216</v>
      </c>
    </row>
    <row r="3097" spans="1:6" x14ac:dyDescent="0.25">
      <c r="A3097" t="s">
        <v>3366</v>
      </c>
      <c r="B3097" t="s">
        <v>349</v>
      </c>
      <c r="C3097" t="s">
        <v>299</v>
      </c>
    </row>
    <row r="3098" spans="1:6" x14ac:dyDescent="0.25">
      <c r="A3098" t="s">
        <v>3366</v>
      </c>
      <c r="B3098" t="s">
        <v>350</v>
      </c>
      <c r="C3098" t="s">
        <v>351</v>
      </c>
      <c r="D3098" t="str">
        <f>HYPERLINK("http://service.sap.com/sap/support/notes/1490635","1490635")</f>
        <v>1490635</v>
      </c>
      <c r="E3098">
        <v>2</v>
      </c>
      <c r="F3098" t="s">
        <v>3217</v>
      </c>
    </row>
    <row r="3099" spans="1:6" x14ac:dyDescent="0.25">
      <c r="A3099" t="s">
        <v>3366</v>
      </c>
      <c r="B3099" t="s">
        <v>350</v>
      </c>
      <c r="C3099" t="s">
        <v>351</v>
      </c>
      <c r="D3099" t="str">
        <f>HYPERLINK("http://service.sap.com/sap/support/notes/1568933","1568933")</f>
        <v>1568933</v>
      </c>
      <c r="E3099">
        <v>1</v>
      </c>
      <c r="F3099" t="s">
        <v>3218</v>
      </c>
    </row>
    <row r="3100" spans="1:6" x14ac:dyDescent="0.25">
      <c r="A3100" t="s">
        <v>3366</v>
      </c>
      <c r="B3100" t="s">
        <v>350</v>
      </c>
      <c r="C3100" t="s">
        <v>351</v>
      </c>
      <c r="D3100" t="str">
        <f>HYPERLINK("http://service.sap.com/sap/support/notes/1570624","1570624")</f>
        <v>1570624</v>
      </c>
      <c r="E3100">
        <v>4</v>
      </c>
      <c r="F3100" t="s">
        <v>3219</v>
      </c>
    </row>
    <row r="3101" spans="1:6" x14ac:dyDescent="0.25">
      <c r="A3101" t="s">
        <v>3366</v>
      </c>
      <c r="B3101" t="s">
        <v>350</v>
      </c>
      <c r="C3101" t="s">
        <v>351</v>
      </c>
      <c r="D3101" t="str">
        <f>HYPERLINK("http://service.sap.com/sap/support/notes/1570882","1570882")</f>
        <v>1570882</v>
      </c>
      <c r="E3101">
        <v>3</v>
      </c>
      <c r="F3101" t="s">
        <v>3220</v>
      </c>
    </row>
    <row r="3102" spans="1:6" x14ac:dyDescent="0.25">
      <c r="A3102" t="s">
        <v>3366</v>
      </c>
      <c r="B3102" t="s">
        <v>350</v>
      </c>
      <c r="C3102" t="s">
        <v>351</v>
      </c>
      <c r="D3102" t="str">
        <f>HYPERLINK("http://service.sap.com/sap/support/notes/1574552","1574552")</f>
        <v>1574552</v>
      </c>
      <c r="E3102">
        <v>1</v>
      </c>
      <c r="F3102" t="s">
        <v>3221</v>
      </c>
    </row>
    <row r="3103" spans="1:6" x14ac:dyDescent="0.25">
      <c r="A3103" t="s">
        <v>3366</v>
      </c>
      <c r="B3103" t="s">
        <v>350</v>
      </c>
      <c r="C3103" t="s">
        <v>351</v>
      </c>
      <c r="D3103" t="str">
        <f>HYPERLINK("http://service.sap.com/sap/support/notes/1579167","1579167")</f>
        <v>1579167</v>
      </c>
      <c r="E3103">
        <v>1</v>
      </c>
      <c r="F3103" t="s">
        <v>3222</v>
      </c>
    </row>
    <row r="3104" spans="1:6" x14ac:dyDescent="0.25">
      <c r="A3104" t="s">
        <v>3366</v>
      </c>
      <c r="B3104" t="s">
        <v>353</v>
      </c>
      <c r="C3104" t="s">
        <v>354</v>
      </c>
      <c r="D3104" t="str">
        <f>HYPERLINK("http://service.sap.com/sap/support/notes/1580668","1580668")</f>
        <v>1580668</v>
      </c>
      <c r="E3104">
        <v>1</v>
      </c>
      <c r="F3104" t="s">
        <v>3223</v>
      </c>
    </row>
    <row r="3105" spans="1:6" x14ac:dyDescent="0.25">
      <c r="A3105" t="s">
        <v>3366</v>
      </c>
      <c r="B3105" t="s">
        <v>353</v>
      </c>
      <c r="C3105" t="s">
        <v>354</v>
      </c>
      <c r="D3105" t="str">
        <f>HYPERLINK("http://service.sap.com/sap/support/notes/1581588","1581588")</f>
        <v>1581588</v>
      </c>
      <c r="E3105">
        <v>1</v>
      </c>
      <c r="F3105" t="s">
        <v>3224</v>
      </c>
    </row>
    <row r="3106" spans="1:6" x14ac:dyDescent="0.25">
      <c r="A3106" t="s">
        <v>3366</v>
      </c>
      <c r="B3106" t="s">
        <v>358</v>
      </c>
      <c r="C3106" t="s">
        <v>359</v>
      </c>
      <c r="D3106" t="str">
        <f>HYPERLINK("http://service.sap.com/sap/support/notes/1568400","1568400")</f>
        <v>1568400</v>
      </c>
      <c r="E3106">
        <v>1</v>
      </c>
      <c r="F3106" t="s">
        <v>3225</v>
      </c>
    </row>
    <row r="3107" spans="1:6" x14ac:dyDescent="0.25">
      <c r="A3107" t="s">
        <v>3366</v>
      </c>
      <c r="B3107" t="s">
        <v>358</v>
      </c>
      <c r="C3107" t="s">
        <v>359</v>
      </c>
      <c r="D3107" t="str">
        <f>HYPERLINK("http://service.sap.com/sap/support/notes/1576136","1576136")</f>
        <v>1576136</v>
      </c>
      <c r="E3107">
        <v>1</v>
      </c>
      <c r="F3107" t="s">
        <v>3226</v>
      </c>
    </row>
    <row r="3108" spans="1:6" x14ac:dyDescent="0.25">
      <c r="A3108" t="s">
        <v>3366</v>
      </c>
      <c r="B3108" t="s">
        <v>358</v>
      </c>
      <c r="C3108" t="s">
        <v>359</v>
      </c>
      <c r="D3108" t="str">
        <f>HYPERLINK("http://service.sap.com/sap/support/notes/1579881","1579881")</f>
        <v>1579881</v>
      </c>
      <c r="E3108">
        <v>1</v>
      </c>
      <c r="F3108" t="s">
        <v>3227</v>
      </c>
    </row>
    <row r="3109" spans="1:6" x14ac:dyDescent="0.25">
      <c r="A3109" t="s">
        <v>3366</v>
      </c>
      <c r="B3109" t="s">
        <v>363</v>
      </c>
      <c r="C3109" t="s">
        <v>74</v>
      </c>
      <c r="D3109" t="str">
        <f>HYPERLINK("http://service.sap.com/sap/support/notes/1337155","1337155")</f>
        <v>1337155</v>
      </c>
      <c r="E3109">
        <v>1</v>
      </c>
      <c r="F3109" t="s">
        <v>2437</v>
      </c>
    </row>
    <row r="3110" spans="1:6" x14ac:dyDescent="0.25">
      <c r="A3110" t="s">
        <v>3366</v>
      </c>
      <c r="B3110" t="s">
        <v>363</v>
      </c>
      <c r="C3110" t="s">
        <v>74</v>
      </c>
      <c r="D3110" t="str">
        <f>HYPERLINK("http://service.sap.com/sap/support/notes/1567077","1567077")</f>
        <v>1567077</v>
      </c>
      <c r="E3110">
        <v>2</v>
      </c>
      <c r="F3110" t="s">
        <v>3228</v>
      </c>
    </row>
    <row r="3111" spans="1:6" x14ac:dyDescent="0.25">
      <c r="A3111" t="s">
        <v>3366</v>
      </c>
      <c r="B3111" t="s">
        <v>363</v>
      </c>
      <c r="C3111" t="s">
        <v>74</v>
      </c>
      <c r="D3111" t="str">
        <f>HYPERLINK("http://service.sap.com/sap/support/notes/1571048","1571048")</f>
        <v>1571048</v>
      </c>
      <c r="E3111">
        <v>5</v>
      </c>
      <c r="F3111" t="s">
        <v>3229</v>
      </c>
    </row>
    <row r="3112" spans="1:6" x14ac:dyDescent="0.25">
      <c r="A3112" t="s">
        <v>3366</v>
      </c>
      <c r="B3112" t="s">
        <v>363</v>
      </c>
      <c r="C3112" t="s">
        <v>74</v>
      </c>
      <c r="D3112" t="str">
        <f>HYPERLINK("http://service.sap.com/sap/support/notes/1572100","1572100")</f>
        <v>1572100</v>
      </c>
      <c r="E3112">
        <v>2</v>
      </c>
      <c r="F3112" t="s">
        <v>3230</v>
      </c>
    </row>
    <row r="3113" spans="1:6" x14ac:dyDescent="0.25">
      <c r="A3113" t="s">
        <v>3366</v>
      </c>
      <c r="B3113" t="s">
        <v>363</v>
      </c>
      <c r="C3113" t="s">
        <v>74</v>
      </c>
      <c r="D3113" t="str">
        <f>HYPERLINK("http://service.sap.com/sap/support/notes/1572614","1572614")</f>
        <v>1572614</v>
      </c>
      <c r="E3113">
        <v>5</v>
      </c>
      <c r="F3113" t="s">
        <v>3231</v>
      </c>
    </row>
    <row r="3114" spans="1:6" x14ac:dyDescent="0.25">
      <c r="A3114" t="s">
        <v>3366</v>
      </c>
      <c r="B3114" t="s">
        <v>363</v>
      </c>
      <c r="C3114" t="s">
        <v>74</v>
      </c>
      <c r="D3114" t="str">
        <f>HYPERLINK("http://service.sap.com/sap/support/notes/1573538","1573538")</f>
        <v>1573538</v>
      </c>
      <c r="E3114">
        <v>5</v>
      </c>
      <c r="F3114" t="s">
        <v>3232</v>
      </c>
    </row>
    <row r="3115" spans="1:6" x14ac:dyDescent="0.25">
      <c r="A3115" t="s">
        <v>3366</v>
      </c>
      <c r="B3115" t="s">
        <v>363</v>
      </c>
      <c r="C3115" t="s">
        <v>74</v>
      </c>
      <c r="D3115" t="str">
        <f>HYPERLINK("http://service.sap.com/sap/support/notes/1575090","1575090")</f>
        <v>1575090</v>
      </c>
      <c r="E3115">
        <v>2</v>
      </c>
      <c r="F3115" t="s">
        <v>3233</v>
      </c>
    </row>
    <row r="3116" spans="1:6" x14ac:dyDescent="0.25">
      <c r="A3116" t="s">
        <v>3366</v>
      </c>
      <c r="B3116" t="s">
        <v>363</v>
      </c>
      <c r="C3116" t="s">
        <v>74</v>
      </c>
      <c r="D3116" t="str">
        <f>HYPERLINK("http://service.sap.com/sap/support/notes/1575366","1575366")</f>
        <v>1575366</v>
      </c>
      <c r="E3116">
        <v>1</v>
      </c>
      <c r="F3116" t="s">
        <v>3234</v>
      </c>
    </row>
    <row r="3117" spans="1:6" x14ac:dyDescent="0.25">
      <c r="A3117" t="s">
        <v>3366</v>
      </c>
      <c r="B3117" t="s">
        <v>363</v>
      </c>
      <c r="C3117" t="s">
        <v>74</v>
      </c>
      <c r="D3117" t="str">
        <f>HYPERLINK("http://service.sap.com/sap/support/notes/1575987","1575987")</f>
        <v>1575987</v>
      </c>
      <c r="E3117">
        <v>2</v>
      </c>
      <c r="F3117" t="s">
        <v>3235</v>
      </c>
    </row>
    <row r="3118" spans="1:6" x14ac:dyDescent="0.25">
      <c r="A3118" t="s">
        <v>3366</v>
      </c>
      <c r="B3118" t="s">
        <v>363</v>
      </c>
      <c r="C3118" t="s">
        <v>74</v>
      </c>
      <c r="D3118" t="str">
        <f>HYPERLINK("http://service.sap.com/sap/support/notes/1576504","1576504")</f>
        <v>1576504</v>
      </c>
      <c r="E3118">
        <v>4</v>
      </c>
      <c r="F3118" t="s">
        <v>3236</v>
      </c>
    </row>
    <row r="3119" spans="1:6" x14ac:dyDescent="0.25">
      <c r="A3119" t="s">
        <v>3366</v>
      </c>
      <c r="B3119" t="s">
        <v>363</v>
      </c>
      <c r="C3119" t="s">
        <v>74</v>
      </c>
      <c r="D3119" t="str">
        <f>HYPERLINK("http://service.sap.com/sap/support/notes/1580476","1580476")</f>
        <v>1580476</v>
      </c>
      <c r="E3119">
        <v>4</v>
      </c>
      <c r="F3119" t="s">
        <v>3237</v>
      </c>
    </row>
    <row r="3120" spans="1:6" x14ac:dyDescent="0.25">
      <c r="A3120" t="s">
        <v>3366</v>
      </c>
      <c r="B3120" t="s">
        <v>374</v>
      </c>
      <c r="C3120" t="s">
        <v>77</v>
      </c>
      <c r="D3120" t="str">
        <f>HYPERLINK("http://service.sap.com/sap/support/notes/1552128","1552128")</f>
        <v>1552128</v>
      </c>
      <c r="E3120">
        <v>4</v>
      </c>
      <c r="F3120" t="s">
        <v>3238</v>
      </c>
    </row>
    <row r="3121" spans="1:6" x14ac:dyDescent="0.25">
      <c r="A3121" t="s">
        <v>3366</v>
      </c>
      <c r="B3121" t="s">
        <v>374</v>
      </c>
      <c r="C3121" t="s">
        <v>77</v>
      </c>
      <c r="D3121" t="str">
        <f>HYPERLINK("http://service.sap.com/sap/support/notes/1556062","1556062")</f>
        <v>1556062</v>
      </c>
      <c r="E3121">
        <v>1</v>
      </c>
      <c r="F3121" t="s">
        <v>3239</v>
      </c>
    </row>
    <row r="3122" spans="1:6" x14ac:dyDescent="0.25">
      <c r="A3122" t="s">
        <v>3366</v>
      </c>
      <c r="B3122" t="s">
        <v>374</v>
      </c>
      <c r="C3122" t="s">
        <v>77</v>
      </c>
      <c r="D3122" t="str">
        <f>HYPERLINK("http://service.sap.com/sap/support/notes/1556999","1556999")</f>
        <v>1556999</v>
      </c>
      <c r="E3122">
        <v>2</v>
      </c>
      <c r="F3122" t="s">
        <v>3240</v>
      </c>
    </row>
    <row r="3123" spans="1:6" x14ac:dyDescent="0.25">
      <c r="A3123" t="s">
        <v>3366</v>
      </c>
      <c r="B3123" t="s">
        <v>374</v>
      </c>
      <c r="C3123" t="s">
        <v>77</v>
      </c>
      <c r="D3123" t="str">
        <f>HYPERLINK("http://service.sap.com/sap/support/notes/1557006","1557006")</f>
        <v>1557006</v>
      </c>
      <c r="E3123">
        <v>1</v>
      </c>
      <c r="F3123" t="s">
        <v>3241</v>
      </c>
    </row>
    <row r="3124" spans="1:6" x14ac:dyDescent="0.25">
      <c r="A3124" t="s">
        <v>3366</v>
      </c>
      <c r="B3124" t="s">
        <v>374</v>
      </c>
      <c r="C3124" t="s">
        <v>77</v>
      </c>
      <c r="D3124" t="str">
        <f>HYPERLINK("http://service.sap.com/sap/support/notes/1558830","1558830")</f>
        <v>1558830</v>
      </c>
      <c r="E3124">
        <v>3</v>
      </c>
      <c r="F3124" t="s">
        <v>3242</v>
      </c>
    </row>
    <row r="3125" spans="1:6" x14ac:dyDescent="0.25">
      <c r="A3125" t="s">
        <v>3366</v>
      </c>
      <c r="B3125" t="s">
        <v>374</v>
      </c>
      <c r="C3125" t="s">
        <v>77</v>
      </c>
      <c r="D3125" t="str">
        <f>HYPERLINK("http://service.sap.com/sap/support/notes/1560276","1560276")</f>
        <v>1560276</v>
      </c>
      <c r="E3125">
        <v>3</v>
      </c>
      <c r="F3125" t="s">
        <v>3243</v>
      </c>
    </row>
    <row r="3126" spans="1:6" x14ac:dyDescent="0.25">
      <c r="A3126" t="s">
        <v>3366</v>
      </c>
      <c r="B3126" t="s">
        <v>374</v>
      </c>
      <c r="C3126" t="s">
        <v>77</v>
      </c>
      <c r="D3126" t="str">
        <f>HYPERLINK("http://service.sap.com/sap/support/notes/1561314","1561314")</f>
        <v>1561314</v>
      </c>
      <c r="E3126">
        <v>2</v>
      </c>
      <c r="F3126" t="s">
        <v>3244</v>
      </c>
    </row>
    <row r="3127" spans="1:6" x14ac:dyDescent="0.25">
      <c r="A3127" t="s">
        <v>3366</v>
      </c>
      <c r="B3127" t="s">
        <v>374</v>
      </c>
      <c r="C3127" t="s">
        <v>77</v>
      </c>
      <c r="D3127" t="str">
        <f>HYPERLINK("http://service.sap.com/sap/support/notes/1562688","1562688")</f>
        <v>1562688</v>
      </c>
      <c r="E3127">
        <v>3</v>
      </c>
      <c r="F3127" t="s">
        <v>3245</v>
      </c>
    </row>
    <row r="3128" spans="1:6" x14ac:dyDescent="0.25">
      <c r="A3128" t="s">
        <v>3366</v>
      </c>
      <c r="B3128" t="s">
        <v>374</v>
      </c>
      <c r="C3128" t="s">
        <v>77</v>
      </c>
      <c r="D3128" t="str">
        <f>HYPERLINK("http://service.sap.com/sap/support/notes/1565607","1565607")</f>
        <v>1565607</v>
      </c>
      <c r="E3128">
        <v>4</v>
      </c>
      <c r="F3128" t="s">
        <v>3246</v>
      </c>
    </row>
    <row r="3129" spans="1:6" x14ac:dyDescent="0.25">
      <c r="A3129" t="s">
        <v>3366</v>
      </c>
      <c r="B3129" t="s">
        <v>374</v>
      </c>
      <c r="C3129" t="s">
        <v>77</v>
      </c>
      <c r="D3129" t="str">
        <f>HYPERLINK("http://service.sap.com/sap/support/notes/1572510","1572510")</f>
        <v>1572510</v>
      </c>
      <c r="E3129">
        <v>4</v>
      </c>
      <c r="F3129" t="s">
        <v>3247</v>
      </c>
    </row>
    <row r="3130" spans="1:6" x14ac:dyDescent="0.25">
      <c r="A3130" t="s">
        <v>3366</v>
      </c>
      <c r="B3130" t="s">
        <v>374</v>
      </c>
      <c r="C3130" t="s">
        <v>77</v>
      </c>
      <c r="D3130" t="str">
        <f>HYPERLINK("http://service.sap.com/sap/support/notes/1574459","1574459")</f>
        <v>1574459</v>
      </c>
      <c r="E3130">
        <v>3</v>
      </c>
      <c r="F3130" t="s">
        <v>3248</v>
      </c>
    </row>
    <row r="3131" spans="1:6" x14ac:dyDescent="0.25">
      <c r="A3131" t="s">
        <v>3366</v>
      </c>
      <c r="B3131" t="s">
        <v>374</v>
      </c>
      <c r="C3131" t="s">
        <v>77</v>
      </c>
      <c r="D3131" t="str">
        <f>HYPERLINK("http://service.sap.com/sap/support/notes/1576229","1576229")</f>
        <v>1576229</v>
      </c>
      <c r="E3131">
        <v>1</v>
      </c>
      <c r="F3131" t="s">
        <v>3249</v>
      </c>
    </row>
    <row r="3132" spans="1:6" x14ac:dyDescent="0.25">
      <c r="A3132" t="s">
        <v>3366</v>
      </c>
      <c r="B3132" t="s">
        <v>374</v>
      </c>
      <c r="C3132" t="s">
        <v>77</v>
      </c>
      <c r="D3132" t="str">
        <f>HYPERLINK("http://service.sap.com/sap/support/notes/1577736","1577736")</f>
        <v>1577736</v>
      </c>
      <c r="E3132">
        <v>1</v>
      </c>
      <c r="F3132" t="s">
        <v>3250</v>
      </c>
    </row>
    <row r="3133" spans="1:6" x14ac:dyDescent="0.25">
      <c r="A3133" t="s">
        <v>3366</v>
      </c>
      <c r="B3133" t="s">
        <v>374</v>
      </c>
      <c r="C3133" t="s">
        <v>77</v>
      </c>
      <c r="D3133" t="str">
        <f>HYPERLINK("http://service.sap.com/sap/support/notes/1581235","1581235")</f>
        <v>1581235</v>
      </c>
      <c r="E3133">
        <v>1</v>
      </c>
      <c r="F3133" t="s">
        <v>3251</v>
      </c>
    </row>
    <row r="3134" spans="1:6" x14ac:dyDescent="0.25">
      <c r="A3134" t="s">
        <v>3366</v>
      </c>
      <c r="B3134" t="s">
        <v>379</v>
      </c>
      <c r="C3134" t="s">
        <v>80</v>
      </c>
      <c r="D3134" t="str">
        <f>HYPERLINK("http://service.sap.com/sap/support/notes/1571573","1571573")</f>
        <v>1571573</v>
      </c>
      <c r="E3134">
        <v>1</v>
      </c>
      <c r="F3134" t="s">
        <v>3252</v>
      </c>
    </row>
    <row r="3135" spans="1:6" x14ac:dyDescent="0.25">
      <c r="A3135" t="s">
        <v>3366</v>
      </c>
      <c r="B3135" t="s">
        <v>379</v>
      </c>
      <c r="C3135" t="s">
        <v>80</v>
      </c>
      <c r="D3135" t="str">
        <f>HYPERLINK("http://service.sap.com/sap/support/notes/1574587","1574587")</f>
        <v>1574587</v>
      </c>
      <c r="E3135">
        <v>1</v>
      </c>
      <c r="F3135" t="s">
        <v>3253</v>
      </c>
    </row>
    <row r="3136" spans="1:6" x14ac:dyDescent="0.25">
      <c r="A3136" t="s">
        <v>3366</v>
      </c>
      <c r="B3136" t="s">
        <v>379</v>
      </c>
      <c r="C3136" t="s">
        <v>80</v>
      </c>
      <c r="D3136" t="str">
        <f>HYPERLINK("http://service.sap.com/sap/support/notes/1574779","1574779")</f>
        <v>1574779</v>
      </c>
      <c r="E3136">
        <v>2</v>
      </c>
      <c r="F3136" t="s">
        <v>3254</v>
      </c>
    </row>
    <row r="3137" spans="1:6" x14ac:dyDescent="0.25">
      <c r="A3137" t="s">
        <v>3366</v>
      </c>
      <c r="B3137" t="s">
        <v>379</v>
      </c>
      <c r="C3137" t="s">
        <v>80</v>
      </c>
      <c r="D3137" t="str">
        <f>HYPERLINK("http://service.sap.com/sap/support/notes/1575079","1575079")</f>
        <v>1575079</v>
      </c>
      <c r="E3137">
        <v>1</v>
      </c>
      <c r="F3137" t="s">
        <v>3255</v>
      </c>
    </row>
    <row r="3138" spans="1:6" x14ac:dyDescent="0.25">
      <c r="A3138" t="s">
        <v>3366</v>
      </c>
      <c r="B3138" t="s">
        <v>379</v>
      </c>
      <c r="C3138" t="s">
        <v>80</v>
      </c>
      <c r="D3138" t="str">
        <f>HYPERLINK("http://service.sap.com/sap/support/notes/1576871","1576871")</f>
        <v>1576871</v>
      </c>
      <c r="E3138">
        <v>3</v>
      </c>
      <c r="F3138" t="s">
        <v>3256</v>
      </c>
    </row>
    <row r="3139" spans="1:6" x14ac:dyDescent="0.25">
      <c r="A3139" t="s">
        <v>3366</v>
      </c>
      <c r="B3139" t="s">
        <v>379</v>
      </c>
      <c r="C3139" t="s">
        <v>80</v>
      </c>
      <c r="D3139" t="str">
        <f>HYPERLINK("http://service.sap.com/sap/support/notes/1577471","1577471")</f>
        <v>1577471</v>
      </c>
      <c r="E3139">
        <v>1</v>
      </c>
      <c r="F3139" t="s">
        <v>3257</v>
      </c>
    </row>
    <row r="3140" spans="1:6" x14ac:dyDescent="0.25">
      <c r="A3140" t="s">
        <v>3366</v>
      </c>
      <c r="B3140" t="s">
        <v>379</v>
      </c>
      <c r="C3140" t="s">
        <v>80</v>
      </c>
      <c r="D3140" t="str">
        <f>HYPERLINK("http://service.sap.com/sap/support/notes/1578962","1578962")</f>
        <v>1578962</v>
      </c>
      <c r="E3140">
        <v>2</v>
      </c>
      <c r="F3140" t="s">
        <v>3258</v>
      </c>
    </row>
    <row r="3141" spans="1:6" x14ac:dyDescent="0.25">
      <c r="A3141" t="s">
        <v>3366</v>
      </c>
      <c r="B3141" t="s">
        <v>379</v>
      </c>
      <c r="C3141" t="s">
        <v>80</v>
      </c>
      <c r="D3141" t="str">
        <f>HYPERLINK("http://service.sap.com/sap/support/notes/1581017","1581017")</f>
        <v>1581017</v>
      </c>
      <c r="E3141">
        <v>1</v>
      </c>
      <c r="F3141" t="s">
        <v>3259</v>
      </c>
    </row>
    <row r="3142" spans="1:6" x14ac:dyDescent="0.25">
      <c r="A3142" t="s">
        <v>3366</v>
      </c>
      <c r="B3142" t="s">
        <v>379</v>
      </c>
      <c r="C3142" t="s">
        <v>80</v>
      </c>
      <c r="D3142" t="str">
        <f>HYPERLINK("http://service.sap.com/sap/support/notes/1581634","1581634")</f>
        <v>1581634</v>
      </c>
      <c r="E3142">
        <v>1</v>
      </c>
      <c r="F3142" t="s">
        <v>3260</v>
      </c>
    </row>
    <row r="3143" spans="1:6" x14ac:dyDescent="0.25">
      <c r="A3143" t="s">
        <v>3366</v>
      </c>
      <c r="B3143" t="s">
        <v>386</v>
      </c>
      <c r="C3143" t="s">
        <v>299</v>
      </c>
    </row>
    <row r="3144" spans="1:6" x14ac:dyDescent="0.25">
      <c r="A3144" t="s">
        <v>3366</v>
      </c>
      <c r="B3144" t="s">
        <v>3261</v>
      </c>
      <c r="C3144" t="s">
        <v>3262</v>
      </c>
      <c r="D3144" t="str">
        <f>HYPERLINK("http://service.sap.com/sap/support/notes/1571574","1571574")</f>
        <v>1571574</v>
      </c>
      <c r="E3144">
        <v>1</v>
      </c>
      <c r="F3144" t="s">
        <v>3263</v>
      </c>
    </row>
    <row r="3145" spans="1:6" x14ac:dyDescent="0.25">
      <c r="A3145" t="s">
        <v>3366</v>
      </c>
      <c r="B3145" t="s">
        <v>388</v>
      </c>
      <c r="C3145" t="s">
        <v>87</v>
      </c>
      <c r="D3145" t="str">
        <f>HYPERLINK("http://service.sap.com/sap/support/notes/1558928","1558928")</f>
        <v>1558928</v>
      </c>
      <c r="E3145">
        <v>2</v>
      </c>
      <c r="F3145" t="s">
        <v>3264</v>
      </c>
    </row>
    <row r="3146" spans="1:6" x14ac:dyDescent="0.25">
      <c r="A3146" t="s">
        <v>3366</v>
      </c>
      <c r="B3146" t="s">
        <v>388</v>
      </c>
      <c r="C3146" t="s">
        <v>87</v>
      </c>
      <c r="D3146" t="str">
        <f>HYPERLINK("http://service.sap.com/sap/support/notes/1572618","1572618")</f>
        <v>1572618</v>
      </c>
      <c r="E3146">
        <v>1</v>
      </c>
      <c r="F3146" t="s">
        <v>3265</v>
      </c>
    </row>
    <row r="3147" spans="1:6" x14ac:dyDescent="0.25">
      <c r="A3147" t="s">
        <v>3366</v>
      </c>
      <c r="B3147" t="s">
        <v>388</v>
      </c>
      <c r="C3147" t="s">
        <v>87</v>
      </c>
      <c r="D3147" t="str">
        <f>HYPERLINK("http://service.sap.com/sap/support/notes/1574116","1574116")</f>
        <v>1574116</v>
      </c>
      <c r="E3147">
        <v>4</v>
      </c>
      <c r="F3147" t="s">
        <v>3266</v>
      </c>
    </row>
    <row r="3148" spans="1:6" x14ac:dyDescent="0.25">
      <c r="A3148" t="s">
        <v>3366</v>
      </c>
      <c r="B3148" t="s">
        <v>388</v>
      </c>
      <c r="C3148" t="s">
        <v>87</v>
      </c>
      <c r="D3148" t="str">
        <f>HYPERLINK("http://service.sap.com/sap/support/notes/1574144","1574144")</f>
        <v>1574144</v>
      </c>
      <c r="E3148">
        <v>2</v>
      </c>
      <c r="F3148" t="s">
        <v>3267</v>
      </c>
    </row>
    <row r="3149" spans="1:6" x14ac:dyDescent="0.25">
      <c r="A3149" t="s">
        <v>3366</v>
      </c>
      <c r="B3149" t="s">
        <v>388</v>
      </c>
      <c r="C3149" t="s">
        <v>87</v>
      </c>
      <c r="D3149" t="str">
        <f>HYPERLINK("http://service.sap.com/sap/support/notes/1577544","1577544")</f>
        <v>1577544</v>
      </c>
      <c r="E3149">
        <v>2</v>
      </c>
      <c r="F3149" t="s">
        <v>3268</v>
      </c>
    </row>
    <row r="3150" spans="1:6" x14ac:dyDescent="0.25">
      <c r="A3150" t="s">
        <v>3366</v>
      </c>
      <c r="B3150" t="s">
        <v>388</v>
      </c>
      <c r="C3150" t="s">
        <v>87</v>
      </c>
      <c r="D3150" t="str">
        <f>HYPERLINK("http://service.sap.com/sap/support/notes/1578865","1578865")</f>
        <v>1578865</v>
      </c>
      <c r="E3150">
        <v>1</v>
      </c>
      <c r="F3150" t="s">
        <v>3269</v>
      </c>
    </row>
    <row r="3151" spans="1:6" x14ac:dyDescent="0.25">
      <c r="A3151" t="s">
        <v>3366</v>
      </c>
      <c r="B3151" t="s">
        <v>388</v>
      </c>
      <c r="C3151" t="s">
        <v>87</v>
      </c>
      <c r="D3151" t="str">
        <f>HYPERLINK("http://service.sap.com/sap/support/notes/1579406","1579406")</f>
        <v>1579406</v>
      </c>
      <c r="E3151">
        <v>3</v>
      </c>
      <c r="F3151" t="s">
        <v>3270</v>
      </c>
    </row>
    <row r="3152" spans="1:6" x14ac:dyDescent="0.25">
      <c r="A3152" t="s">
        <v>3366</v>
      </c>
      <c r="B3152" t="s">
        <v>388</v>
      </c>
      <c r="C3152" t="s">
        <v>87</v>
      </c>
      <c r="D3152" t="str">
        <f>HYPERLINK("http://service.sap.com/sap/support/notes/1581549","1581549")</f>
        <v>1581549</v>
      </c>
      <c r="E3152">
        <v>1</v>
      </c>
      <c r="F3152" t="s">
        <v>3271</v>
      </c>
    </row>
    <row r="3153" spans="1:6" x14ac:dyDescent="0.25">
      <c r="A3153" t="s">
        <v>3366</v>
      </c>
      <c r="B3153" t="s">
        <v>396</v>
      </c>
      <c r="C3153" t="s">
        <v>397</v>
      </c>
      <c r="D3153" t="str">
        <f>HYPERLINK("http://service.sap.com/sap/support/notes/1575485","1575485")</f>
        <v>1575485</v>
      </c>
      <c r="E3153">
        <v>3</v>
      </c>
      <c r="F3153" t="s">
        <v>3272</v>
      </c>
    </row>
    <row r="3154" spans="1:6" x14ac:dyDescent="0.25">
      <c r="A3154" t="s">
        <v>3366</v>
      </c>
      <c r="B3154" t="s">
        <v>405</v>
      </c>
      <c r="C3154" t="s">
        <v>90</v>
      </c>
      <c r="D3154" t="str">
        <f>HYPERLINK("http://service.sap.com/sap/support/notes/1571241","1571241")</f>
        <v>1571241</v>
      </c>
      <c r="E3154">
        <v>2</v>
      </c>
      <c r="F3154" t="s">
        <v>3273</v>
      </c>
    </row>
    <row r="3155" spans="1:6" x14ac:dyDescent="0.25">
      <c r="A3155" t="s">
        <v>3366</v>
      </c>
      <c r="B3155" t="s">
        <v>405</v>
      </c>
      <c r="C3155" t="s">
        <v>90</v>
      </c>
      <c r="D3155" t="str">
        <f>HYPERLINK("http://service.sap.com/sap/support/notes/1571522","1571522")</f>
        <v>1571522</v>
      </c>
      <c r="E3155">
        <v>3</v>
      </c>
      <c r="F3155" t="s">
        <v>3274</v>
      </c>
    </row>
    <row r="3156" spans="1:6" x14ac:dyDescent="0.25">
      <c r="A3156" t="s">
        <v>3366</v>
      </c>
      <c r="B3156" t="s">
        <v>405</v>
      </c>
      <c r="C3156" t="s">
        <v>90</v>
      </c>
      <c r="D3156" t="str">
        <f>HYPERLINK("http://service.sap.com/sap/support/notes/1572578","1572578")</f>
        <v>1572578</v>
      </c>
      <c r="E3156">
        <v>1</v>
      </c>
      <c r="F3156" t="s">
        <v>3275</v>
      </c>
    </row>
    <row r="3157" spans="1:6" x14ac:dyDescent="0.25">
      <c r="A3157" t="s">
        <v>3366</v>
      </c>
      <c r="B3157" t="s">
        <v>405</v>
      </c>
      <c r="C3157" t="s">
        <v>90</v>
      </c>
      <c r="D3157" t="str">
        <f>HYPERLINK("http://service.sap.com/sap/support/notes/1572582","1572582")</f>
        <v>1572582</v>
      </c>
      <c r="E3157">
        <v>2</v>
      </c>
      <c r="F3157" t="s">
        <v>3276</v>
      </c>
    </row>
    <row r="3158" spans="1:6" x14ac:dyDescent="0.25">
      <c r="A3158" t="s">
        <v>3366</v>
      </c>
      <c r="B3158" t="s">
        <v>405</v>
      </c>
      <c r="C3158" t="s">
        <v>90</v>
      </c>
      <c r="D3158" t="str">
        <f>HYPERLINK("http://service.sap.com/sap/support/notes/1573686","1573686")</f>
        <v>1573686</v>
      </c>
      <c r="E3158">
        <v>2</v>
      </c>
      <c r="F3158" t="s">
        <v>3277</v>
      </c>
    </row>
    <row r="3159" spans="1:6" x14ac:dyDescent="0.25">
      <c r="A3159" t="s">
        <v>3366</v>
      </c>
      <c r="B3159" t="s">
        <v>405</v>
      </c>
      <c r="C3159" t="s">
        <v>90</v>
      </c>
      <c r="D3159" t="str">
        <f>HYPERLINK("http://service.sap.com/sap/support/notes/1574052","1574052")</f>
        <v>1574052</v>
      </c>
      <c r="E3159">
        <v>3</v>
      </c>
      <c r="F3159" t="s">
        <v>3278</v>
      </c>
    </row>
    <row r="3160" spans="1:6" x14ac:dyDescent="0.25">
      <c r="A3160" t="s">
        <v>3366</v>
      </c>
      <c r="B3160" t="s">
        <v>405</v>
      </c>
      <c r="C3160" t="s">
        <v>90</v>
      </c>
      <c r="D3160" t="str">
        <f>HYPERLINK("http://service.sap.com/sap/support/notes/1574229","1574229")</f>
        <v>1574229</v>
      </c>
      <c r="E3160">
        <v>1</v>
      </c>
      <c r="F3160" t="s">
        <v>3279</v>
      </c>
    </row>
    <row r="3161" spans="1:6" x14ac:dyDescent="0.25">
      <c r="A3161" t="s">
        <v>3366</v>
      </c>
      <c r="B3161" t="s">
        <v>405</v>
      </c>
      <c r="C3161" t="s">
        <v>90</v>
      </c>
      <c r="D3161" t="str">
        <f>HYPERLINK("http://service.sap.com/sap/support/notes/1576533","1576533")</f>
        <v>1576533</v>
      </c>
      <c r="E3161">
        <v>1</v>
      </c>
      <c r="F3161" t="s">
        <v>3280</v>
      </c>
    </row>
    <row r="3162" spans="1:6" x14ac:dyDescent="0.25">
      <c r="A3162" t="s">
        <v>3366</v>
      </c>
      <c r="B3162" t="s">
        <v>405</v>
      </c>
      <c r="C3162" t="s">
        <v>90</v>
      </c>
      <c r="D3162" t="str">
        <f>HYPERLINK("http://service.sap.com/sap/support/notes/1576831","1576831")</f>
        <v>1576831</v>
      </c>
      <c r="E3162">
        <v>1</v>
      </c>
      <c r="F3162" t="s">
        <v>3281</v>
      </c>
    </row>
    <row r="3163" spans="1:6" x14ac:dyDescent="0.25">
      <c r="A3163" t="s">
        <v>3366</v>
      </c>
      <c r="B3163" t="s">
        <v>405</v>
      </c>
      <c r="C3163" t="s">
        <v>90</v>
      </c>
      <c r="D3163" t="str">
        <f>HYPERLINK("http://service.sap.com/sap/support/notes/1576946","1576946")</f>
        <v>1576946</v>
      </c>
      <c r="E3163">
        <v>1</v>
      </c>
      <c r="F3163" t="s">
        <v>3282</v>
      </c>
    </row>
    <row r="3164" spans="1:6" x14ac:dyDescent="0.25">
      <c r="A3164" t="s">
        <v>3366</v>
      </c>
      <c r="B3164" t="s">
        <v>411</v>
      </c>
      <c r="C3164" t="s">
        <v>412</v>
      </c>
      <c r="D3164" t="str">
        <f>HYPERLINK("http://service.sap.com/sap/support/notes/1580166","1580166")</f>
        <v>1580166</v>
      </c>
      <c r="E3164">
        <v>1</v>
      </c>
      <c r="F3164" t="s">
        <v>3283</v>
      </c>
    </row>
    <row r="3165" spans="1:6" x14ac:dyDescent="0.25">
      <c r="A3165" t="s">
        <v>3366</v>
      </c>
      <c r="B3165" t="s">
        <v>415</v>
      </c>
      <c r="C3165" t="s">
        <v>416</v>
      </c>
      <c r="D3165" t="str">
        <f>HYPERLINK("http://service.sap.com/sap/support/notes/1251111","1251111")</f>
        <v>1251111</v>
      </c>
      <c r="E3165">
        <v>1</v>
      </c>
      <c r="F3165" t="s">
        <v>3284</v>
      </c>
    </row>
    <row r="3166" spans="1:6" x14ac:dyDescent="0.25">
      <c r="A3166" t="s">
        <v>3366</v>
      </c>
      <c r="B3166" t="s">
        <v>415</v>
      </c>
      <c r="C3166" t="s">
        <v>416</v>
      </c>
      <c r="D3166" t="str">
        <f>HYPERLINK("http://service.sap.com/sap/support/notes/1498080","1498080")</f>
        <v>1498080</v>
      </c>
      <c r="E3166">
        <v>4</v>
      </c>
      <c r="F3166" t="s">
        <v>3285</v>
      </c>
    </row>
    <row r="3167" spans="1:6" x14ac:dyDescent="0.25">
      <c r="A3167" t="s">
        <v>3366</v>
      </c>
      <c r="B3167" t="s">
        <v>415</v>
      </c>
      <c r="C3167" t="s">
        <v>416</v>
      </c>
      <c r="D3167" t="str">
        <f>HYPERLINK("http://service.sap.com/sap/support/notes/1576458","1576458")</f>
        <v>1576458</v>
      </c>
      <c r="E3167">
        <v>1</v>
      </c>
      <c r="F3167" t="s">
        <v>2871</v>
      </c>
    </row>
    <row r="3168" spans="1:6" x14ac:dyDescent="0.25">
      <c r="A3168" t="s">
        <v>3366</v>
      </c>
      <c r="B3168" t="s">
        <v>415</v>
      </c>
      <c r="C3168" t="s">
        <v>416</v>
      </c>
      <c r="D3168" t="str">
        <f>HYPERLINK("http://service.sap.com/sap/support/notes/1580432","1580432")</f>
        <v>1580432</v>
      </c>
      <c r="E3168">
        <v>1</v>
      </c>
      <c r="F3168" t="s">
        <v>3286</v>
      </c>
    </row>
    <row r="3169" spans="1:6" x14ac:dyDescent="0.25">
      <c r="A3169" t="s">
        <v>3366</v>
      </c>
      <c r="B3169" t="s">
        <v>1226</v>
      </c>
      <c r="C3169" t="s">
        <v>2873</v>
      </c>
      <c r="D3169" t="str">
        <f>HYPERLINK("http://service.sap.com/sap/support/notes/1444774","1444774")</f>
        <v>1444774</v>
      </c>
      <c r="E3169">
        <v>14</v>
      </c>
      <c r="F3169" t="s">
        <v>3287</v>
      </c>
    </row>
    <row r="3170" spans="1:6" x14ac:dyDescent="0.25">
      <c r="A3170" t="s">
        <v>3366</v>
      </c>
      <c r="B3170" t="s">
        <v>425</v>
      </c>
      <c r="C3170" t="s">
        <v>426</v>
      </c>
      <c r="D3170" t="str">
        <f>HYPERLINK("http://service.sap.com/sap/support/notes/1488474","1488474")</f>
        <v>1488474</v>
      </c>
      <c r="E3170">
        <v>1</v>
      </c>
      <c r="F3170" t="s">
        <v>427</v>
      </c>
    </row>
    <row r="3171" spans="1:6" x14ac:dyDescent="0.25">
      <c r="A3171" t="s">
        <v>3366</v>
      </c>
      <c r="B3171" t="s">
        <v>431</v>
      </c>
      <c r="C3171" t="s">
        <v>432</v>
      </c>
      <c r="D3171" t="str">
        <f>HYPERLINK("http://service.sap.com/sap/support/notes/1567834","1567834")</f>
        <v>1567834</v>
      </c>
      <c r="E3171">
        <v>2</v>
      </c>
      <c r="F3171" t="s">
        <v>3288</v>
      </c>
    </row>
    <row r="3172" spans="1:6" x14ac:dyDescent="0.25">
      <c r="A3172" t="s">
        <v>3366</v>
      </c>
      <c r="B3172" t="s">
        <v>431</v>
      </c>
      <c r="C3172" t="s">
        <v>432</v>
      </c>
      <c r="D3172" t="str">
        <f>HYPERLINK("http://service.sap.com/sap/support/notes/1568503","1568503")</f>
        <v>1568503</v>
      </c>
      <c r="E3172">
        <v>1</v>
      </c>
      <c r="F3172" t="s">
        <v>3289</v>
      </c>
    </row>
    <row r="3173" spans="1:6" x14ac:dyDescent="0.25">
      <c r="A3173" t="s">
        <v>3366</v>
      </c>
      <c r="B3173" t="s">
        <v>431</v>
      </c>
      <c r="C3173" t="s">
        <v>432</v>
      </c>
      <c r="D3173" t="str">
        <f>HYPERLINK("http://service.sap.com/sap/support/notes/1570124","1570124")</f>
        <v>1570124</v>
      </c>
      <c r="E3173">
        <v>2</v>
      </c>
      <c r="F3173" t="s">
        <v>3290</v>
      </c>
    </row>
    <row r="3174" spans="1:6" x14ac:dyDescent="0.25">
      <c r="A3174" t="s">
        <v>3366</v>
      </c>
      <c r="B3174" t="s">
        <v>431</v>
      </c>
      <c r="C3174" t="s">
        <v>432</v>
      </c>
      <c r="D3174" t="str">
        <f>HYPERLINK("http://service.sap.com/sap/support/notes/1570527","1570527")</f>
        <v>1570527</v>
      </c>
      <c r="E3174">
        <v>1</v>
      </c>
      <c r="F3174" t="s">
        <v>3291</v>
      </c>
    </row>
    <row r="3175" spans="1:6" x14ac:dyDescent="0.25">
      <c r="A3175" t="s">
        <v>3366</v>
      </c>
      <c r="B3175" t="s">
        <v>431</v>
      </c>
      <c r="C3175" t="s">
        <v>432</v>
      </c>
      <c r="D3175" t="str">
        <f>HYPERLINK("http://service.sap.com/sap/support/notes/1571629","1571629")</f>
        <v>1571629</v>
      </c>
      <c r="E3175">
        <v>1</v>
      </c>
      <c r="F3175" t="s">
        <v>3292</v>
      </c>
    </row>
    <row r="3176" spans="1:6" x14ac:dyDescent="0.25">
      <c r="A3176" t="s">
        <v>3366</v>
      </c>
      <c r="B3176" t="s">
        <v>431</v>
      </c>
      <c r="C3176" t="s">
        <v>432</v>
      </c>
      <c r="D3176" t="str">
        <f>HYPERLINK("http://service.sap.com/sap/support/notes/1572619","1572619")</f>
        <v>1572619</v>
      </c>
      <c r="E3176">
        <v>1</v>
      </c>
      <c r="F3176" t="s">
        <v>3293</v>
      </c>
    </row>
    <row r="3177" spans="1:6" x14ac:dyDescent="0.25">
      <c r="A3177" t="s">
        <v>3366</v>
      </c>
      <c r="B3177" t="s">
        <v>431</v>
      </c>
      <c r="C3177" t="s">
        <v>432</v>
      </c>
      <c r="D3177" t="str">
        <f>HYPERLINK("http://service.sap.com/sap/support/notes/1572737","1572737")</f>
        <v>1572737</v>
      </c>
      <c r="E3177">
        <v>1</v>
      </c>
      <c r="F3177" t="s">
        <v>3294</v>
      </c>
    </row>
    <row r="3178" spans="1:6" x14ac:dyDescent="0.25">
      <c r="A3178" t="s">
        <v>3366</v>
      </c>
      <c r="B3178" t="s">
        <v>431</v>
      </c>
      <c r="C3178" t="s">
        <v>432</v>
      </c>
      <c r="D3178" t="str">
        <f>HYPERLINK("http://service.sap.com/sap/support/notes/1572789","1572789")</f>
        <v>1572789</v>
      </c>
      <c r="E3178">
        <v>1</v>
      </c>
      <c r="F3178" t="s">
        <v>3295</v>
      </c>
    </row>
    <row r="3179" spans="1:6" x14ac:dyDescent="0.25">
      <c r="A3179" t="s">
        <v>3366</v>
      </c>
      <c r="B3179" t="s">
        <v>431</v>
      </c>
      <c r="C3179" t="s">
        <v>432</v>
      </c>
      <c r="D3179" t="str">
        <f>HYPERLINK("http://service.sap.com/sap/support/notes/1574792","1574792")</f>
        <v>1574792</v>
      </c>
      <c r="E3179">
        <v>1</v>
      </c>
      <c r="F3179" t="s">
        <v>3296</v>
      </c>
    </row>
    <row r="3180" spans="1:6" x14ac:dyDescent="0.25">
      <c r="A3180" t="s">
        <v>3366</v>
      </c>
      <c r="B3180" t="s">
        <v>431</v>
      </c>
      <c r="C3180" t="s">
        <v>432</v>
      </c>
      <c r="D3180" t="str">
        <f>HYPERLINK("http://service.sap.com/sap/support/notes/1576811","1576811")</f>
        <v>1576811</v>
      </c>
      <c r="E3180">
        <v>1</v>
      </c>
      <c r="F3180" t="s">
        <v>3297</v>
      </c>
    </row>
    <row r="3181" spans="1:6" x14ac:dyDescent="0.25">
      <c r="A3181" t="s">
        <v>3366</v>
      </c>
      <c r="B3181" t="s">
        <v>431</v>
      </c>
      <c r="C3181" t="s">
        <v>432</v>
      </c>
      <c r="D3181" t="str">
        <f>HYPERLINK("http://service.sap.com/sap/support/notes/1577157","1577157")</f>
        <v>1577157</v>
      </c>
      <c r="E3181">
        <v>1</v>
      </c>
      <c r="F3181" t="s">
        <v>3298</v>
      </c>
    </row>
    <row r="3182" spans="1:6" x14ac:dyDescent="0.25">
      <c r="A3182" t="s">
        <v>3366</v>
      </c>
      <c r="B3182" t="s">
        <v>431</v>
      </c>
      <c r="C3182" t="s">
        <v>432</v>
      </c>
      <c r="D3182" t="str">
        <f>HYPERLINK("http://service.sap.com/sap/support/notes/1578020","1578020")</f>
        <v>1578020</v>
      </c>
      <c r="E3182">
        <v>1</v>
      </c>
      <c r="F3182" t="s">
        <v>3299</v>
      </c>
    </row>
    <row r="3183" spans="1:6" x14ac:dyDescent="0.25">
      <c r="A3183" t="s">
        <v>3366</v>
      </c>
      <c r="B3183" t="s">
        <v>431</v>
      </c>
      <c r="C3183" t="s">
        <v>432</v>
      </c>
      <c r="D3183" t="str">
        <f>HYPERLINK("http://service.sap.com/sap/support/notes/1578394","1578394")</f>
        <v>1578394</v>
      </c>
      <c r="E3183">
        <v>1</v>
      </c>
      <c r="F3183" t="s">
        <v>3300</v>
      </c>
    </row>
    <row r="3184" spans="1:6" x14ac:dyDescent="0.25">
      <c r="A3184" t="s">
        <v>3366</v>
      </c>
      <c r="B3184" t="s">
        <v>431</v>
      </c>
      <c r="C3184" t="s">
        <v>432</v>
      </c>
      <c r="D3184" t="str">
        <f>HYPERLINK("http://service.sap.com/sap/support/notes/1578984","1578984")</f>
        <v>1578984</v>
      </c>
      <c r="E3184">
        <v>1</v>
      </c>
      <c r="F3184" t="s">
        <v>3301</v>
      </c>
    </row>
    <row r="3185" spans="1:6" x14ac:dyDescent="0.25">
      <c r="A3185" t="s">
        <v>3366</v>
      </c>
      <c r="B3185" t="s">
        <v>431</v>
      </c>
      <c r="C3185" t="s">
        <v>432</v>
      </c>
      <c r="D3185" t="str">
        <f>HYPERLINK("http://service.sap.com/sap/support/notes/1581475","1581475")</f>
        <v>1581475</v>
      </c>
      <c r="E3185">
        <v>1</v>
      </c>
      <c r="F3185" t="s">
        <v>3302</v>
      </c>
    </row>
    <row r="3186" spans="1:6" x14ac:dyDescent="0.25">
      <c r="A3186" t="s">
        <v>3366</v>
      </c>
      <c r="B3186" t="s">
        <v>431</v>
      </c>
      <c r="C3186" t="s">
        <v>432</v>
      </c>
      <c r="D3186" t="str">
        <f>HYPERLINK("http://service.sap.com/sap/support/notes/1581653","1581653")</f>
        <v>1581653</v>
      </c>
      <c r="E3186">
        <v>1</v>
      </c>
      <c r="F3186" t="s">
        <v>3303</v>
      </c>
    </row>
    <row r="3187" spans="1:6" x14ac:dyDescent="0.25">
      <c r="A3187" t="s">
        <v>3366</v>
      </c>
      <c r="B3187" t="s">
        <v>440</v>
      </c>
      <c r="C3187" t="s">
        <v>441</v>
      </c>
      <c r="D3187" t="str">
        <f>HYPERLINK("http://service.sap.com/sap/support/notes/1060820","1060820")</f>
        <v>1060820</v>
      </c>
      <c r="E3187">
        <v>1</v>
      </c>
      <c r="F3187" t="s">
        <v>2104</v>
      </c>
    </row>
    <row r="3188" spans="1:6" x14ac:dyDescent="0.25">
      <c r="A3188" t="s">
        <v>3366</v>
      </c>
      <c r="B3188" t="s">
        <v>440</v>
      </c>
      <c r="C3188" t="s">
        <v>441</v>
      </c>
      <c r="D3188" t="str">
        <f>HYPERLINK("http://service.sap.com/sap/support/notes/1545927","1545927")</f>
        <v>1545927</v>
      </c>
      <c r="E3188">
        <v>2</v>
      </c>
      <c r="F3188" t="s">
        <v>3304</v>
      </c>
    </row>
    <row r="3189" spans="1:6" x14ac:dyDescent="0.25">
      <c r="A3189" t="s">
        <v>3366</v>
      </c>
      <c r="B3189" t="s">
        <v>440</v>
      </c>
      <c r="C3189" t="s">
        <v>441</v>
      </c>
      <c r="D3189" t="str">
        <f>HYPERLINK("http://service.sap.com/sap/support/notes/1555748","1555748")</f>
        <v>1555748</v>
      </c>
      <c r="E3189">
        <v>2</v>
      </c>
      <c r="F3189" t="s">
        <v>3305</v>
      </c>
    </row>
    <row r="3190" spans="1:6" x14ac:dyDescent="0.25">
      <c r="A3190" t="s">
        <v>3366</v>
      </c>
      <c r="B3190" t="s">
        <v>440</v>
      </c>
      <c r="C3190" t="s">
        <v>441</v>
      </c>
      <c r="D3190" t="str">
        <f>HYPERLINK("http://service.sap.com/sap/support/notes/1557295","1557295")</f>
        <v>1557295</v>
      </c>
      <c r="E3190">
        <v>3</v>
      </c>
      <c r="F3190" t="s">
        <v>3306</v>
      </c>
    </row>
    <row r="3191" spans="1:6" x14ac:dyDescent="0.25">
      <c r="A3191" t="s">
        <v>3366</v>
      </c>
      <c r="B3191" t="s">
        <v>440</v>
      </c>
      <c r="C3191" t="s">
        <v>441</v>
      </c>
      <c r="D3191" t="str">
        <f>HYPERLINK("http://service.sap.com/sap/support/notes/1564198","1564198")</f>
        <v>1564198</v>
      </c>
      <c r="E3191">
        <v>7</v>
      </c>
      <c r="F3191" t="s">
        <v>3307</v>
      </c>
    </row>
    <row r="3192" spans="1:6" x14ac:dyDescent="0.25">
      <c r="A3192" t="s">
        <v>3366</v>
      </c>
      <c r="B3192" t="s">
        <v>440</v>
      </c>
      <c r="C3192" t="s">
        <v>441</v>
      </c>
      <c r="D3192" t="str">
        <f>HYPERLINK("http://service.sap.com/sap/support/notes/1565049","1565049")</f>
        <v>1565049</v>
      </c>
      <c r="E3192">
        <v>11</v>
      </c>
      <c r="F3192" t="s">
        <v>3308</v>
      </c>
    </row>
    <row r="3193" spans="1:6" x14ac:dyDescent="0.25">
      <c r="A3193" t="s">
        <v>3366</v>
      </c>
      <c r="B3193" t="s">
        <v>440</v>
      </c>
      <c r="C3193" t="s">
        <v>441</v>
      </c>
      <c r="D3193" t="str">
        <f>HYPERLINK("http://service.sap.com/sap/support/notes/1567204","1567204")</f>
        <v>1567204</v>
      </c>
      <c r="E3193">
        <v>3</v>
      </c>
      <c r="F3193" t="s">
        <v>3309</v>
      </c>
    </row>
    <row r="3194" spans="1:6" x14ac:dyDescent="0.25">
      <c r="A3194" t="s">
        <v>3366</v>
      </c>
      <c r="B3194" t="s">
        <v>440</v>
      </c>
      <c r="C3194" t="s">
        <v>441</v>
      </c>
      <c r="D3194" t="str">
        <f>HYPERLINK("http://service.sap.com/sap/support/notes/1567603","1567603")</f>
        <v>1567603</v>
      </c>
      <c r="E3194">
        <v>3</v>
      </c>
      <c r="F3194" t="s">
        <v>3310</v>
      </c>
    </row>
    <row r="3195" spans="1:6" x14ac:dyDescent="0.25">
      <c r="A3195" t="s">
        <v>3366</v>
      </c>
      <c r="B3195" t="s">
        <v>440</v>
      </c>
      <c r="C3195" t="s">
        <v>441</v>
      </c>
      <c r="D3195" t="str">
        <f>HYPERLINK("http://service.sap.com/sap/support/notes/1569912","1569912")</f>
        <v>1569912</v>
      </c>
      <c r="E3195">
        <v>5</v>
      </c>
      <c r="F3195" t="s">
        <v>3311</v>
      </c>
    </row>
    <row r="3196" spans="1:6" x14ac:dyDescent="0.25">
      <c r="A3196" t="s">
        <v>3366</v>
      </c>
      <c r="B3196" t="s">
        <v>440</v>
      </c>
      <c r="C3196" t="s">
        <v>441</v>
      </c>
      <c r="D3196" t="str">
        <f>HYPERLINK("http://service.sap.com/sap/support/notes/1571907","1571907")</f>
        <v>1571907</v>
      </c>
      <c r="E3196">
        <v>2</v>
      </c>
      <c r="F3196" t="s">
        <v>3312</v>
      </c>
    </row>
    <row r="3197" spans="1:6" x14ac:dyDescent="0.25">
      <c r="A3197" t="s">
        <v>3366</v>
      </c>
      <c r="B3197" t="s">
        <v>440</v>
      </c>
      <c r="C3197" t="s">
        <v>441</v>
      </c>
      <c r="D3197" t="str">
        <f>HYPERLINK("http://service.sap.com/sap/support/notes/1574469","1574469")</f>
        <v>1574469</v>
      </c>
      <c r="E3197">
        <v>1</v>
      </c>
      <c r="F3197" t="s">
        <v>3313</v>
      </c>
    </row>
    <row r="3198" spans="1:6" x14ac:dyDescent="0.25">
      <c r="A3198" t="s">
        <v>3366</v>
      </c>
      <c r="B3198" t="s">
        <v>440</v>
      </c>
      <c r="C3198" t="s">
        <v>441</v>
      </c>
      <c r="D3198" t="str">
        <f>HYPERLINK("http://service.sap.com/sap/support/notes/1574540","1574540")</f>
        <v>1574540</v>
      </c>
      <c r="E3198">
        <v>5</v>
      </c>
      <c r="F3198" t="s">
        <v>3314</v>
      </c>
    </row>
    <row r="3199" spans="1:6" x14ac:dyDescent="0.25">
      <c r="A3199" t="s">
        <v>3366</v>
      </c>
      <c r="B3199" t="s">
        <v>440</v>
      </c>
      <c r="C3199" t="s">
        <v>441</v>
      </c>
      <c r="D3199" t="str">
        <f>HYPERLINK("http://service.sap.com/sap/support/notes/1575515","1575515")</f>
        <v>1575515</v>
      </c>
      <c r="E3199">
        <v>3</v>
      </c>
      <c r="F3199" t="s">
        <v>3315</v>
      </c>
    </row>
    <row r="3200" spans="1:6" x14ac:dyDescent="0.25">
      <c r="A3200" t="s">
        <v>3366</v>
      </c>
      <c r="B3200" t="s">
        <v>440</v>
      </c>
      <c r="C3200" t="s">
        <v>441</v>
      </c>
      <c r="D3200" t="str">
        <f>HYPERLINK("http://service.sap.com/sap/support/notes/1576865","1576865")</f>
        <v>1576865</v>
      </c>
      <c r="E3200">
        <v>12</v>
      </c>
      <c r="F3200" t="s">
        <v>3316</v>
      </c>
    </row>
    <row r="3201" spans="1:6" x14ac:dyDescent="0.25">
      <c r="A3201" t="s">
        <v>3366</v>
      </c>
      <c r="B3201" t="s">
        <v>440</v>
      </c>
      <c r="C3201" t="s">
        <v>441</v>
      </c>
      <c r="D3201" t="str">
        <f>HYPERLINK("http://service.sap.com/sap/support/notes/1580899","1580899")</f>
        <v>1580899</v>
      </c>
      <c r="E3201">
        <v>1</v>
      </c>
      <c r="F3201" t="s">
        <v>3317</v>
      </c>
    </row>
    <row r="3202" spans="1:6" x14ac:dyDescent="0.25">
      <c r="A3202" t="s">
        <v>3366</v>
      </c>
      <c r="B3202" t="s">
        <v>440</v>
      </c>
      <c r="C3202" t="s">
        <v>441</v>
      </c>
      <c r="D3202" t="str">
        <f>HYPERLINK("http://service.sap.com/sap/support/notes/1582626","1582626")</f>
        <v>1582626</v>
      </c>
      <c r="E3202">
        <v>1</v>
      </c>
      <c r="F3202" t="s">
        <v>3318</v>
      </c>
    </row>
    <row r="3203" spans="1:6" x14ac:dyDescent="0.25">
      <c r="A3203" t="s">
        <v>3366</v>
      </c>
      <c r="B3203" t="s">
        <v>449</v>
      </c>
      <c r="C3203" t="s">
        <v>450</v>
      </c>
      <c r="D3203" t="str">
        <f>HYPERLINK("http://service.sap.com/sap/support/notes/1548812","1548812")</f>
        <v>1548812</v>
      </c>
      <c r="E3203">
        <v>2</v>
      </c>
      <c r="F3203" t="s">
        <v>3319</v>
      </c>
    </row>
    <row r="3204" spans="1:6" x14ac:dyDescent="0.25">
      <c r="A3204" t="s">
        <v>3366</v>
      </c>
      <c r="B3204" t="s">
        <v>449</v>
      </c>
      <c r="C3204" t="s">
        <v>450</v>
      </c>
      <c r="D3204" t="str">
        <f>HYPERLINK("http://service.sap.com/sap/support/notes/1561079","1561079")</f>
        <v>1561079</v>
      </c>
      <c r="E3204">
        <v>8</v>
      </c>
      <c r="F3204" t="s">
        <v>3320</v>
      </c>
    </row>
    <row r="3205" spans="1:6" x14ac:dyDescent="0.25">
      <c r="A3205" t="s">
        <v>3366</v>
      </c>
      <c r="B3205" t="s">
        <v>449</v>
      </c>
      <c r="C3205" t="s">
        <v>450</v>
      </c>
      <c r="D3205" t="str">
        <f>HYPERLINK("http://service.sap.com/sap/support/notes/1563128","1563128")</f>
        <v>1563128</v>
      </c>
      <c r="E3205">
        <v>3</v>
      </c>
      <c r="F3205" t="s">
        <v>3321</v>
      </c>
    </row>
    <row r="3206" spans="1:6" x14ac:dyDescent="0.25">
      <c r="A3206" t="s">
        <v>3366</v>
      </c>
      <c r="B3206" t="s">
        <v>449</v>
      </c>
      <c r="C3206" t="s">
        <v>450</v>
      </c>
      <c r="D3206" t="str">
        <f>HYPERLINK("http://service.sap.com/sap/support/notes/1577652","1577652")</f>
        <v>1577652</v>
      </c>
      <c r="E3206">
        <v>1</v>
      </c>
      <c r="F3206" t="s">
        <v>3322</v>
      </c>
    </row>
    <row r="3207" spans="1:6" x14ac:dyDescent="0.25">
      <c r="A3207" t="s">
        <v>3366</v>
      </c>
      <c r="B3207" t="s">
        <v>449</v>
      </c>
      <c r="C3207" t="s">
        <v>450</v>
      </c>
      <c r="D3207" t="str">
        <f>HYPERLINK("http://service.sap.com/sap/support/notes/1578793","1578793")</f>
        <v>1578793</v>
      </c>
      <c r="E3207">
        <v>4</v>
      </c>
      <c r="F3207" t="s">
        <v>3323</v>
      </c>
    </row>
    <row r="3208" spans="1:6" x14ac:dyDescent="0.25">
      <c r="A3208" t="s">
        <v>3366</v>
      </c>
      <c r="B3208" t="s">
        <v>449</v>
      </c>
      <c r="C3208" t="s">
        <v>450</v>
      </c>
      <c r="D3208" t="str">
        <f>HYPERLINK("http://service.sap.com/sap/support/notes/1580760","1580760")</f>
        <v>1580760</v>
      </c>
      <c r="E3208">
        <v>2</v>
      </c>
      <c r="F3208" t="s">
        <v>3324</v>
      </c>
    </row>
    <row r="3209" spans="1:6" x14ac:dyDescent="0.25">
      <c r="A3209" t="s">
        <v>3366</v>
      </c>
      <c r="B3209" t="s">
        <v>460</v>
      </c>
      <c r="C3209" t="s">
        <v>461</v>
      </c>
      <c r="D3209" t="str">
        <f>HYPERLINK("http://service.sap.com/sap/support/notes/1571050","1571050")</f>
        <v>1571050</v>
      </c>
      <c r="E3209">
        <v>1</v>
      </c>
      <c r="F3209" t="s">
        <v>3325</v>
      </c>
    </row>
    <row r="3210" spans="1:6" x14ac:dyDescent="0.25">
      <c r="A3210" t="s">
        <v>3366</v>
      </c>
      <c r="B3210" t="s">
        <v>460</v>
      </c>
      <c r="C3210" t="s">
        <v>461</v>
      </c>
      <c r="D3210" t="str">
        <f>HYPERLINK("http://service.sap.com/sap/support/notes/1580243","1580243")</f>
        <v>1580243</v>
      </c>
      <c r="E3210">
        <v>1</v>
      </c>
      <c r="F3210" t="s">
        <v>3326</v>
      </c>
    </row>
    <row r="3211" spans="1:6" x14ac:dyDescent="0.25">
      <c r="A3211" t="s">
        <v>3366</v>
      </c>
      <c r="B3211" t="s">
        <v>460</v>
      </c>
      <c r="C3211" t="s">
        <v>461</v>
      </c>
      <c r="D3211" t="str">
        <f>HYPERLINK("http://service.sap.com/sap/support/notes/1580818","1580818")</f>
        <v>1580818</v>
      </c>
      <c r="E3211">
        <v>1</v>
      </c>
      <c r="F3211" t="s">
        <v>3327</v>
      </c>
    </row>
    <row r="3212" spans="1:6" x14ac:dyDescent="0.25">
      <c r="A3212" t="s">
        <v>3366</v>
      </c>
      <c r="B3212" t="s">
        <v>472</v>
      </c>
      <c r="C3212" t="s">
        <v>473</v>
      </c>
      <c r="D3212" t="str">
        <f>HYPERLINK("http://service.sap.com/sap/support/notes/1570550","1570550")</f>
        <v>1570550</v>
      </c>
      <c r="E3212">
        <v>1</v>
      </c>
      <c r="F3212" t="s">
        <v>3328</v>
      </c>
    </row>
    <row r="3213" spans="1:6" x14ac:dyDescent="0.25">
      <c r="A3213" t="s">
        <v>3366</v>
      </c>
      <c r="B3213" t="s">
        <v>472</v>
      </c>
      <c r="C3213" t="s">
        <v>473</v>
      </c>
      <c r="D3213" t="str">
        <f>HYPERLINK("http://service.sap.com/sap/support/notes/1579633","1579633")</f>
        <v>1579633</v>
      </c>
      <c r="E3213">
        <v>1</v>
      </c>
      <c r="F3213" t="s">
        <v>3329</v>
      </c>
    </row>
    <row r="3214" spans="1:6" x14ac:dyDescent="0.25">
      <c r="A3214" t="s">
        <v>3366</v>
      </c>
      <c r="B3214" t="s">
        <v>479</v>
      </c>
      <c r="C3214" t="s">
        <v>480</v>
      </c>
      <c r="D3214" t="str">
        <f>HYPERLINK("http://service.sap.com/sap/support/notes/1554775","1554775")</f>
        <v>1554775</v>
      </c>
      <c r="E3214">
        <v>3</v>
      </c>
      <c r="F3214" t="s">
        <v>3330</v>
      </c>
    </row>
    <row r="3215" spans="1:6" x14ac:dyDescent="0.25">
      <c r="A3215" t="s">
        <v>3366</v>
      </c>
      <c r="B3215" t="s">
        <v>479</v>
      </c>
      <c r="C3215" t="s">
        <v>480</v>
      </c>
      <c r="D3215" t="str">
        <f>HYPERLINK("http://service.sap.com/sap/support/notes/1571172","1571172")</f>
        <v>1571172</v>
      </c>
      <c r="E3215">
        <v>1</v>
      </c>
      <c r="F3215" t="s">
        <v>3331</v>
      </c>
    </row>
    <row r="3216" spans="1:6" x14ac:dyDescent="0.25">
      <c r="A3216" t="s">
        <v>3366</v>
      </c>
      <c r="B3216" t="s">
        <v>479</v>
      </c>
      <c r="C3216" t="s">
        <v>480</v>
      </c>
      <c r="D3216" t="str">
        <f>HYPERLINK("http://service.sap.com/sap/support/notes/1572001","1572001")</f>
        <v>1572001</v>
      </c>
      <c r="E3216">
        <v>1</v>
      </c>
      <c r="F3216" t="s">
        <v>3332</v>
      </c>
    </row>
    <row r="3217" spans="1:6" x14ac:dyDescent="0.25">
      <c r="A3217" t="s">
        <v>3366</v>
      </c>
      <c r="B3217" t="s">
        <v>479</v>
      </c>
      <c r="C3217" t="s">
        <v>480</v>
      </c>
      <c r="D3217" t="str">
        <f>HYPERLINK("http://service.sap.com/sap/support/notes/1576041","1576041")</f>
        <v>1576041</v>
      </c>
      <c r="E3217">
        <v>1</v>
      </c>
      <c r="F3217" t="s">
        <v>3333</v>
      </c>
    </row>
    <row r="3218" spans="1:6" x14ac:dyDescent="0.25">
      <c r="A3218" t="s">
        <v>3366</v>
      </c>
      <c r="B3218" t="s">
        <v>479</v>
      </c>
      <c r="C3218" t="s">
        <v>480</v>
      </c>
      <c r="D3218" t="str">
        <f>HYPERLINK("http://service.sap.com/sap/support/notes/1576531","1576531")</f>
        <v>1576531</v>
      </c>
      <c r="E3218">
        <v>1</v>
      </c>
      <c r="F3218" t="s">
        <v>3334</v>
      </c>
    </row>
    <row r="3219" spans="1:6" x14ac:dyDescent="0.25">
      <c r="A3219" t="s">
        <v>3366</v>
      </c>
      <c r="B3219" t="s">
        <v>479</v>
      </c>
      <c r="C3219" t="s">
        <v>480</v>
      </c>
      <c r="D3219" t="str">
        <f>HYPERLINK("http://service.sap.com/sap/support/notes/1577573","1577573")</f>
        <v>1577573</v>
      </c>
      <c r="E3219">
        <v>1</v>
      </c>
      <c r="F3219" t="s">
        <v>3335</v>
      </c>
    </row>
    <row r="3220" spans="1:6" x14ac:dyDescent="0.25">
      <c r="A3220" t="s">
        <v>3366</v>
      </c>
      <c r="B3220" t="s">
        <v>479</v>
      </c>
      <c r="C3220" t="s">
        <v>480</v>
      </c>
      <c r="D3220" t="str">
        <f>HYPERLINK("http://service.sap.com/sap/support/notes/1580613","1580613")</f>
        <v>1580613</v>
      </c>
      <c r="E3220">
        <v>1</v>
      </c>
      <c r="F3220" t="s">
        <v>3336</v>
      </c>
    </row>
    <row r="3221" spans="1:6" x14ac:dyDescent="0.25">
      <c r="A3221" t="s">
        <v>3366</v>
      </c>
      <c r="B3221" t="s">
        <v>487</v>
      </c>
      <c r="C3221" t="s">
        <v>153</v>
      </c>
      <c r="D3221" t="str">
        <f>HYPERLINK("http://service.sap.com/sap/support/notes/1578905","1578905")</f>
        <v>1578905</v>
      </c>
      <c r="E3221">
        <v>4</v>
      </c>
      <c r="F3221" t="s">
        <v>3337</v>
      </c>
    </row>
    <row r="3222" spans="1:6" x14ac:dyDescent="0.25">
      <c r="A3222" t="s">
        <v>3366</v>
      </c>
      <c r="B3222" t="s">
        <v>489</v>
      </c>
      <c r="C3222" t="s">
        <v>104</v>
      </c>
      <c r="D3222" t="str">
        <f>HYPERLINK("http://service.sap.com/sap/support/notes/1559970","1559970")</f>
        <v>1559970</v>
      </c>
      <c r="E3222">
        <v>2</v>
      </c>
      <c r="F3222" t="s">
        <v>3338</v>
      </c>
    </row>
    <row r="3223" spans="1:6" x14ac:dyDescent="0.25">
      <c r="A3223" t="s">
        <v>3366</v>
      </c>
      <c r="B3223" t="s">
        <v>489</v>
      </c>
      <c r="C3223" t="s">
        <v>104</v>
      </c>
      <c r="D3223" t="str">
        <f>HYPERLINK("http://service.sap.com/sap/support/notes/1563804","1563804")</f>
        <v>1563804</v>
      </c>
      <c r="E3223">
        <v>3</v>
      </c>
      <c r="F3223" t="s">
        <v>3339</v>
      </c>
    </row>
    <row r="3224" spans="1:6" x14ac:dyDescent="0.25">
      <c r="A3224" t="s">
        <v>3366</v>
      </c>
      <c r="B3224" t="s">
        <v>495</v>
      </c>
      <c r="C3224" t="s">
        <v>496</v>
      </c>
      <c r="D3224" t="str">
        <f>HYPERLINK("http://service.sap.com/sap/support/notes/1578320","1578320")</f>
        <v>1578320</v>
      </c>
      <c r="E3224">
        <v>2</v>
      </c>
      <c r="F3224" t="s">
        <v>3340</v>
      </c>
    </row>
    <row r="3225" spans="1:6" x14ac:dyDescent="0.25">
      <c r="A3225" t="s">
        <v>3366</v>
      </c>
      <c r="B3225" t="s">
        <v>499</v>
      </c>
      <c r="C3225" t="s">
        <v>108</v>
      </c>
      <c r="D3225" t="str">
        <f>HYPERLINK("http://service.sap.com/sap/support/notes/1571773","1571773")</f>
        <v>1571773</v>
      </c>
      <c r="E3225">
        <v>1</v>
      </c>
      <c r="F3225" t="s">
        <v>3341</v>
      </c>
    </row>
    <row r="3226" spans="1:6" x14ac:dyDescent="0.25">
      <c r="A3226" t="s">
        <v>3366</v>
      </c>
      <c r="B3226" t="s">
        <v>499</v>
      </c>
      <c r="C3226" t="s">
        <v>108</v>
      </c>
      <c r="D3226" t="str">
        <f>HYPERLINK("http://service.sap.com/sap/support/notes/1574555","1574555")</f>
        <v>1574555</v>
      </c>
      <c r="E3226">
        <v>1</v>
      </c>
      <c r="F3226" t="s">
        <v>3342</v>
      </c>
    </row>
    <row r="3227" spans="1:6" x14ac:dyDescent="0.25">
      <c r="A3227" t="s">
        <v>3366</v>
      </c>
      <c r="B3227" t="s">
        <v>501</v>
      </c>
      <c r="C3227" t="s">
        <v>153</v>
      </c>
      <c r="D3227" t="str">
        <f>HYPERLINK("http://service.sap.com/sap/support/notes/1530554","1530554")</f>
        <v>1530554</v>
      </c>
      <c r="E3227">
        <v>3</v>
      </c>
      <c r="F3227" t="s">
        <v>3343</v>
      </c>
    </row>
    <row r="3228" spans="1:6" x14ac:dyDescent="0.25">
      <c r="A3228" t="s">
        <v>3366</v>
      </c>
      <c r="B3228" t="s">
        <v>505</v>
      </c>
      <c r="C3228" t="s">
        <v>299</v>
      </c>
      <c r="D3228" t="str">
        <f>HYPERLINK("http://service.sap.com/sap/support/notes/1554416","1554416")</f>
        <v>1554416</v>
      </c>
      <c r="E3228">
        <v>2</v>
      </c>
      <c r="F3228" t="s">
        <v>3344</v>
      </c>
    </row>
    <row r="3229" spans="1:6" x14ac:dyDescent="0.25">
      <c r="A3229" t="s">
        <v>3366</v>
      </c>
      <c r="B3229" t="s">
        <v>508</v>
      </c>
      <c r="C3229" t="s">
        <v>509</v>
      </c>
      <c r="D3229" t="str">
        <f>HYPERLINK("http://service.sap.com/sap/support/notes/1553961","1553961")</f>
        <v>1553961</v>
      </c>
      <c r="E3229">
        <v>2</v>
      </c>
      <c r="F3229" t="s">
        <v>3345</v>
      </c>
    </row>
    <row r="3230" spans="1:6" x14ac:dyDescent="0.25">
      <c r="A3230" t="s">
        <v>3366</v>
      </c>
      <c r="B3230" t="s">
        <v>508</v>
      </c>
      <c r="C3230" t="s">
        <v>509</v>
      </c>
      <c r="D3230" t="str">
        <f>HYPERLINK("http://service.sap.com/sap/support/notes/1562259","1562259")</f>
        <v>1562259</v>
      </c>
      <c r="E3230">
        <v>2</v>
      </c>
      <c r="F3230" t="s">
        <v>3346</v>
      </c>
    </row>
    <row r="3231" spans="1:6" x14ac:dyDescent="0.25">
      <c r="A3231" t="s">
        <v>3366</v>
      </c>
      <c r="B3231" t="s">
        <v>508</v>
      </c>
      <c r="C3231" t="s">
        <v>509</v>
      </c>
      <c r="D3231" t="str">
        <f>HYPERLINK("http://service.sap.com/sap/support/notes/1568184","1568184")</f>
        <v>1568184</v>
      </c>
      <c r="E3231">
        <v>3</v>
      </c>
      <c r="F3231" t="s">
        <v>3347</v>
      </c>
    </row>
    <row r="3232" spans="1:6" x14ac:dyDescent="0.25">
      <c r="A3232" t="s">
        <v>3366</v>
      </c>
      <c r="B3232" t="s">
        <v>508</v>
      </c>
      <c r="C3232" t="s">
        <v>509</v>
      </c>
      <c r="D3232" t="str">
        <f>HYPERLINK("http://service.sap.com/sap/support/notes/1569851","1569851")</f>
        <v>1569851</v>
      </c>
      <c r="E3232">
        <v>4</v>
      </c>
      <c r="F3232" t="s">
        <v>3348</v>
      </c>
    </row>
    <row r="3233" spans="1:6" x14ac:dyDescent="0.25">
      <c r="A3233" t="s">
        <v>3366</v>
      </c>
      <c r="B3233" t="s">
        <v>508</v>
      </c>
      <c r="C3233" t="s">
        <v>509</v>
      </c>
      <c r="D3233" t="str">
        <f>HYPERLINK("http://service.sap.com/sap/support/notes/1574001","1574001")</f>
        <v>1574001</v>
      </c>
      <c r="E3233">
        <v>2</v>
      </c>
      <c r="F3233" t="s">
        <v>3349</v>
      </c>
    </row>
    <row r="3234" spans="1:6" x14ac:dyDescent="0.25">
      <c r="A3234" t="s">
        <v>3366</v>
      </c>
      <c r="B3234" t="s">
        <v>508</v>
      </c>
      <c r="C3234" t="s">
        <v>509</v>
      </c>
      <c r="D3234" t="str">
        <f>HYPERLINK("http://service.sap.com/sap/support/notes/1574475","1574475")</f>
        <v>1574475</v>
      </c>
      <c r="E3234">
        <v>2</v>
      </c>
      <c r="F3234" t="s">
        <v>3350</v>
      </c>
    </row>
    <row r="3235" spans="1:6" x14ac:dyDescent="0.25">
      <c r="A3235" t="s">
        <v>3366</v>
      </c>
      <c r="B3235" t="s">
        <v>508</v>
      </c>
      <c r="C3235" t="s">
        <v>509</v>
      </c>
      <c r="D3235" t="str">
        <f>HYPERLINK("http://service.sap.com/sap/support/notes/1575858","1575858")</f>
        <v>1575858</v>
      </c>
      <c r="E3235">
        <v>2</v>
      </c>
      <c r="F3235" t="s">
        <v>3351</v>
      </c>
    </row>
    <row r="3236" spans="1:6" x14ac:dyDescent="0.25">
      <c r="A3236" t="s">
        <v>3366</v>
      </c>
      <c r="B3236" t="s">
        <v>508</v>
      </c>
      <c r="C3236" t="s">
        <v>509</v>
      </c>
      <c r="D3236" t="str">
        <f>HYPERLINK("http://service.sap.com/sap/support/notes/1576851","1576851")</f>
        <v>1576851</v>
      </c>
      <c r="E3236">
        <v>3</v>
      </c>
      <c r="F3236" t="s">
        <v>3352</v>
      </c>
    </row>
    <row r="3237" spans="1:6" x14ac:dyDescent="0.25">
      <c r="A3237" t="s">
        <v>3366</v>
      </c>
      <c r="B3237" t="s">
        <v>508</v>
      </c>
      <c r="C3237" t="s">
        <v>509</v>
      </c>
      <c r="D3237" t="str">
        <f>HYPERLINK("http://service.sap.com/sap/support/notes/1577693","1577693")</f>
        <v>1577693</v>
      </c>
      <c r="E3237">
        <v>1</v>
      </c>
      <c r="F3237" t="s">
        <v>3353</v>
      </c>
    </row>
    <row r="3238" spans="1:6" x14ac:dyDescent="0.25">
      <c r="A3238" t="s">
        <v>3366</v>
      </c>
      <c r="B3238" t="s">
        <v>508</v>
      </c>
      <c r="C3238" t="s">
        <v>509</v>
      </c>
      <c r="D3238" t="str">
        <f>HYPERLINK("http://service.sap.com/sap/support/notes/1578139","1578139")</f>
        <v>1578139</v>
      </c>
      <c r="E3238">
        <v>2</v>
      </c>
      <c r="F3238" t="s">
        <v>3354</v>
      </c>
    </row>
    <row r="3239" spans="1:6" x14ac:dyDescent="0.25">
      <c r="A3239" t="s">
        <v>3366</v>
      </c>
      <c r="B3239" t="s">
        <v>508</v>
      </c>
      <c r="C3239" t="s">
        <v>509</v>
      </c>
      <c r="D3239" t="str">
        <f>HYPERLINK("http://service.sap.com/sap/support/notes/1579200","1579200")</f>
        <v>1579200</v>
      </c>
      <c r="E3239">
        <v>2</v>
      </c>
      <c r="F3239" t="s">
        <v>3355</v>
      </c>
    </row>
    <row r="3240" spans="1:6" x14ac:dyDescent="0.25">
      <c r="A3240" t="s">
        <v>3366</v>
      </c>
      <c r="B3240" t="s">
        <v>508</v>
      </c>
      <c r="C3240" t="s">
        <v>509</v>
      </c>
      <c r="D3240" t="str">
        <f>HYPERLINK("http://service.sap.com/sap/support/notes/1579844","1579844")</f>
        <v>1579844</v>
      </c>
      <c r="E3240">
        <v>2</v>
      </c>
      <c r="F3240" t="s">
        <v>3356</v>
      </c>
    </row>
    <row r="3241" spans="1:6" x14ac:dyDescent="0.25">
      <c r="A3241" t="s">
        <v>3366</v>
      </c>
      <c r="B3241" t="s">
        <v>525</v>
      </c>
      <c r="C3241" t="s">
        <v>526</v>
      </c>
      <c r="D3241" t="str">
        <f>HYPERLINK("http://service.sap.com/sap/support/notes/1536313","1536313")</f>
        <v>1536313</v>
      </c>
      <c r="E3241">
        <v>3</v>
      </c>
      <c r="F3241" t="s">
        <v>3357</v>
      </c>
    </row>
    <row r="3242" spans="1:6" x14ac:dyDescent="0.25">
      <c r="A3242" t="s">
        <v>3366</v>
      </c>
      <c r="B3242" t="s">
        <v>525</v>
      </c>
      <c r="C3242" t="s">
        <v>526</v>
      </c>
      <c r="D3242" t="str">
        <f>HYPERLINK("http://service.sap.com/sap/support/notes/1543683","1543683")</f>
        <v>1543683</v>
      </c>
      <c r="E3242">
        <v>2</v>
      </c>
      <c r="F3242" t="s">
        <v>3358</v>
      </c>
    </row>
    <row r="3243" spans="1:6" x14ac:dyDescent="0.25">
      <c r="A3243" t="s">
        <v>3366</v>
      </c>
      <c r="B3243" t="s">
        <v>525</v>
      </c>
      <c r="C3243" t="s">
        <v>526</v>
      </c>
      <c r="D3243" t="str">
        <f>HYPERLINK("http://service.sap.com/sap/support/notes/1548398","1548398")</f>
        <v>1548398</v>
      </c>
      <c r="E3243">
        <v>4</v>
      </c>
      <c r="F3243" t="s">
        <v>3359</v>
      </c>
    </row>
    <row r="3244" spans="1:6" x14ac:dyDescent="0.25">
      <c r="A3244" t="s">
        <v>3366</v>
      </c>
      <c r="B3244" t="s">
        <v>528</v>
      </c>
      <c r="C3244" t="s">
        <v>529</v>
      </c>
      <c r="D3244" t="str">
        <f>HYPERLINK("http://service.sap.com/sap/support/notes/1558249","1558249")</f>
        <v>1558249</v>
      </c>
      <c r="E3244">
        <v>3</v>
      </c>
      <c r="F3244" t="s">
        <v>3360</v>
      </c>
    </row>
    <row r="3245" spans="1:6" x14ac:dyDescent="0.25">
      <c r="A3245" t="s">
        <v>3366</v>
      </c>
      <c r="B3245" t="s">
        <v>534</v>
      </c>
      <c r="C3245" t="s">
        <v>535</v>
      </c>
      <c r="D3245" t="str">
        <f>HYPERLINK("http://service.sap.com/sap/support/notes/1568480","1568480")</f>
        <v>1568480</v>
      </c>
      <c r="E3245">
        <v>3</v>
      </c>
      <c r="F3245" t="s">
        <v>3361</v>
      </c>
    </row>
    <row r="3246" spans="1:6" x14ac:dyDescent="0.25">
      <c r="A3246" t="s">
        <v>3366</v>
      </c>
      <c r="B3246" t="s">
        <v>534</v>
      </c>
      <c r="C3246" t="s">
        <v>535</v>
      </c>
      <c r="D3246" t="str">
        <f>HYPERLINK("http://service.sap.com/sap/support/notes/1570544","1570544")</f>
        <v>1570544</v>
      </c>
      <c r="E3246">
        <v>1</v>
      </c>
      <c r="F3246" t="s">
        <v>3362</v>
      </c>
    </row>
    <row r="3247" spans="1:6" x14ac:dyDescent="0.25">
      <c r="A3247" t="s">
        <v>3366</v>
      </c>
      <c r="B3247" t="s">
        <v>534</v>
      </c>
      <c r="C3247" t="s">
        <v>535</v>
      </c>
      <c r="D3247" t="str">
        <f>HYPERLINK("http://service.sap.com/sap/support/notes/1572595","1572595")</f>
        <v>1572595</v>
      </c>
      <c r="E3247">
        <v>2</v>
      </c>
      <c r="F3247" t="s">
        <v>3363</v>
      </c>
    </row>
    <row r="3248" spans="1:6" x14ac:dyDescent="0.25">
      <c r="A3248" t="s">
        <v>3366</v>
      </c>
      <c r="B3248" t="s">
        <v>534</v>
      </c>
      <c r="C3248" t="s">
        <v>535</v>
      </c>
      <c r="D3248" t="str">
        <f>HYPERLINK("http://service.sap.com/sap/support/notes/1576380","1576380")</f>
        <v>1576380</v>
      </c>
      <c r="E3248">
        <v>1</v>
      </c>
      <c r="F3248" t="s">
        <v>3364</v>
      </c>
    </row>
    <row r="3249" spans="1:6" x14ac:dyDescent="0.25">
      <c r="A3249" t="s">
        <v>3366</v>
      </c>
      <c r="B3249" t="s">
        <v>534</v>
      </c>
      <c r="C3249" t="s">
        <v>535</v>
      </c>
      <c r="D3249" t="str">
        <f>HYPERLINK("http://service.sap.com/sap/support/notes/1577414","1577414")</f>
        <v>1577414</v>
      </c>
      <c r="E3249">
        <v>1</v>
      </c>
      <c r="F3249" t="s">
        <v>3365</v>
      </c>
    </row>
    <row r="3250" spans="1:6" x14ac:dyDescent="0.25">
      <c r="A3250" t="s">
        <v>4034</v>
      </c>
      <c r="B3250" t="s">
        <v>554</v>
      </c>
    </row>
    <row r="3251" spans="1:6" x14ac:dyDescent="0.25">
      <c r="A3251" t="s">
        <v>4034</v>
      </c>
      <c r="B3251" t="s">
        <v>555</v>
      </c>
    </row>
    <row r="3252" spans="1:6" x14ac:dyDescent="0.25">
      <c r="A3252" t="s">
        <v>4034</v>
      </c>
      <c r="B3252" t="s">
        <v>556</v>
      </c>
      <c r="C3252" t="s">
        <v>557</v>
      </c>
      <c r="D3252" t="str">
        <f>HYPERLINK("http://service.sap.com/sap/support/notes/1436348","1436348")</f>
        <v>1436348</v>
      </c>
      <c r="E3252">
        <v>5</v>
      </c>
      <c r="F3252" t="s">
        <v>3367</v>
      </c>
    </row>
    <row r="3253" spans="1:6" x14ac:dyDescent="0.25">
      <c r="A3253" t="s">
        <v>4034</v>
      </c>
      <c r="B3253" t="s">
        <v>556</v>
      </c>
      <c r="C3253" t="s">
        <v>557</v>
      </c>
      <c r="D3253" t="str">
        <f>HYPERLINK("http://service.sap.com/sap/support/notes/1583262","1583262")</f>
        <v>1583262</v>
      </c>
      <c r="E3253">
        <v>1</v>
      </c>
      <c r="F3253" t="s">
        <v>3368</v>
      </c>
    </row>
    <row r="3254" spans="1:6" x14ac:dyDescent="0.25">
      <c r="A3254" t="s">
        <v>4034</v>
      </c>
      <c r="B3254" t="s">
        <v>556</v>
      </c>
      <c r="C3254" t="s">
        <v>557</v>
      </c>
      <c r="D3254" t="str">
        <f>HYPERLINK("http://service.sap.com/sap/support/notes/1587109","1587109")</f>
        <v>1587109</v>
      </c>
      <c r="E3254">
        <v>1</v>
      </c>
      <c r="F3254" t="s">
        <v>3369</v>
      </c>
    </row>
    <row r="3255" spans="1:6" x14ac:dyDescent="0.25">
      <c r="A3255" t="s">
        <v>4034</v>
      </c>
      <c r="B3255" t="s">
        <v>563</v>
      </c>
      <c r="C3255" t="s">
        <v>564</v>
      </c>
      <c r="D3255" t="str">
        <f>HYPERLINK("http://service.sap.com/sap/support/notes/1554633","1554633")</f>
        <v>1554633</v>
      </c>
      <c r="E3255">
        <v>4</v>
      </c>
      <c r="F3255" t="s">
        <v>3370</v>
      </c>
    </row>
    <row r="3256" spans="1:6" x14ac:dyDescent="0.25">
      <c r="A3256" t="s">
        <v>4034</v>
      </c>
      <c r="B3256" t="s">
        <v>3371</v>
      </c>
      <c r="C3256" t="s">
        <v>3372</v>
      </c>
      <c r="D3256" t="str">
        <f>HYPERLINK("http://service.sap.com/sap/support/notes/1556918","1556918")</f>
        <v>1556918</v>
      </c>
      <c r="E3256">
        <v>1</v>
      </c>
      <c r="F3256" t="s">
        <v>3373</v>
      </c>
    </row>
    <row r="3257" spans="1:6" x14ac:dyDescent="0.25">
      <c r="A3257" t="s">
        <v>4034</v>
      </c>
      <c r="B3257" t="s">
        <v>3371</v>
      </c>
      <c r="C3257" t="s">
        <v>3372</v>
      </c>
      <c r="D3257" t="str">
        <f>HYPERLINK("http://service.sap.com/sap/support/notes/1581803","1581803")</f>
        <v>1581803</v>
      </c>
      <c r="E3257">
        <v>3</v>
      </c>
      <c r="F3257" t="s">
        <v>3374</v>
      </c>
    </row>
    <row r="3258" spans="1:6" x14ac:dyDescent="0.25">
      <c r="A3258" t="s">
        <v>4034</v>
      </c>
      <c r="B3258" t="s">
        <v>3375</v>
      </c>
    </row>
    <row r="3259" spans="1:6" x14ac:dyDescent="0.25">
      <c r="A3259" t="s">
        <v>4034</v>
      </c>
      <c r="B3259" t="s">
        <v>3376</v>
      </c>
      <c r="C3259" t="s">
        <v>3377</v>
      </c>
      <c r="D3259" t="str">
        <f>HYPERLINK("http://service.sap.com/sap/support/notes/1585451","1585451")</f>
        <v>1585451</v>
      </c>
      <c r="E3259">
        <v>2</v>
      </c>
      <c r="F3259" t="s">
        <v>3378</v>
      </c>
    </row>
    <row r="3260" spans="1:6" x14ac:dyDescent="0.25">
      <c r="A3260" t="s">
        <v>4034</v>
      </c>
      <c r="B3260" t="s">
        <v>5</v>
      </c>
    </row>
    <row r="3261" spans="1:6" x14ac:dyDescent="0.25">
      <c r="A3261" t="s">
        <v>4034</v>
      </c>
      <c r="B3261" t="s">
        <v>7</v>
      </c>
    </row>
    <row r="3262" spans="1:6" x14ac:dyDescent="0.25">
      <c r="A3262" t="s">
        <v>4034</v>
      </c>
      <c r="B3262" t="s">
        <v>569</v>
      </c>
      <c r="C3262" t="s">
        <v>570</v>
      </c>
      <c r="D3262" t="str">
        <f>HYPERLINK("http://service.sap.com/sap/support/notes/1586467","1586467")</f>
        <v>1586467</v>
      </c>
      <c r="E3262">
        <v>1</v>
      </c>
      <c r="F3262" t="s">
        <v>3379</v>
      </c>
    </row>
    <row r="3263" spans="1:6" x14ac:dyDescent="0.25">
      <c r="A3263" t="s">
        <v>4034</v>
      </c>
      <c r="B3263" t="s">
        <v>573</v>
      </c>
    </row>
    <row r="3264" spans="1:6" x14ac:dyDescent="0.25">
      <c r="A3264" t="s">
        <v>4034</v>
      </c>
      <c r="B3264" t="s">
        <v>574</v>
      </c>
    </row>
    <row r="3265" spans="1:6" x14ac:dyDescent="0.25">
      <c r="A3265" t="s">
        <v>4034</v>
      </c>
      <c r="B3265" t="s">
        <v>575</v>
      </c>
      <c r="C3265" t="s">
        <v>576</v>
      </c>
      <c r="D3265" t="str">
        <f>HYPERLINK("http://service.sap.com/sap/support/notes/1582990","1582990")</f>
        <v>1582990</v>
      </c>
      <c r="E3265">
        <v>1</v>
      </c>
      <c r="F3265" t="s">
        <v>3380</v>
      </c>
    </row>
    <row r="3266" spans="1:6" x14ac:dyDescent="0.25">
      <c r="A3266" t="s">
        <v>4034</v>
      </c>
      <c r="B3266" t="s">
        <v>585</v>
      </c>
    </row>
    <row r="3267" spans="1:6" x14ac:dyDescent="0.25">
      <c r="A3267" t="s">
        <v>4034</v>
      </c>
      <c r="B3267" t="s">
        <v>586</v>
      </c>
    </row>
    <row r="3268" spans="1:6" x14ac:dyDescent="0.25">
      <c r="A3268" t="s">
        <v>4034</v>
      </c>
      <c r="B3268" t="s">
        <v>587</v>
      </c>
    </row>
    <row r="3269" spans="1:6" x14ac:dyDescent="0.25">
      <c r="A3269" t="s">
        <v>4034</v>
      </c>
      <c r="B3269" t="s">
        <v>588</v>
      </c>
      <c r="C3269" t="s">
        <v>589</v>
      </c>
      <c r="D3269" t="str">
        <f>HYPERLINK("http://service.sap.com/sap/support/notes/1555377","1555377")</f>
        <v>1555377</v>
      </c>
      <c r="E3269">
        <v>1</v>
      </c>
      <c r="F3269" t="s">
        <v>3381</v>
      </c>
    </row>
    <row r="3270" spans="1:6" x14ac:dyDescent="0.25">
      <c r="A3270" t="s">
        <v>4034</v>
      </c>
      <c r="B3270" t="s">
        <v>588</v>
      </c>
      <c r="C3270" t="s">
        <v>589</v>
      </c>
      <c r="D3270" t="str">
        <f>HYPERLINK("http://service.sap.com/sap/support/notes/1569947","1569947")</f>
        <v>1569947</v>
      </c>
      <c r="E3270">
        <v>1</v>
      </c>
      <c r="F3270" t="s">
        <v>3382</v>
      </c>
    </row>
    <row r="3271" spans="1:6" x14ac:dyDescent="0.25">
      <c r="A3271" t="s">
        <v>4034</v>
      </c>
      <c r="B3271" t="s">
        <v>20</v>
      </c>
    </row>
    <row r="3272" spans="1:6" x14ac:dyDescent="0.25">
      <c r="A3272" t="s">
        <v>4034</v>
      </c>
      <c r="B3272" t="s">
        <v>22</v>
      </c>
      <c r="C3272" t="s">
        <v>3383</v>
      </c>
      <c r="D3272" t="str">
        <f>HYPERLINK("http://service.sap.com/sap/support/notes/1583529","1583529")</f>
        <v>1583529</v>
      </c>
      <c r="E3272">
        <v>4</v>
      </c>
      <c r="F3272" t="s">
        <v>3384</v>
      </c>
    </row>
    <row r="3273" spans="1:6" x14ac:dyDescent="0.25">
      <c r="A3273" t="s">
        <v>4034</v>
      </c>
      <c r="B3273" t="s">
        <v>22</v>
      </c>
      <c r="C3273" t="s">
        <v>3383</v>
      </c>
      <c r="D3273" t="str">
        <f>HYPERLINK("http://service.sap.com/sap/support/notes/1584516","1584516")</f>
        <v>1584516</v>
      </c>
      <c r="E3273">
        <v>1</v>
      </c>
      <c r="F3273" t="s">
        <v>3385</v>
      </c>
    </row>
    <row r="3274" spans="1:6" x14ac:dyDescent="0.25">
      <c r="A3274" t="s">
        <v>4034</v>
      </c>
      <c r="B3274" t="s">
        <v>24</v>
      </c>
      <c r="C3274" t="s">
        <v>25</v>
      </c>
      <c r="D3274" t="str">
        <f>HYPERLINK("http://service.sap.com/sap/support/notes/1575729","1575729")</f>
        <v>1575729</v>
      </c>
      <c r="E3274">
        <v>3</v>
      </c>
      <c r="F3274" t="s">
        <v>3386</v>
      </c>
    </row>
    <row r="3275" spans="1:6" x14ac:dyDescent="0.25">
      <c r="A3275" t="s">
        <v>4034</v>
      </c>
      <c r="B3275" t="s">
        <v>24</v>
      </c>
      <c r="C3275" t="s">
        <v>25</v>
      </c>
      <c r="D3275" t="str">
        <f>HYPERLINK("http://service.sap.com/sap/support/notes/1590513","1590513")</f>
        <v>1590513</v>
      </c>
      <c r="E3275">
        <v>1</v>
      </c>
      <c r="F3275" t="s">
        <v>3387</v>
      </c>
    </row>
    <row r="3276" spans="1:6" x14ac:dyDescent="0.25">
      <c r="A3276" t="s">
        <v>4034</v>
      </c>
      <c r="B3276" t="s">
        <v>27</v>
      </c>
    </row>
    <row r="3277" spans="1:6" x14ac:dyDescent="0.25">
      <c r="A3277" t="s">
        <v>4034</v>
      </c>
      <c r="B3277" t="s">
        <v>592</v>
      </c>
      <c r="C3277" t="s">
        <v>593</v>
      </c>
      <c r="D3277" t="str">
        <f>HYPERLINK("http://service.sap.com/sap/support/notes/534314","534314")</f>
        <v>534314</v>
      </c>
      <c r="E3277">
        <v>2</v>
      </c>
      <c r="F3277" t="s">
        <v>3388</v>
      </c>
    </row>
    <row r="3278" spans="1:6" x14ac:dyDescent="0.25">
      <c r="A3278" t="s">
        <v>4034</v>
      </c>
      <c r="B3278" t="s">
        <v>592</v>
      </c>
      <c r="C3278" t="s">
        <v>593</v>
      </c>
      <c r="D3278" t="str">
        <f>HYPERLINK("http://service.sap.com/sap/support/notes/1172800","1172800")</f>
        <v>1172800</v>
      </c>
      <c r="E3278">
        <v>1</v>
      </c>
      <c r="F3278" t="s">
        <v>3389</v>
      </c>
    </row>
    <row r="3279" spans="1:6" x14ac:dyDescent="0.25">
      <c r="A3279" t="s">
        <v>4034</v>
      </c>
      <c r="B3279" t="s">
        <v>592</v>
      </c>
      <c r="C3279" t="s">
        <v>593</v>
      </c>
      <c r="D3279" t="str">
        <f>HYPERLINK("http://service.sap.com/sap/support/notes/1581149","1581149")</f>
        <v>1581149</v>
      </c>
      <c r="E3279">
        <v>1</v>
      </c>
      <c r="F3279" t="s">
        <v>3390</v>
      </c>
    </row>
    <row r="3280" spans="1:6" x14ac:dyDescent="0.25">
      <c r="A3280" t="s">
        <v>4034</v>
      </c>
      <c r="B3280" t="s">
        <v>592</v>
      </c>
      <c r="C3280" t="s">
        <v>593</v>
      </c>
      <c r="D3280" t="str">
        <f>HYPERLINK("http://service.sap.com/sap/support/notes/1588204","1588204")</f>
        <v>1588204</v>
      </c>
      <c r="E3280">
        <v>1</v>
      </c>
      <c r="F3280" t="s">
        <v>3391</v>
      </c>
    </row>
    <row r="3281" spans="1:6" x14ac:dyDescent="0.25">
      <c r="A3281" t="s">
        <v>4034</v>
      </c>
      <c r="B3281" t="s">
        <v>596</v>
      </c>
      <c r="C3281" t="s">
        <v>597</v>
      </c>
      <c r="D3281" t="str">
        <f>HYPERLINK("http://service.sap.com/sap/support/notes/1537230","1537230")</f>
        <v>1537230</v>
      </c>
      <c r="E3281">
        <v>2</v>
      </c>
      <c r="F3281" t="s">
        <v>3392</v>
      </c>
    </row>
    <row r="3282" spans="1:6" x14ac:dyDescent="0.25">
      <c r="A3282" t="s">
        <v>4034</v>
      </c>
      <c r="B3282" t="s">
        <v>28</v>
      </c>
      <c r="C3282" t="s">
        <v>29</v>
      </c>
      <c r="D3282" t="str">
        <f>HYPERLINK("http://service.sap.com/sap/support/notes/1528331","1528331")</f>
        <v>1528331</v>
      </c>
      <c r="E3282">
        <v>2</v>
      </c>
      <c r="F3282" t="s">
        <v>3393</v>
      </c>
    </row>
    <row r="3283" spans="1:6" x14ac:dyDescent="0.25">
      <c r="A3283" t="s">
        <v>4034</v>
      </c>
      <c r="B3283" t="s">
        <v>28</v>
      </c>
      <c r="C3283" t="s">
        <v>29</v>
      </c>
      <c r="D3283" t="str">
        <f>HYPERLINK("http://service.sap.com/sap/support/notes/1573462","1573462")</f>
        <v>1573462</v>
      </c>
      <c r="E3283">
        <v>2</v>
      </c>
      <c r="F3283" t="s">
        <v>3394</v>
      </c>
    </row>
    <row r="3284" spans="1:6" x14ac:dyDescent="0.25">
      <c r="A3284" t="s">
        <v>4034</v>
      </c>
      <c r="B3284" t="s">
        <v>30</v>
      </c>
      <c r="C3284" t="s">
        <v>3395</v>
      </c>
      <c r="D3284" t="str">
        <f>HYPERLINK("http://service.sap.com/sap/support/notes/1515118","1515118")</f>
        <v>1515118</v>
      </c>
      <c r="E3284">
        <v>2</v>
      </c>
      <c r="F3284" t="s">
        <v>3396</v>
      </c>
    </row>
    <row r="3285" spans="1:6" x14ac:dyDescent="0.25">
      <c r="A3285" t="s">
        <v>4034</v>
      </c>
      <c r="B3285" t="s">
        <v>622</v>
      </c>
      <c r="C3285" t="s">
        <v>623</v>
      </c>
      <c r="D3285" t="str">
        <f>HYPERLINK("http://service.sap.com/sap/support/notes/1546256","1546256")</f>
        <v>1546256</v>
      </c>
      <c r="E3285">
        <v>2</v>
      </c>
      <c r="F3285" t="s">
        <v>3397</v>
      </c>
    </row>
    <row r="3286" spans="1:6" x14ac:dyDescent="0.25">
      <c r="A3286" t="s">
        <v>4034</v>
      </c>
      <c r="B3286" t="s">
        <v>622</v>
      </c>
      <c r="C3286" t="s">
        <v>623</v>
      </c>
      <c r="D3286" t="str">
        <f>HYPERLINK("http://service.sap.com/sap/support/notes/1547922","1547922")</f>
        <v>1547922</v>
      </c>
      <c r="E3286">
        <v>3</v>
      </c>
      <c r="F3286" t="s">
        <v>3398</v>
      </c>
    </row>
    <row r="3287" spans="1:6" x14ac:dyDescent="0.25">
      <c r="A3287" t="s">
        <v>4034</v>
      </c>
      <c r="B3287" t="s">
        <v>622</v>
      </c>
      <c r="C3287" t="s">
        <v>623</v>
      </c>
      <c r="D3287" t="str">
        <f>HYPERLINK("http://service.sap.com/sap/support/notes/1551627","1551627")</f>
        <v>1551627</v>
      </c>
      <c r="E3287">
        <v>2</v>
      </c>
      <c r="F3287" t="s">
        <v>3399</v>
      </c>
    </row>
    <row r="3288" spans="1:6" x14ac:dyDescent="0.25">
      <c r="A3288" t="s">
        <v>4034</v>
      </c>
      <c r="B3288" t="s">
        <v>629</v>
      </c>
      <c r="C3288" t="s">
        <v>630</v>
      </c>
      <c r="D3288" t="str">
        <f>HYPERLINK("http://service.sap.com/sap/support/notes/1493586","1493586")</f>
        <v>1493586</v>
      </c>
      <c r="E3288">
        <v>1</v>
      </c>
      <c r="F3288" t="s">
        <v>632</v>
      </c>
    </row>
    <row r="3289" spans="1:6" x14ac:dyDescent="0.25">
      <c r="A3289" t="s">
        <v>4034</v>
      </c>
      <c r="B3289" t="s">
        <v>3400</v>
      </c>
      <c r="C3289" t="s">
        <v>3401</v>
      </c>
      <c r="D3289" t="str">
        <f>HYPERLINK("http://service.sap.com/sap/support/notes/1535775","1535775")</f>
        <v>1535775</v>
      </c>
      <c r="E3289">
        <v>4</v>
      </c>
      <c r="F3289" t="s">
        <v>3402</v>
      </c>
    </row>
    <row r="3290" spans="1:6" x14ac:dyDescent="0.25">
      <c r="A3290" t="s">
        <v>4034</v>
      </c>
      <c r="B3290" t="s">
        <v>3403</v>
      </c>
      <c r="C3290" t="s">
        <v>3404</v>
      </c>
      <c r="D3290" t="str">
        <f>HYPERLINK("http://service.sap.com/sap/support/notes/1548343","1548343")</f>
        <v>1548343</v>
      </c>
      <c r="E3290">
        <v>3</v>
      </c>
      <c r="F3290" t="s">
        <v>3405</v>
      </c>
    </row>
    <row r="3291" spans="1:6" x14ac:dyDescent="0.25">
      <c r="A3291" t="s">
        <v>4034</v>
      </c>
      <c r="B3291" t="s">
        <v>3403</v>
      </c>
      <c r="C3291" t="s">
        <v>3404</v>
      </c>
      <c r="D3291" t="str">
        <f>HYPERLINK("http://service.sap.com/sap/support/notes/1564378","1564378")</f>
        <v>1564378</v>
      </c>
      <c r="E3291">
        <v>1</v>
      </c>
      <c r="F3291" t="s">
        <v>3406</v>
      </c>
    </row>
    <row r="3292" spans="1:6" x14ac:dyDescent="0.25">
      <c r="A3292" t="s">
        <v>4034</v>
      </c>
      <c r="B3292" t="s">
        <v>33</v>
      </c>
      <c r="C3292" t="s">
        <v>34</v>
      </c>
      <c r="D3292" t="str">
        <f>HYPERLINK("http://service.sap.com/sap/support/notes/1488955","1488955")</f>
        <v>1488955</v>
      </c>
      <c r="E3292">
        <v>3</v>
      </c>
      <c r="F3292" t="s">
        <v>3407</v>
      </c>
    </row>
    <row r="3293" spans="1:6" x14ac:dyDescent="0.25">
      <c r="A3293" t="s">
        <v>4034</v>
      </c>
      <c r="B3293" t="s">
        <v>33</v>
      </c>
      <c r="C3293" t="s">
        <v>34</v>
      </c>
      <c r="D3293" t="str">
        <f>HYPERLINK("http://service.sap.com/sap/support/notes/1528315","1528315")</f>
        <v>1528315</v>
      </c>
      <c r="E3293">
        <v>1</v>
      </c>
      <c r="F3293" t="s">
        <v>3408</v>
      </c>
    </row>
    <row r="3294" spans="1:6" x14ac:dyDescent="0.25">
      <c r="A3294" t="s">
        <v>4034</v>
      </c>
      <c r="B3294" t="s">
        <v>33</v>
      </c>
      <c r="C3294" t="s">
        <v>34</v>
      </c>
      <c r="D3294" t="str">
        <f>HYPERLINK("http://service.sap.com/sap/support/notes/1532623","1532623")</f>
        <v>1532623</v>
      </c>
      <c r="E3294">
        <v>3</v>
      </c>
      <c r="F3294" t="s">
        <v>3409</v>
      </c>
    </row>
    <row r="3295" spans="1:6" x14ac:dyDescent="0.25">
      <c r="A3295" t="s">
        <v>4034</v>
      </c>
      <c r="B3295" t="s">
        <v>33</v>
      </c>
      <c r="C3295" t="s">
        <v>34</v>
      </c>
      <c r="D3295" t="str">
        <f>HYPERLINK("http://service.sap.com/sap/support/notes/1536953","1536953")</f>
        <v>1536953</v>
      </c>
      <c r="E3295">
        <v>1</v>
      </c>
      <c r="F3295" t="s">
        <v>3410</v>
      </c>
    </row>
    <row r="3296" spans="1:6" x14ac:dyDescent="0.25">
      <c r="A3296" t="s">
        <v>4034</v>
      </c>
      <c r="B3296" t="s">
        <v>33</v>
      </c>
      <c r="C3296" t="s">
        <v>34</v>
      </c>
      <c r="D3296" t="str">
        <f>HYPERLINK("http://service.sap.com/sap/support/notes/1557663","1557663")</f>
        <v>1557663</v>
      </c>
      <c r="E3296">
        <v>2</v>
      </c>
      <c r="F3296" t="s">
        <v>3411</v>
      </c>
    </row>
    <row r="3297" spans="1:6" x14ac:dyDescent="0.25">
      <c r="A3297" t="s">
        <v>4034</v>
      </c>
      <c r="B3297" t="s">
        <v>33</v>
      </c>
      <c r="C3297" t="s">
        <v>34</v>
      </c>
      <c r="D3297" t="str">
        <f>HYPERLINK("http://service.sap.com/sap/support/notes/1558231","1558231")</f>
        <v>1558231</v>
      </c>
      <c r="E3297">
        <v>3</v>
      </c>
      <c r="F3297" t="s">
        <v>3412</v>
      </c>
    </row>
    <row r="3298" spans="1:6" x14ac:dyDescent="0.25">
      <c r="A3298" t="s">
        <v>4034</v>
      </c>
      <c r="B3298" t="s">
        <v>33</v>
      </c>
      <c r="C3298" t="s">
        <v>34</v>
      </c>
      <c r="D3298" t="str">
        <f>HYPERLINK("http://service.sap.com/sap/support/notes/1591799","1591799")</f>
        <v>1591799</v>
      </c>
      <c r="E3298">
        <v>2</v>
      </c>
      <c r="F3298" t="s">
        <v>3413</v>
      </c>
    </row>
    <row r="3299" spans="1:6" x14ac:dyDescent="0.25">
      <c r="A3299" t="s">
        <v>4034</v>
      </c>
      <c r="B3299" t="s">
        <v>652</v>
      </c>
      <c r="C3299" t="s">
        <v>653</v>
      </c>
      <c r="D3299" t="str">
        <f>HYPERLINK("http://service.sap.com/sap/support/notes/1538169","1538169")</f>
        <v>1538169</v>
      </c>
      <c r="E3299">
        <v>3</v>
      </c>
      <c r="F3299" t="s">
        <v>3414</v>
      </c>
    </row>
    <row r="3300" spans="1:6" x14ac:dyDescent="0.25">
      <c r="A3300" t="s">
        <v>4034</v>
      </c>
      <c r="B3300" t="s">
        <v>652</v>
      </c>
      <c r="C3300" t="s">
        <v>653</v>
      </c>
      <c r="D3300" t="str">
        <f>HYPERLINK("http://service.sap.com/sap/support/notes/1555920","1555920")</f>
        <v>1555920</v>
      </c>
      <c r="E3300">
        <v>2</v>
      </c>
      <c r="F3300" t="s">
        <v>3415</v>
      </c>
    </row>
    <row r="3301" spans="1:6" x14ac:dyDescent="0.25">
      <c r="A3301" t="s">
        <v>4034</v>
      </c>
      <c r="B3301" t="s">
        <v>652</v>
      </c>
      <c r="C3301" t="s">
        <v>653</v>
      </c>
      <c r="D3301" t="str">
        <f>HYPERLINK("http://service.sap.com/sap/support/notes/1559006","1559006")</f>
        <v>1559006</v>
      </c>
      <c r="E3301">
        <v>1</v>
      </c>
      <c r="F3301" t="s">
        <v>3416</v>
      </c>
    </row>
    <row r="3302" spans="1:6" x14ac:dyDescent="0.25">
      <c r="A3302" t="s">
        <v>4034</v>
      </c>
      <c r="B3302" t="s">
        <v>652</v>
      </c>
      <c r="C3302" t="s">
        <v>653</v>
      </c>
      <c r="D3302" t="str">
        <f>HYPERLINK("http://service.sap.com/sap/support/notes/1560603","1560603")</f>
        <v>1560603</v>
      </c>
      <c r="E3302">
        <v>1</v>
      </c>
      <c r="F3302" t="s">
        <v>3417</v>
      </c>
    </row>
    <row r="3303" spans="1:6" x14ac:dyDescent="0.25">
      <c r="A3303" t="s">
        <v>4034</v>
      </c>
      <c r="B3303" t="s">
        <v>652</v>
      </c>
      <c r="C3303" t="s">
        <v>653</v>
      </c>
      <c r="D3303" t="str">
        <f>HYPERLINK("http://service.sap.com/sap/support/notes/1570634","1570634")</f>
        <v>1570634</v>
      </c>
      <c r="E3303">
        <v>2</v>
      </c>
      <c r="F3303" t="s">
        <v>3418</v>
      </c>
    </row>
    <row r="3304" spans="1:6" x14ac:dyDescent="0.25">
      <c r="A3304" t="s">
        <v>4034</v>
      </c>
      <c r="B3304" t="s">
        <v>35</v>
      </c>
      <c r="C3304" t="s">
        <v>36</v>
      </c>
      <c r="D3304" t="str">
        <f>HYPERLINK("http://service.sap.com/sap/support/notes/1530815","1530815")</f>
        <v>1530815</v>
      </c>
      <c r="E3304">
        <v>1</v>
      </c>
      <c r="F3304" t="s">
        <v>3419</v>
      </c>
    </row>
    <row r="3305" spans="1:6" x14ac:dyDescent="0.25">
      <c r="A3305" t="s">
        <v>4034</v>
      </c>
      <c r="B3305" t="s">
        <v>35</v>
      </c>
      <c r="C3305" t="s">
        <v>36</v>
      </c>
      <c r="D3305" t="str">
        <f>HYPERLINK("http://service.sap.com/sap/support/notes/1534077","1534077")</f>
        <v>1534077</v>
      </c>
      <c r="E3305">
        <v>2</v>
      </c>
      <c r="F3305" t="s">
        <v>3420</v>
      </c>
    </row>
    <row r="3306" spans="1:6" x14ac:dyDescent="0.25">
      <c r="A3306" t="s">
        <v>4034</v>
      </c>
      <c r="B3306" t="s">
        <v>35</v>
      </c>
      <c r="C3306" t="s">
        <v>36</v>
      </c>
      <c r="D3306" t="str">
        <f>HYPERLINK("http://service.sap.com/sap/support/notes/1545632","1545632")</f>
        <v>1545632</v>
      </c>
      <c r="E3306">
        <v>2</v>
      </c>
      <c r="F3306" t="s">
        <v>3421</v>
      </c>
    </row>
    <row r="3307" spans="1:6" x14ac:dyDescent="0.25">
      <c r="A3307" t="s">
        <v>4034</v>
      </c>
      <c r="B3307" t="s">
        <v>35</v>
      </c>
      <c r="C3307" t="s">
        <v>36</v>
      </c>
      <c r="D3307" t="str">
        <f>HYPERLINK("http://service.sap.com/sap/support/notes/1566618","1566618")</f>
        <v>1566618</v>
      </c>
      <c r="E3307">
        <v>1</v>
      </c>
      <c r="F3307" t="s">
        <v>3422</v>
      </c>
    </row>
    <row r="3308" spans="1:6" x14ac:dyDescent="0.25">
      <c r="A3308" t="s">
        <v>4034</v>
      </c>
      <c r="B3308" t="s">
        <v>35</v>
      </c>
      <c r="C3308" t="s">
        <v>36</v>
      </c>
      <c r="D3308" t="str">
        <f>HYPERLINK("http://service.sap.com/sap/support/notes/1569686","1569686")</f>
        <v>1569686</v>
      </c>
      <c r="E3308">
        <v>1</v>
      </c>
      <c r="F3308" t="s">
        <v>3423</v>
      </c>
    </row>
    <row r="3309" spans="1:6" x14ac:dyDescent="0.25">
      <c r="A3309" t="s">
        <v>4034</v>
      </c>
      <c r="B3309" t="s">
        <v>38</v>
      </c>
    </row>
    <row r="3310" spans="1:6" x14ac:dyDescent="0.25">
      <c r="A3310" t="s">
        <v>4034</v>
      </c>
      <c r="B3310" t="s">
        <v>40</v>
      </c>
      <c r="C3310" t="s">
        <v>41</v>
      </c>
      <c r="D3310" t="str">
        <f>HYPERLINK("http://service.sap.com/sap/support/notes/1539462","1539462")</f>
        <v>1539462</v>
      </c>
      <c r="E3310">
        <v>2</v>
      </c>
      <c r="F3310" t="s">
        <v>3424</v>
      </c>
    </row>
    <row r="3311" spans="1:6" x14ac:dyDescent="0.25">
      <c r="A3311" t="s">
        <v>4034</v>
      </c>
      <c r="B3311" t="s">
        <v>44</v>
      </c>
      <c r="C3311" t="s">
        <v>45</v>
      </c>
      <c r="D3311" t="str">
        <f>HYPERLINK("http://service.sap.com/sap/support/notes/1562054","1562054")</f>
        <v>1562054</v>
      </c>
      <c r="E3311">
        <v>2</v>
      </c>
      <c r="F3311" t="s">
        <v>3425</v>
      </c>
    </row>
    <row r="3312" spans="1:6" x14ac:dyDescent="0.25">
      <c r="A3312" t="s">
        <v>4034</v>
      </c>
      <c r="B3312" t="s">
        <v>48</v>
      </c>
      <c r="C3312" t="s">
        <v>49</v>
      </c>
      <c r="D3312" t="str">
        <f>HYPERLINK("http://service.sap.com/sap/support/notes/1581649","1581649")</f>
        <v>1581649</v>
      </c>
      <c r="E3312">
        <v>1</v>
      </c>
      <c r="F3312" t="s">
        <v>3426</v>
      </c>
    </row>
    <row r="3313" spans="1:6" x14ac:dyDescent="0.25">
      <c r="A3313" t="s">
        <v>4034</v>
      </c>
      <c r="B3313" t="s">
        <v>48</v>
      </c>
      <c r="C3313" t="s">
        <v>49</v>
      </c>
      <c r="D3313" t="str">
        <f>HYPERLINK("http://service.sap.com/sap/support/notes/1584227","1584227")</f>
        <v>1584227</v>
      </c>
      <c r="E3313">
        <v>1</v>
      </c>
      <c r="F3313" t="s">
        <v>3427</v>
      </c>
    </row>
    <row r="3314" spans="1:6" x14ac:dyDescent="0.25">
      <c r="A3314" t="s">
        <v>4034</v>
      </c>
      <c r="B3314" t="s">
        <v>51</v>
      </c>
      <c r="C3314" t="s">
        <v>52</v>
      </c>
      <c r="D3314" t="str">
        <f>HYPERLINK("http://service.sap.com/sap/support/notes/1322754","1322754")</f>
        <v>1322754</v>
      </c>
      <c r="E3314">
        <v>7</v>
      </c>
      <c r="F3314" t="s">
        <v>3428</v>
      </c>
    </row>
    <row r="3315" spans="1:6" x14ac:dyDescent="0.25">
      <c r="A3315" t="s">
        <v>4034</v>
      </c>
      <c r="B3315" t="s">
        <v>51</v>
      </c>
      <c r="C3315" t="s">
        <v>52</v>
      </c>
      <c r="D3315" t="str">
        <f>HYPERLINK("http://service.sap.com/sap/support/notes/1533056","1533056")</f>
        <v>1533056</v>
      </c>
      <c r="E3315">
        <v>1</v>
      </c>
      <c r="F3315" t="s">
        <v>3429</v>
      </c>
    </row>
    <row r="3316" spans="1:6" x14ac:dyDescent="0.25">
      <c r="A3316" t="s">
        <v>4034</v>
      </c>
      <c r="B3316" t="s">
        <v>51</v>
      </c>
      <c r="C3316" t="s">
        <v>52</v>
      </c>
      <c r="D3316" t="str">
        <f>HYPERLINK("http://service.sap.com/sap/support/notes/1534138","1534138")</f>
        <v>1534138</v>
      </c>
      <c r="E3316">
        <v>2</v>
      </c>
      <c r="F3316" t="s">
        <v>3430</v>
      </c>
    </row>
    <row r="3317" spans="1:6" x14ac:dyDescent="0.25">
      <c r="A3317" t="s">
        <v>4034</v>
      </c>
      <c r="B3317" t="s">
        <v>51</v>
      </c>
      <c r="C3317" t="s">
        <v>52</v>
      </c>
      <c r="D3317" t="str">
        <f>HYPERLINK("http://service.sap.com/sap/support/notes/1569378","1569378")</f>
        <v>1569378</v>
      </c>
      <c r="E3317">
        <v>1</v>
      </c>
      <c r="F3317" t="s">
        <v>3431</v>
      </c>
    </row>
    <row r="3318" spans="1:6" x14ac:dyDescent="0.25">
      <c r="A3318" t="s">
        <v>4034</v>
      </c>
      <c r="B3318" t="s">
        <v>51</v>
      </c>
      <c r="C3318" t="s">
        <v>52</v>
      </c>
      <c r="D3318" t="str">
        <f>HYPERLINK("http://service.sap.com/sap/support/notes/1582123","1582123")</f>
        <v>1582123</v>
      </c>
      <c r="E3318">
        <v>1</v>
      </c>
      <c r="F3318" t="s">
        <v>3432</v>
      </c>
    </row>
    <row r="3319" spans="1:6" x14ac:dyDescent="0.25">
      <c r="A3319" t="s">
        <v>4034</v>
      </c>
      <c r="B3319" t="s">
        <v>3433</v>
      </c>
      <c r="C3319" t="s">
        <v>3434</v>
      </c>
      <c r="D3319" t="str">
        <f>HYPERLINK("http://service.sap.com/sap/support/notes/1582558","1582558")</f>
        <v>1582558</v>
      </c>
      <c r="E3319">
        <v>1</v>
      </c>
      <c r="F3319" t="s">
        <v>3435</v>
      </c>
    </row>
    <row r="3320" spans="1:6" x14ac:dyDescent="0.25">
      <c r="A3320" t="s">
        <v>4034</v>
      </c>
      <c r="B3320" t="s">
        <v>54</v>
      </c>
      <c r="C3320" t="s">
        <v>55</v>
      </c>
      <c r="D3320" t="str">
        <f>HYPERLINK("http://service.sap.com/sap/support/notes/1584639","1584639")</f>
        <v>1584639</v>
      </c>
      <c r="E3320">
        <v>2</v>
      </c>
      <c r="F3320" t="s">
        <v>3436</v>
      </c>
    </row>
    <row r="3321" spans="1:6" x14ac:dyDescent="0.25">
      <c r="A3321" t="s">
        <v>4034</v>
      </c>
      <c r="B3321" t="s">
        <v>57</v>
      </c>
      <c r="C3321" t="s">
        <v>58</v>
      </c>
      <c r="D3321" t="str">
        <f>HYPERLINK("http://service.sap.com/sap/support/notes/700094","700094")</f>
        <v>700094</v>
      </c>
      <c r="E3321">
        <v>8</v>
      </c>
      <c r="F3321" t="s">
        <v>677</v>
      </c>
    </row>
    <row r="3322" spans="1:6" x14ac:dyDescent="0.25">
      <c r="A3322" t="s">
        <v>4034</v>
      </c>
      <c r="B3322" t="s">
        <v>59</v>
      </c>
      <c r="C3322" t="s">
        <v>679</v>
      </c>
      <c r="D3322" t="str">
        <f>HYPERLINK("http://service.sap.com/sap/support/notes/1569626","1569626")</f>
        <v>1569626</v>
      </c>
      <c r="E3322">
        <v>4</v>
      </c>
      <c r="F3322" t="s">
        <v>3437</v>
      </c>
    </row>
    <row r="3323" spans="1:6" x14ac:dyDescent="0.25">
      <c r="A3323" t="s">
        <v>4034</v>
      </c>
      <c r="B3323" t="s">
        <v>59</v>
      </c>
      <c r="C3323" t="s">
        <v>679</v>
      </c>
      <c r="D3323" t="str">
        <f>HYPERLINK("http://service.sap.com/sap/support/notes/1573391","1573391")</f>
        <v>1573391</v>
      </c>
      <c r="E3323">
        <v>4</v>
      </c>
      <c r="F3323" t="s">
        <v>3438</v>
      </c>
    </row>
    <row r="3324" spans="1:6" x14ac:dyDescent="0.25">
      <c r="A3324" t="s">
        <v>4034</v>
      </c>
      <c r="B3324" t="s">
        <v>59</v>
      </c>
      <c r="C3324" t="s">
        <v>679</v>
      </c>
      <c r="D3324" t="str">
        <f>HYPERLINK("http://service.sap.com/sap/support/notes/1578547","1578547")</f>
        <v>1578547</v>
      </c>
      <c r="E3324">
        <v>2</v>
      </c>
      <c r="F3324" t="s">
        <v>3439</v>
      </c>
    </row>
    <row r="3325" spans="1:6" x14ac:dyDescent="0.25">
      <c r="A3325" t="s">
        <v>4034</v>
      </c>
      <c r="B3325" t="s">
        <v>59</v>
      </c>
      <c r="C3325" t="s">
        <v>679</v>
      </c>
      <c r="D3325" t="str">
        <f>HYPERLINK("http://service.sap.com/sap/support/notes/1580700","1580700")</f>
        <v>1580700</v>
      </c>
      <c r="E3325">
        <v>3</v>
      </c>
      <c r="F3325" t="s">
        <v>2976</v>
      </c>
    </row>
    <row r="3326" spans="1:6" x14ac:dyDescent="0.25">
      <c r="A3326" t="s">
        <v>4034</v>
      </c>
      <c r="B3326" t="s">
        <v>59</v>
      </c>
      <c r="C3326" t="s">
        <v>679</v>
      </c>
      <c r="D3326" t="str">
        <f>HYPERLINK("http://service.sap.com/sap/support/notes/1583329","1583329")</f>
        <v>1583329</v>
      </c>
      <c r="E3326">
        <v>2</v>
      </c>
      <c r="F3326" t="s">
        <v>3440</v>
      </c>
    </row>
    <row r="3327" spans="1:6" x14ac:dyDescent="0.25">
      <c r="A3327" t="s">
        <v>4034</v>
      </c>
      <c r="B3327" t="s">
        <v>59</v>
      </c>
      <c r="C3327" t="s">
        <v>679</v>
      </c>
      <c r="D3327" t="str">
        <f>HYPERLINK("http://service.sap.com/sap/support/notes/1583923","1583923")</f>
        <v>1583923</v>
      </c>
      <c r="E3327">
        <v>2</v>
      </c>
      <c r="F3327" t="s">
        <v>3441</v>
      </c>
    </row>
    <row r="3328" spans="1:6" x14ac:dyDescent="0.25">
      <c r="A3328" t="s">
        <v>4034</v>
      </c>
      <c r="B3328" t="s">
        <v>59</v>
      </c>
      <c r="C3328" t="s">
        <v>679</v>
      </c>
      <c r="D3328" t="str">
        <f>HYPERLINK("http://service.sap.com/sap/support/notes/1584029","1584029")</f>
        <v>1584029</v>
      </c>
      <c r="E3328">
        <v>2</v>
      </c>
      <c r="F3328" t="s">
        <v>3442</v>
      </c>
    </row>
    <row r="3329" spans="1:6" x14ac:dyDescent="0.25">
      <c r="A3329" t="s">
        <v>4034</v>
      </c>
      <c r="B3329" t="s">
        <v>694</v>
      </c>
      <c r="C3329" t="s">
        <v>695</v>
      </c>
      <c r="D3329" t="str">
        <f>HYPERLINK("http://service.sap.com/sap/support/notes/1563947","1563947")</f>
        <v>1563947</v>
      </c>
      <c r="E3329">
        <v>1</v>
      </c>
      <c r="F3329" t="s">
        <v>3443</v>
      </c>
    </row>
    <row r="3330" spans="1:6" x14ac:dyDescent="0.25">
      <c r="A3330" t="s">
        <v>4034</v>
      </c>
      <c r="B3330" t="s">
        <v>694</v>
      </c>
      <c r="C3330" t="s">
        <v>695</v>
      </c>
      <c r="D3330" t="str">
        <f>HYPERLINK("http://service.sap.com/sap/support/notes/1587624","1587624")</f>
        <v>1587624</v>
      </c>
      <c r="E3330">
        <v>2</v>
      </c>
      <c r="F3330" t="s">
        <v>3444</v>
      </c>
    </row>
    <row r="3331" spans="1:6" x14ac:dyDescent="0.25">
      <c r="A3331" t="s">
        <v>4034</v>
      </c>
      <c r="B3331" t="s">
        <v>76</v>
      </c>
      <c r="C3331" t="s">
        <v>77</v>
      </c>
      <c r="D3331" t="str">
        <f>HYPERLINK("http://service.sap.com/sap/support/notes/448307","448307")</f>
        <v>448307</v>
      </c>
      <c r="E3331">
        <v>1</v>
      </c>
      <c r="F3331" t="s">
        <v>78</v>
      </c>
    </row>
    <row r="3332" spans="1:6" x14ac:dyDescent="0.25">
      <c r="A3332" t="s">
        <v>4034</v>
      </c>
      <c r="B3332" t="s">
        <v>79</v>
      </c>
      <c r="C3332" t="s">
        <v>80</v>
      </c>
      <c r="D3332" t="str">
        <f>HYPERLINK("http://service.sap.com/sap/support/notes/1580585","1580585")</f>
        <v>1580585</v>
      </c>
      <c r="E3332">
        <v>1</v>
      </c>
      <c r="F3332" t="s">
        <v>3445</v>
      </c>
    </row>
    <row r="3333" spans="1:6" x14ac:dyDescent="0.25">
      <c r="A3333" t="s">
        <v>4034</v>
      </c>
      <c r="B3333" t="s">
        <v>79</v>
      </c>
      <c r="C3333" t="s">
        <v>80</v>
      </c>
      <c r="D3333" t="str">
        <f>HYPERLINK("http://service.sap.com/sap/support/notes/1583203","1583203")</f>
        <v>1583203</v>
      </c>
      <c r="E3333">
        <v>1</v>
      </c>
      <c r="F3333" t="s">
        <v>3446</v>
      </c>
    </row>
    <row r="3334" spans="1:6" x14ac:dyDescent="0.25">
      <c r="A3334" t="s">
        <v>4034</v>
      </c>
      <c r="B3334" t="s">
        <v>79</v>
      </c>
      <c r="C3334" t="s">
        <v>80</v>
      </c>
      <c r="D3334" t="str">
        <f>HYPERLINK("http://service.sap.com/sap/support/notes/1583679","1583679")</f>
        <v>1583679</v>
      </c>
      <c r="E3334">
        <v>5</v>
      </c>
      <c r="F3334" t="s">
        <v>3447</v>
      </c>
    </row>
    <row r="3335" spans="1:6" x14ac:dyDescent="0.25">
      <c r="A3335" t="s">
        <v>4034</v>
      </c>
      <c r="B3335" t="s">
        <v>79</v>
      </c>
      <c r="C3335" t="s">
        <v>80</v>
      </c>
      <c r="D3335" t="str">
        <f>HYPERLINK("http://service.sap.com/sap/support/notes/1587128","1587128")</f>
        <v>1587128</v>
      </c>
      <c r="E3335">
        <v>1</v>
      </c>
      <c r="F3335" t="s">
        <v>3448</v>
      </c>
    </row>
    <row r="3336" spans="1:6" x14ac:dyDescent="0.25">
      <c r="A3336" t="s">
        <v>4034</v>
      </c>
      <c r="B3336" t="s">
        <v>79</v>
      </c>
      <c r="C3336" t="s">
        <v>80</v>
      </c>
      <c r="D3336" t="str">
        <f>HYPERLINK("http://service.sap.com/sap/support/notes/1590254","1590254")</f>
        <v>1590254</v>
      </c>
      <c r="E3336">
        <v>1</v>
      </c>
      <c r="F3336" t="s">
        <v>3449</v>
      </c>
    </row>
    <row r="3337" spans="1:6" x14ac:dyDescent="0.25">
      <c r="A3337" t="s">
        <v>4034</v>
      </c>
      <c r="B3337" t="s">
        <v>3450</v>
      </c>
      <c r="C3337" t="s">
        <v>416</v>
      </c>
      <c r="D3337" t="str">
        <f>HYPERLINK("http://service.sap.com/sap/support/notes/1586814","1586814")</f>
        <v>1586814</v>
      </c>
      <c r="E3337">
        <v>1</v>
      </c>
      <c r="F3337" t="s">
        <v>3451</v>
      </c>
    </row>
    <row r="3338" spans="1:6" x14ac:dyDescent="0.25">
      <c r="A3338" t="s">
        <v>4034</v>
      </c>
      <c r="B3338" t="s">
        <v>1461</v>
      </c>
      <c r="C3338" t="s">
        <v>441</v>
      </c>
      <c r="D3338" t="str">
        <f>HYPERLINK("http://service.sap.com/sap/support/notes/1579818","1579818")</f>
        <v>1579818</v>
      </c>
      <c r="E3338">
        <v>2</v>
      </c>
      <c r="F3338" t="s">
        <v>3452</v>
      </c>
    </row>
    <row r="3339" spans="1:6" x14ac:dyDescent="0.25">
      <c r="A3339" t="s">
        <v>4034</v>
      </c>
      <c r="B3339" t="s">
        <v>92</v>
      </c>
      <c r="C3339" t="s">
        <v>708</v>
      </c>
      <c r="D3339" t="str">
        <f>HYPERLINK("http://service.sap.com/sap/support/notes/1571500","1571500")</f>
        <v>1571500</v>
      </c>
      <c r="E3339">
        <v>1</v>
      </c>
      <c r="F3339" t="s">
        <v>3453</v>
      </c>
    </row>
    <row r="3340" spans="1:6" x14ac:dyDescent="0.25">
      <c r="A3340" t="s">
        <v>4034</v>
      </c>
      <c r="B3340" t="s">
        <v>92</v>
      </c>
      <c r="C3340" t="s">
        <v>708</v>
      </c>
      <c r="D3340" t="str">
        <f>HYPERLINK("http://service.sap.com/sap/support/notes/1582883","1582883")</f>
        <v>1582883</v>
      </c>
      <c r="E3340">
        <v>2</v>
      </c>
      <c r="F3340" t="s">
        <v>3454</v>
      </c>
    </row>
    <row r="3341" spans="1:6" x14ac:dyDescent="0.25">
      <c r="A3341" t="s">
        <v>4034</v>
      </c>
      <c r="B3341" t="s">
        <v>92</v>
      </c>
      <c r="C3341" t="s">
        <v>708</v>
      </c>
      <c r="D3341" t="str">
        <f>HYPERLINK("http://service.sap.com/sap/support/notes/1584488","1584488")</f>
        <v>1584488</v>
      </c>
      <c r="E3341">
        <v>1</v>
      </c>
      <c r="F3341" t="s">
        <v>3455</v>
      </c>
    </row>
    <row r="3342" spans="1:6" x14ac:dyDescent="0.25">
      <c r="A3342" t="s">
        <v>4034</v>
      </c>
      <c r="B3342" t="s">
        <v>92</v>
      </c>
      <c r="C3342" t="s">
        <v>708</v>
      </c>
      <c r="D3342" t="str">
        <f>HYPERLINK("http://service.sap.com/sap/support/notes/1587851","1587851")</f>
        <v>1587851</v>
      </c>
      <c r="E3342">
        <v>1</v>
      </c>
      <c r="F3342" t="s">
        <v>3456</v>
      </c>
    </row>
    <row r="3343" spans="1:6" x14ac:dyDescent="0.25">
      <c r="A3343" t="s">
        <v>4034</v>
      </c>
      <c r="B3343" t="s">
        <v>92</v>
      </c>
      <c r="C3343" t="s">
        <v>708</v>
      </c>
      <c r="D3343" t="str">
        <f>HYPERLINK("http://service.sap.com/sap/support/notes/1588623","1588623")</f>
        <v>1588623</v>
      </c>
      <c r="E3343">
        <v>1</v>
      </c>
      <c r="F3343" t="s">
        <v>3457</v>
      </c>
    </row>
    <row r="3344" spans="1:6" x14ac:dyDescent="0.25">
      <c r="A3344" t="s">
        <v>4034</v>
      </c>
      <c r="B3344" t="s">
        <v>92</v>
      </c>
      <c r="C3344" t="s">
        <v>708</v>
      </c>
      <c r="D3344" t="str">
        <f>HYPERLINK("http://service.sap.com/sap/support/notes/1590191","1590191")</f>
        <v>1590191</v>
      </c>
      <c r="E3344">
        <v>1</v>
      </c>
      <c r="F3344" t="s">
        <v>3458</v>
      </c>
    </row>
    <row r="3345" spans="1:6" x14ac:dyDescent="0.25">
      <c r="A3345" t="s">
        <v>4034</v>
      </c>
      <c r="B3345" t="s">
        <v>92</v>
      </c>
      <c r="C3345" t="s">
        <v>708</v>
      </c>
      <c r="D3345" t="str">
        <f>HYPERLINK("http://service.sap.com/sap/support/notes/1591196","1591196")</f>
        <v>1591196</v>
      </c>
      <c r="E3345">
        <v>1</v>
      </c>
      <c r="F3345" t="s">
        <v>3459</v>
      </c>
    </row>
    <row r="3346" spans="1:6" x14ac:dyDescent="0.25">
      <c r="A3346" t="s">
        <v>4034</v>
      </c>
      <c r="B3346" t="s">
        <v>92</v>
      </c>
      <c r="C3346" t="s">
        <v>708</v>
      </c>
      <c r="D3346" t="str">
        <f>HYPERLINK("http://service.sap.com/sap/support/notes/1591569","1591569")</f>
        <v>1591569</v>
      </c>
      <c r="E3346">
        <v>2</v>
      </c>
      <c r="F3346" t="s">
        <v>3460</v>
      </c>
    </row>
    <row r="3347" spans="1:6" x14ac:dyDescent="0.25">
      <c r="A3347" t="s">
        <v>4034</v>
      </c>
      <c r="B3347" t="s">
        <v>713</v>
      </c>
      <c r="C3347" t="s">
        <v>480</v>
      </c>
      <c r="D3347" t="str">
        <f>HYPERLINK("http://service.sap.com/sap/support/notes/1533552","1533552")</f>
        <v>1533552</v>
      </c>
      <c r="E3347">
        <v>1</v>
      </c>
      <c r="F3347" t="s">
        <v>3461</v>
      </c>
    </row>
    <row r="3348" spans="1:6" x14ac:dyDescent="0.25">
      <c r="A3348" t="s">
        <v>4034</v>
      </c>
      <c r="B3348" t="s">
        <v>717</v>
      </c>
      <c r="C3348" t="s">
        <v>496</v>
      </c>
      <c r="D3348" t="str">
        <f>HYPERLINK("http://service.sap.com/sap/support/notes/1551824","1551824")</f>
        <v>1551824</v>
      </c>
      <c r="E3348">
        <v>2</v>
      </c>
      <c r="F3348" t="s">
        <v>2926</v>
      </c>
    </row>
    <row r="3349" spans="1:6" x14ac:dyDescent="0.25">
      <c r="A3349" t="s">
        <v>4034</v>
      </c>
      <c r="B3349" t="s">
        <v>717</v>
      </c>
      <c r="C3349" t="s">
        <v>496</v>
      </c>
      <c r="D3349" t="str">
        <f>HYPERLINK("http://service.sap.com/sap/support/notes/1575164","1575164")</f>
        <v>1575164</v>
      </c>
      <c r="E3349">
        <v>1</v>
      </c>
      <c r="F3349" t="s">
        <v>3462</v>
      </c>
    </row>
    <row r="3350" spans="1:6" x14ac:dyDescent="0.25">
      <c r="A3350" t="s">
        <v>4034</v>
      </c>
      <c r="B3350" t="s">
        <v>107</v>
      </c>
      <c r="C3350" t="s">
        <v>108</v>
      </c>
      <c r="D3350" t="str">
        <f>HYPERLINK("http://service.sap.com/sap/support/notes/1510988","1510988")</f>
        <v>1510988</v>
      </c>
      <c r="E3350">
        <v>4</v>
      </c>
      <c r="F3350" t="s">
        <v>3463</v>
      </c>
    </row>
    <row r="3351" spans="1:6" x14ac:dyDescent="0.25">
      <c r="A3351" t="s">
        <v>4034</v>
      </c>
      <c r="B3351" t="s">
        <v>107</v>
      </c>
      <c r="C3351" t="s">
        <v>108</v>
      </c>
      <c r="D3351" t="str">
        <f>HYPERLINK("http://service.sap.com/sap/support/notes/1543699","1543699")</f>
        <v>1543699</v>
      </c>
      <c r="E3351">
        <v>2</v>
      </c>
      <c r="F3351" t="s">
        <v>3464</v>
      </c>
    </row>
    <row r="3352" spans="1:6" x14ac:dyDescent="0.25">
      <c r="A3352" t="s">
        <v>4034</v>
      </c>
      <c r="B3352" t="s">
        <v>111</v>
      </c>
      <c r="C3352" t="s">
        <v>112</v>
      </c>
      <c r="D3352" t="str">
        <f>HYPERLINK("http://service.sap.com/sap/support/notes/1555250","1555250")</f>
        <v>1555250</v>
      </c>
      <c r="E3352">
        <v>2</v>
      </c>
      <c r="F3352" t="s">
        <v>3465</v>
      </c>
    </row>
    <row r="3353" spans="1:6" x14ac:dyDescent="0.25">
      <c r="A3353" t="s">
        <v>4034</v>
      </c>
      <c r="B3353" t="s">
        <v>111</v>
      </c>
      <c r="C3353" t="s">
        <v>112</v>
      </c>
      <c r="D3353" t="str">
        <f>HYPERLINK("http://service.sap.com/sap/support/notes/1569826","1569826")</f>
        <v>1569826</v>
      </c>
      <c r="E3353">
        <v>2</v>
      </c>
      <c r="F3353" t="s">
        <v>3466</v>
      </c>
    </row>
    <row r="3354" spans="1:6" x14ac:dyDescent="0.25">
      <c r="A3354" t="s">
        <v>4034</v>
      </c>
      <c r="B3354" t="s">
        <v>111</v>
      </c>
      <c r="C3354" t="s">
        <v>112</v>
      </c>
      <c r="D3354" t="str">
        <f>HYPERLINK("http://service.sap.com/sap/support/notes/1570493","1570493")</f>
        <v>1570493</v>
      </c>
      <c r="E3354">
        <v>3</v>
      </c>
      <c r="F3354" t="s">
        <v>3467</v>
      </c>
    </row>
    <row r="3355" spans="1:6" x14ac:dyDescent="0.25">
      <c r="A3355" t="s">
        <v>4034</v>
      </c>
      <c r="B3355" t="s">
        <v>111</v>
      </c>
      <c r="C3355" t="s">
        <v>112</v>
      </c>
      <c r="D3355" t="str">
        <f>HYPERLINK("http://service.sap.com/sap/support/notes/1580859","1580859")</f>
        <v>1580859</v>
      </c>
      <c r="E3355">
        <v>1</v>
      </c>
      <c r="F3355" t="s">
        <v>3468</v>
      </c>
    </row>
    <row r="3356" spans="1:6" x14ac:dyDescent="0.25">
      <c r="A3356" t="s">
        <v>4034</v>
      </c>
      <c r="B3356" t="s">
        <v>724</v>
      </c>
      <c r="C3356" t="s">
        <v>725</v>
      </c>
      <c r="D3356" t="str">
        <f>HYPERLINK("http://service.sap.com/sap/support/notes/1456149","1456149")</f>
        <v>1456149</v>
      </c>
      <c r="E3356">
        <v>3</v>
      </c>
      <c r="F3356" t="s">
        <v>3469</v>
      </c>
    </row>
    <row r="3357" spans="1:6" x14ac:dyDescent="0.25">
      <c r="A3357" t="s">
        <v>4034</v>
      </c>
      <c r="B3357" t="s">
        <v>724</v>
      </c>
      <c r="C3357" t="s">
        <v>725</v>
      </c>
      <c r="D3357" t="str">
        <f>HYPERLINK("http://service.sap.com/sap/support/notes/1477298","1477298")</f>
        <v>1477298</v>
      </c>
      <c r="E3357">
        <v>5</v>
      </c>
      <c r="F3357" t="s">
        <v>3470</v>
      </c>
    </row>
    <row r="3358" spans="1:6" x14ac:dyDescent="0.25">
      <c r="A3358" t="s">
        <v>4034</v>
      </c>
      <c r="B3358" t="s">
        <v>724</v>
      </c>
      <c r="C3358" t="s">
        <v>725</v>
      </c>
      <c r="D3358" t="str">
        <f>HYPERLINK("http://service.sap.com/sap/support/notes/1483226","1483226")</f>
        <v>1483226</v>
      </c>
      <c r="E3358">
        <v>3</v>
      </c>
      <c r="F3358" t="s">
        <v>3471</v>
      </c>
    </row>
    <row r="3359" spans="1:6" x14ac:dyDescent="0.25">
      <c r="A3359" t="s">
        <v>4034</v>
      </c>
      <c r="B3359" t="s">
        <v>724</v>
      </c>
      <c r="C3359" t="s">
        <v>725</v>
      </c>
      <c r="D3359" t="str">
        <f>HYPERLINK("http://service.sap.com/sap/support/notes/1490267","1490267")</f>
        <v>1490267</v>
      </c>
      <c r="E3359">
        <v>3</v>
      </c>
      <c r="F3359" t="s">
        <v>743</v>
      </c>
    </row>
    <row r="3360" spans="1:6" x14ac:dyDescent="0.25">
      <c r="A3360" t="s">
        <v>4034</v>
      </c>
      <c r="B3360" t="s">
        <v>724</v>
      </c>
      <c r="C3360" t="s">
        <v>725</v>
      </c>
      <c r="D3360" t="str">
        <f>HYPERLINK("http://service.sap.com/sap/support/notes/1496046","1496046")</f>
        <v>1496046</v>
      </c>
      <c r="E3360">
        <v>2</v>
      </c>
      <c r="F3360" t="s">
        <v>3472</v>
      </c>
    </row>
    <row r="3361" spans="1:6" x14ac:dyDescent="0.25">
      <c r="A3361" t="s">
        <v>4034</v>
      </c>
      <c r="B3361" t="s">
        <v>724</v>
      </c>
      <c r="C3361" t="s">
        <v>725</v>
      </c>
      <c r="D3361" t="str">
        <f>HYPERLINK("http://service.sap.com/sap/support/notes/1511376","1511376")</f>
        <v>1511376</v>
      </c>
      <c r="E3361">
        <v>1</v>
      </c>
      <c r="F3361" t="s">
        <v>3473</v>
      </c>
    </row>
    <row r="3362" spans="1:6" x14ac:dyDescent="0.25">
      <c r="A3362" t="s">
        <v>4034</v>
      </c>
      <c r="B3362" t="s">
        <v>724</v>
      </c>
      <c r="C3362" t="s">
        <v>725</v>
      </c>
      <c r="D3362" t="str">
        <f>HYPERLINK("http://service.sap.com/sap/support/notes/1533255","1533255")</f>
        <v>1533255</v>
      </c>
      <c r="E3362">
        <v>1</v>
      </c>
      <c r="F3362" t="s">
        <v>3474</v>
      </c>
    </row>
    <row r="3363" spans="1:6" x14ac:dyDescent="0.25">
      <c r="A3363" t="s">
        <v>4034</v>
      </c>
      <c r="B3363" t="s">
        <v>724</v>
      </c>
      <c r="C3363" t="s">
        <v>725</v>
      </c>
      <c r="D3363" t="str">
        <f>HYPERLINK("http://service.sap.com/sap/support/notes/1533431","1533431")</f>
        <v>1533431</v>
      </c>
      <c r="E3363">
        <v>2</v>
      </c>
      <c r="F3363" t="s">
        <v>3475</v>
      </c>
    </row>
    <row r="3364" spans="1:6" x14ac:dyDescent="0.25">
      <c r="A3364" t="s">
        <v>4034</v>
      </c>
      <c r="B3364" t="s">
        <v>724</v>
      </c>
      <c r="C3364" t="s">
        <v>725</v>
      </c>
      <c r="D3364" t="str">
        <f>HYPERLINK("http://service.sap.com/sap/support/notes/1533492","1533492")</f>
        <v>1533492</v>
      </c>
      <c r="E3364">
        <v>1</v>
      </c>
      <c r="F3364" t="s">
        <v>3476</v>
      </c>
    </row>
    <row r="3365" spans="1:6" x14ac:dyDescent="0.25">
      <c r="A3365" t="s">
        <v>4034</v>
      </c>
      <c r="B3365" t="s">
        <v>724</v>
      </c>
      <c r="C3365" t="s">
        <v>725</v>
      </c>
      <c r="D3365" t="str">
        <f>HYPERLINK("http://service.sap.com/sap/support/notes/1534584","1534584")</f>
        <v>1534584</v>
      </c>
      <c r="E3365">
        <v>1</v>
      </c>
      <c r="F3365" t="s">
        <v>3477</v>
      </c>
    </row>
    <row r="3366" spans="1:6" x14ac:dyDescent="0.25">
      <c r="A3366" t="s">
        <v>4034</v>
      </c>
      <c r="B3366" t="s">
        <v>724</v>
      </c>
      <c r="C3366" t="s">
        <v>725</v>
      </c>
      <c r="D3366" t="str">
        <f>HYPERLINK("http://service.sap.com/sap/support/notes/1538112","1538112")</f>
        <v>1538112</v>
      </c>
      <c r="E3366">
        <v>2</v>
      </c>
      <c r="F3366" t="s">
        <v>3478</v>
      </c>
    </row>
    <row r="3367" spans="1:6" x14ac:dyDescent="0.25">
      <c r="A3367" t="s">
        <v>4034</v>
      </c>
      <c r="B3367" t="s">
        <v>724</v>
      </c>
      <c r="C3367" t="s">
        <v>725</v>
      </c>
      <c r="D3367" t="str">
        <f>HYPERLINK("http://service.sap.com/sap/support/notes/1538601","1538601")</f>
        <v>1538601</v>
      </c>
      <c r="E3367">
        <v>2</v>
      </c>
      <c r="F3367" t="s">
        <v>3479</v>
      </c>
    </row>
    <row r="3368" spans="1:6" x14ac:dyDescent="0.25">
      <c r="A3368" t="s">
        <v>4034</v>
      </c>
      <c r="B3368" t="s">
        <v>724</v>
      </c>
      <c r="C3368" t="s">
        <v>725</v>
      </c>
      <c r="D3368" t="str">
        <f>HYPERLINK("http://service.sap.com/sap/support/notes/1538862","1538862")</f>
        <v>1538862</v>
      </c>
      <c r="E3368">
        <v>1</v>
      </c>
      <c r="F3368" t="s">
        <v>3480</v>
      </c>
    </row>
    <row r="3369" spans="1:6" x14ac:dyDescent="0.25">
      <c r="A3369" t="s">
        <v>4034</v>
      </c>
      <c r="B3369" t="s">
        <v>724</v>
      </c>
      <c r="C3369" t="s">
        <v>725</v>
      </c>
      <c r="D3369" t="str">
        <f>HYPERLINK("http://service.sap.com/sap/support/notes/1539661","1539661")</f>
        <v>1539661</v>
      </c>
      <c r="E3369">
        <v>1</v>
      </c>
      <c r="F3369" t="s">
        <v>3481</v>
      </c>
    </row>
    <row r="3370" spans="1:6" x14ac:dyDescent="0.25">
      <c r="A3370" t="s">
        <v>4034</v>
      </c>
      <c r="B3370" t="s">
        <v>724</v>
      </c>
      <c r="C3370" t="s">
        <v>725</v>
      </c>
      <c r="D3370" t="str">
        <f>HYPERLINK("http://service.sap.com/sap/support/notes/1539781","1539781")</f>
        <v>1539781</v>
      </c>
      <c r="E3370">
        <v>1</v>
      </c>
      <c r="F3370" t="s">
        <v>3482</v>
      </c>
    </row>
    <row r="3371" spans="1:6" x14ac:dyDescent="0.25">
      <c r="A3371" t="s">
        <v>4034</v>
      </c>
      <c r="B3371" t="s">
        <v>724</v>
      </c>
      <c r="C3371" t="s">
        <v>725</v>
      </c>
      <c r="D3371" t="str">
        <f>HYPERLINK("http://service.sap.com/sap/support/notes/1541905","1541905")</f>
        <v>1541905</v>
      </c>
      <c r="E3371">
        <v>3</v>
      </c>
      <c r="F3371" t="s">
        <v>3483</v>
      </c>
    </row>
    <row r="3372" spans="1:6" x14ac:dyDescent="0.25">
      <c r="A3372" t="s">
        <v>4034</v>
      </c>
      <c r="B3372" t="s">
        <v>724</v>
      </c>
      <c r="C3372" t="s">
        <v>725</v>
      </c>
      <c r="D3372" t="str">
        <f>HYPERLINK("http://service.sap.com/sap/support/notes/1545698","1545698")</f>
        <v>1545698</v>
      </c>
      <c r="E3372">
        <v>1</v>
      </c>
      <c r="F3372" t="s">
        <v>3484</v>
      </c>
    </row>
    <row r="3373" spans="1:6" x14ac:dyDescent="0.25">
      <c r="A3373" t="s">
        <v>4034</v>
      </c>
      <c r="B3373" t="s">
        <v>724</v>
      </c>
      <c r="C3373" t="s">
        <v>725</v>
      </c>
      <c r="D3373" t="str">
        <f>HYPERLINK("http://service.sap.com/sap/support/notes/1545892","1545892")</f>
        <v>1545892</v>
      </c>
      <c r="E3373">
        <v>1</v>
      </c>
      <c r="F3373" t="s">
        <v>3485</v>
      </c>
    </row>
    <row r="3374" spans="1:6" x14ac:dyDescent="0.25">
      <c r="A3374" t="s">
        <v>4034</v>
      </c>
      <c r="B3374" t="s">
        <v>724</v>
      </c>
      <c r="C3374" t="s">
        <v>725</v>
      </c>
      <c r="D3374" t="str">
        <f>HYPERLINK("http://service.sap.com/sap/support/notes/1547367","1547367")</f>
        <v>1547367</v>
      </c>
      <c r="E3374">
        <v>1</v>
      </c>
      <c r="F3374" t="s">
        <v>3486</v>
      </c>
    </row>
    <row r="3375" spans="1:6" x14ac:dyDescent="0.25">
      <c r="A3375" t="s">
        <v>4034</v>
      </c>
      <c r="B3375" t="s">
        <v>724</v>
      </c>
      <c r="C3375" t="s">
        <v>725</v>
      </c>
      <c r="D3375" t="str">
        <f>HYPERLINK("http://service.sap.com/sap/support/notes/1547896","1547896")</f>
        <v>1547896</v>
      </c>
      <c r="E3375">
        <v>2</v>
      </c>
      <c r="F3375" t="s">
        <v>3487</v>
      </c>
    </row>
    <row r="3376" spans="1:6" x14ac:dyDescent="0.25">
      <c r="A3376" t="s">
        <v>4034</v>
      </c>
      <c r="B3376" t="s">
        <v>724</v>
      </c>
      <c r="C3376" t="s">
        <v>725</v>
      </c>
      <c r="D3376" t="str">
        <f>HYPERLINK("http://service.sap.com/sap/support/notes/1547968","1547968")</f>
        <v>1547968</v>
      </c>
      <c r="E3376">
        <v>1</v>
      </c>
      <c r="F3376" t="s">
        <v>3488</v>
      </c>
    </row>
    <row r="3377" spans="1:6" x14ac:dyDescent="0.25">
      <c r="A3377" t="s">
        <v>4034</v>
      </c>
      <c r="B3377" t="s">
        <v>724</v>
      </c>
      <c r="C3377" t="s">
        <v>725</v>
      </c>
      <c r="D3377" t="str">
        <f>HYPERLINK("http://service.sap.com/sap/support/notes/1548738","1548738")</f>
        <v>1548738</v>
      </c>
      <c r="E3377">
        <v>1</v>
      </c>
      <c r="F3377" t="s">
        <v>3489</v>
      </c>
    </row>
    <row r="3378" spans="1:6" x14ac:dyDescent="0.25">
      <c r="A3378" t="s">
        <v>4034</v>
      </c>
      <c r="B3378" t="s">
        <v>724</v>
      </c>
      <c r="C3378" t="s">
        <v>725</v>
      </c>
      <c r="D3378" t="str">
        <f>HYPERLINK("http://service.sap.com/sap/support/notes/1548868","1548868")</f>
        <v>1548868</v>
      </c>
      <c r="E3378">
        <v>1</v>
      </c>
      <c r="F3378" t="s">
        <v>3490</v>
      </c>
    </row>
    <row r="3379" spans="1:6" x14ac:dyDescent="0.25">
      <c r="A3379" t="s">
        <v>4034</v>
      </c>
      <c r="B3379" t="s">
        <v>724</v>
      </c>
      <c r="C3379" t="s">
        <v>725</v>
      </c>
      <c r="D3379" t="str">
        <f>HYPERLINK("http://service.sap.com/sap/support/notes/1549041","1549041")</f>
        <v>1549041</v>
      </c>
      <c r="E3379">
        <v>1</v>
      </c>
      <c r="F3379" t="s">
        <v>3491</v>
      </c>
    </row>
    <row r="3380" spans="1:6" x14ac:dyDescent="0.25">
      <c r="A3380" t="s">
        <v>4034</v>
      </c>
      <c r="B3380" t="s">
        <v>724</v>
      </c>
      <c r="C3380" t="s">
        <v>725</v>
      </c>
      <c r="D3380" t="str">
        <f>HYPERLINK("http://service.sap.com/sap/support/notes/1549231","1549231")</f>
        <v>1549231</v>
      </c>
      <c r="E3380">
        <v>1</v>
      </c>
      <c r="F3380" t="s">
        <v>3492</v>
      </c>
    </row>
    <row r="3381" spans="1:6" x14ac:dyDescent="0.25">
      <c r="A3381" t="s">
        <v>4034</v>
      </c>
      <c r="B3381" t="s">
        <v>724</v>
      </c>
      <c r="C3381" t="s">
        <v>725</v>
      </c>
      <c r="D3381" t="str">
        <f>HYPERLINK("http://service.sap.com/sap/support/notes/1549247","1549247")</f>
        <v>1549247</v>
      </c>
      <c r="E3381">
        <v>1</v>
      </c>
      <c r="F3381" t="s">
        <v>3493</v>
      </c>
    </row>
    <row r="3382" spans="1:6" x14ac:dyDescent="0.25">
      <c r="A3382" t="s">
        <v>4034</v>
      </c>
      <c r="B3382" t="s">
        <v>724</v>
      </c>
      <c r="C3382" t="s">
        <v>725</v>
      </c>
      <c r="D3382" t="str">
        <f>HYPERLINK("http://service.sap.com/sap/support/notes/1550069","1550069")</f>
        <v>1550069</v>
      </c>
      <c r="E3382">
        <v>1</v>
      </c>
      <c r="F3382" t="s">
        <v>3494</v>
      </c>
    </row>
    <row r="3383" spans="1:6" x14ac:dyDescent="0.25">
      <c r="A3383" t="s">
        <v>4034</v>
      </c>
      <c r="B3383" t="s">
        <v>724</v>
      </c>
      <c r="C3383" t="s">
        <v>725</v>
      </c>
      <c r="D3383" t="str">
        <f>HYPERLINK("http://service.sap.com/sap/support/notes/1551390","1551390")</f>
        <v>1551390</v>
      </c>
      <c r="E3383">
        <v>1</v>
      </c>
      <c r="F3383" t="s">
        <v>3495</v>
      </c>
    </row>
    <row r="3384" spans="1:6" x14ac:dyDescent="0.25">
      <c r="A3384" t="s">
        <v>4034</v>
      </c>
      <c r="B3384" t="s">
        <v>724</v>
      </c>
      <c r="C3384" t="s">
        <v>725</v>
      </c>
      <c r="D3384" t="str">
        <f>HYPERLINK("http://service.sap.com/sap/support/notes/1552027","1552027")</f>
        <v>1552027</v>
      </c>
      <c r="E3384">
        <v>2</v>
      </c>
      <c r="F3384" t="s">
        <v>3496</v>
      </c>
    </row>
    <row r="3385" spans="1:6" x14ac:dyDescent="0.25">
      <c r="A3385" t="s">
        <v>4034</v>
      </c>
      <c r="B3385" t="s">
        <v>724</v>
      </c>
      <c r="C3385" t="s">
        <v>725</v>
      </c>
      <c r="D3385" t="str">
        <f>HYPERLINK("http://service.sap.com/sap/support/notes/1553679","1553679")</f>
        <v>1553679</v>
      </c>
      <c r="E3385">
        <v>2</v>
      </c>
      <c r="F3385" t="s">
        <v>3497</v>
      </c>
    </row>
    <row r="3386" spans="1:6" x14ac:dyDescent="0.25">
      <c r="A3386" t="s">
        <v>4034</v>
      </c>
      <c r="B3386" t="s">
        <v>724</v>
      </c>
      <c r="C3386" t="s">
        <v>725</v>
      </c>
      <c r="D3386" t="str">
        <f>HYPERLINK("http://service.sap.com/sap/support/notes/1553723","1553723")</f>
        <v>1553723</v>
      </c>
      <c r="E3386">
        <v>3</v>
      </c>
      <c r="F3386" t="s">
        <v>3498</v>
      </c>
    </row>
    <row r="3387" spans="1:6" x14ac:dyDescent="0.25">
      <c r="A3387" t="s">
        <v>4034</v>
      </c>
      <c r="B3387" t="s">
        <v>724</v>
      </c>
      <c r="C3387" t="s">
        <v>725</v>
      </c>
      <c r="D3387" t="str">
        <f>HYPERLINK("http://service.sap.com/sap/support/notes/1555919","1555919")</f>
        <v>1555919</v>
      </c>
      <c r="E3387">
        <v>1</v>
      </c>
      <c r="F3387" t="s">
        <v>3499</v>
      </c>
    </row>
    <row r="3388" spans="1:6" x14ac:dyDescent="0.25">
      <c r="A3388" t="s">
        <v>4034</v>
      </c>
      <c r="B3388" t="s">
        <v>724</v>
      </c>
      <c r="C3388" t="s">
        <v>725</v>
      </c>
      <c r="D3388" t="str">
        <f>HYPERLINK("http://service.sap.com/sap/support/notes/1559032","1559032")</f>
        <v>1559032</v>
      </c>
      <c r="E3388">
        <v>2</v>
      </c>
      <c r="F3388" t="s">
        <v>3500</v>
      </c>
    </row>
    <row r="3389" spans="1:6" x14ac:dyDescent="0.25">
      <c r="A3389" t="s">
        <v>4034</v>
      </c>
      <c r="B3389" t="s">
        <v>724</v>
      </c>
      <c r="C3389" t="s">
        <v>725</v>
      </c>
      <c r="D3389" t="str">
        <f>HYPERLINK("http://service.sap.com/sap/support/notes/1559478","1559478")</f>
        <v>1559478</v>
      </c>
      <c r="E3389">
        <v>1</v>
      </c>
      <c r="F3389" t="s">
        <v>3501</v>
      </c>
    </row>
    <row r="3390" spans="1:6" x14ac:dyDescent="0.25">
      <c r="A3390" t="s">
        <v>4034</v>
      </c>
      <c r="B3390" t="s">
        <v>724</v>
      </c>
      <c r="C3390" t="s">
        <v>725</v>
      </c>
      <c r="D3390" t="str">
        <f>HYPERLINK("http://service.sap.com/sap/support/notes/1561054","1561054")</f>
        <v>1561054</v>
      </c>
      <c r="E3390">
        <v>3</v>
      </c>
      <c r="F3390" t="s">
        <v>3502</v>
      </c>
    </row>
    <row r="3391" spans="1:6" x14ac:dyDescent="0.25">
      <c r="A3391" t="s">
        <v>4034</v>
      </c>
      <c r="B3391" t="s">
        <v>724</v>
      </c>
      <c r="C3391" t="s">
        <v>725</v>
      </c>
      <c r="D3391" t="str">
        <f>HYPERLINK("http://service.sap.com/sap/support/notes/1562091","1562091")</f>
        <v>1562091</v>
      </c>
      <c r="E3391">
        <v>1</v>
      </c>
      <c r="F3391" t="s">
        <v>3503</v>
      </c>
    </row>
    <row r="3392" spans="1:6" x14ac:dyDescent="0.25">
      <c r="A3392" t="s">
        <v>4034</v>
      </c>
      <c r="B3392" t="s">
        <v>724</v>
      </c>
      <c r="C3392" t="s">
        <v>725</v>
      </c>
      <c r="D3392" t="str">
        <f>HYPERLINK("http://service.sap.com/sap/support/notes/1563558","1563558")</f>
        <v>1563558</v>
      </c>
      <c r="E3392">
        <v>1</v>
      </c>
      <c r="F3392" t="s">
        <v>3504</v>
      </c>
    </row>
    <row r="3393" spans="1:6" x14ac:dyDescent="0.25">
      <c r="A3393" t="s">
        <v>4034</v>
      </c>
      <c r="B3393" t="s">
        <v>724</v>
      </c>
      <c r="C3393" t="s">
        <v>725</v>
      </c>
      <c r="D3393" t="str">
        <f>HYPERLINK("http://service.sap.com/sap/support/notes/1564499","1564499")</f>
        <v>1564499</v>
      </c>
      <c r="E3393">
        <v>1</v>
      </c>
      <c r="F3393" t="s">
        <v>3505</v>
      </c>
    </row>
    <row r="3394" spans="1:6" x14ac:dyDescent="0.25">
      <c r="A3394" t="s">
        <v>4034</v>
      </c>
      <c r="B3394" t="s">
        <v>724</v>
      </c>
      <c r="C3394" t="s">
        <v>725</v>
      </c>
      <c r="D3394" t="str">
        <f>HYPERLINK("http://service.sap.com/sap/support/notes/1565056","1565056")</f>
        <v>1565056</v>
      </c>
      <c r="E3394">
        <v>2</v>
      </c>
      <c r="F3394" t="s">
        <v>3506</v>
      </c>
    </row>
    <row r="3395" spans="1:6" x14ac:dyDescent="0.25">
      <c r="A3395" t="s">
        <v>4034</v>
      </c>
      <c r="B3395" t="s">
        <v>724</v>
      </c>
      <c r="C3395" t="s">
        <v>725</v>
      </c>
      <c r="D3395" t="str">
        <f>HYPERLINK("http://service.sap.com/sap/support/notes/1567898","1567898")</f>
        <v>1567898</v>
      </c>
      <c r="E3395">
        <v>2</v>
      </c>
      <c r="F3395" t="s">
        <v>3507</v>
      </c>
    </row>
    <row r="3396" spans="1:6" x14ac:dyDescent="0.25">
      <c r="A3396" t="s">
        <v>4034</v>
      </c>
      <c r="B3396" t="s">
        <v>724</v>
      </c>
      <c r="C3396" t="s">
        <v>725</v>
      </c>
      <c r="D3396" t="str">
        <f>HYPERLINK("http://service.sap.com/sap/support/notes/1569581","1569581")</f>
        <v>1569581</v>
      </c>
      <c r="E3396">
        <v>3</v>
      </c>
      <c r="F3396" t="s">
        <v>3508</v>
      </c>
    </row>
    <row r="3397" spans="1:6" x14ac:dyDescent="0.25">
      <c r="A3397" t="s">
        <v>4034</v>
      </c>
      <c r="B3397" t="s">
        <v>724</v>
      </c>
      <c r="C3397" t="s">
        <v>725</v>
      </c>
      <c r="D3397" t="str">
        <f>HYPERLINK("http://service.sap.com/sap/support/notes/1569948","1569948")</f>
        <v>1569948</v>
      </c>
      <c r="E3397">
        <v>1</v>
      </c>
      <c r="F3397" t="s">
        <v>3509</v>
      </c>
    </row>
    <row r="3398" spans="1:6" x14ac:dyDescent="0.25">
      <c r="A3398" t="s">
        <v>4034</v>
      </c>
      <c r="B3398" t="s">
        <v>724</v>
      </c>
      <c r="C3398" t="s">
        <v>725</v>
      </c>
      <c r="D3398" t="str">
        <f>HYPERLINK("http://service.sap.com/sap/support/notes/1573130","1573130")</f>
        <v>1573130</v>
      </c>
      <c r="E3398">
        <v>2</v>
      </c>
      <c r="F3398" t="s">
        <v>3510</v>
      </c>
    </row>
    <row r="3399" spans="1:6" x14ac:dyDescent="0.25">
      <c r="A3399" t="s">
        <v>4034</v>
      </c>
      <c r="B3399" t="s">
        <v>724</v>
      </c>
      <c r="C3399" t="s">
        <v>725</v>
      </c>
      <c r="D3399" t="str">
        <f>HYPERLINK("http://service.sap.com/sap/support/notes/1575177","1575177")</f>
        <v>1575177</v>
      </c>
      <c r="E3399">
        <v>1</v>
      </c>
      <c r="F3399" t="s">
        <v>3511</v>
      </c>
    </row>
    <row r="3400" spans="1:6" x14ac:dyDescent="0.25">
      <c r="A3400" t="s">
        <v>4034</v>
      </c>
      <c r="B3400" t="s">
        <v>724</v>
      </c>
      <c r="C3400" t="s">
        <v>725</v>
      </c>
      <c r="D3400" t="str">
        <f>HYPERLINK("http://service.sap.com/sap/support/notes/1575186","1575186")</f>
        <v>1575186</v>
      </c>
      <c r="E3400">
        <v>1</v>
      </c>
      <c r="F3400" t="s">
        <v>3512</v>
      </c>
    </row>
    <row r="3401" spans="1:6" x14ac:dyDescent="0.25">
      <c r="A3401" t="s">
        <v>4034</v>
      </c>
      <c r="B3401" t="s">
        <v>724</v>
      </c>
      <c r="C3401" t="s">
        <v>725</v>
      </c>
      <c r="D3401" t="str">
        <f>HYPERLINK("http://service.sap.com/sap/support/notes/1575415","1575415")</f>
        <v>1575415</v>
      </c>
      <c r="E3401">
        <v>2</v>
      </c>
      <c r="F3401" t="s">
        <v>3513</v>
      </c>
    </row>
    <row r="3402" spans="1:6" x14ac:dyDescent="0.25">
      <c r="A3402" t="s">
        <v>4034</v>
      </c>
      <c r="B3402" t="s">
        <v>724</v>
      </c>
      <c r="C3402" t="s">
        <v>725</v>
      </c>
      <c r="D3402" t="str">
        <f>HYPERLINK("http://service.sap.com/sap/support/notes/1576584","1576584")</f>
        <v>1576584</v>
      </c>
      <c r="E3402">
        <v>1</v>
      </c>
      <c r="F3402" t="s">
        <v>3514</v>
      </c>
    </row>
    <row r="3403" spans="1:6" x14ac:dyDescent="0.25">
      <c r="A3403" t="s">
        <v>4034</v>
      </c>
      <c r="B3403" t="s">
        <v>724</v>
      </c>
      <c r="C3403" t="s">
        <v>725</v>
      </c>
      <c r="D3403" t="str">
        <f>HYPERLINK("http://service.sap.com/sap/support/notes/1578608","1578608")</f>
        <v>1578608</v>
      </c>
      <c r="E3403">
        <v>1</v>
      </c>
      <c r="F3403" t="s">
        <v>3515</v>
      </c>
    </row>
    <row r="3404" spans="1:6" x14ac:dyDescent="0.25">
      <c r="A3404" t="s">
        <v>4034</v>
      </c>
      <c r="B3404" t="s">
        <v>724</v>
      </c>
      <c r="C3404" t="s">
        <v>725</v>
      </c>
      <c r="D3404" t="str">
        <f>HYPERLINK("http://service.sap.com/sap/support/notes/1579483","1579483")</f>
        <v>1579483</v>
      </c>
      <c r="E3404">
        <v>1</v>
      </c>
      <c r="F3404" t="s">
        <v>3516</v>
      </c>
    </row>
    <row r="3405" spans="1:6" x14ac:dyDescent="0.25">
      <c r="A3405" t="s">
        <v>4034</v>
      </c>
      <c r="B3405" t="s">
        <v>724</v>
      </c>
      <c r="C3405" t="s">
        <v>725</v>
      </c>
      <c r="D3405" t="str">
        <f>HYPERLINK("http://service.sap.com/sap/support/notes/1581196","1581196")</f>
        <v>1581196</v>
      </c>
      <c r="E3405">
        <v>1</v>
      </c>
      <c r="F3405" t="s">
        <v>3517</v>
      </c>
    </row>
    <row r="3406" spans="1:6" x14ac:dyDescent="0.25">
      <c r="A3406" t="s">
        <v>4034</v>
      </c>
      <c r="B3406" t="s">
        <v>724</v>
      </c>
      <c r="C3406" t="s">
        <v>725</v>
      </c>
      <c r="D3406" t="str">
        <f>HYPERLINK("http://service.sap.com/sap/support/notes/1582051","1582051")</f>
        <v>1582051</v>
      </c>
      <c r="E3406">
        <v>2</v>
      </c>
      <c r="F3406" t="s">
        <v>3518</v>
      </c>
    </row>
    <row r="3407" spans="1:6" x14ac:dyDescent="0.25">
      <c r="A3407" t="s">
        <v>4034</v>
      </c>
      <c r="B3407" t="s">
        <v>724</v>
      </c>
      <c r="C3407" t="s">
        <v>725</v>
      </c>
      <c r="D3407" t="str">
        <f>HYPERLINK("http://service.sap.com/sap/support/notes/1582224","1582224")</f>
        <v>1582224</v>
      </c>
      <c r="E3407">
        <v>3</v>
      </c>
      <c r="F3407" t="s">
        <v>3519</v>
      </c>
    </row>
    <row r="3408" spans="1:6" x14ac:dyDescent="0.25">
      <c r="A3408" t="s">
        <v>4034</v>
      </c>
      <c r="B3408" t="s">
        <v>724</v>
      </c>
      <c r="C3408" t="s">
        <v>725</v>
      </c>
      <c r="D3408" t="str">
        <f>HYPERLINK("http://service.sap.com/sap/support/notes/1583680","1583680")</f>
        <v>1583680</v>
      </c>
      <c r="E3408">
        <v>1</v>
      </c>
      <c r="F3408" t="s">
        <v>3520</v>
      </c>
    </row>
    <row r="3409" spans="1:6" x14ac:dyDescent="0.25">
      <c r="A3409" t="s">
        <v>4034</v>
      </c>
      <c r="B3409" t="s">
        <v>724</v>
      </c>
      <c r="C3409" t="s">
        <v>725</v>
      </c>
      <c r="D3409" t="str">
        <f>HYPERLINK("http://service.sap.com/sap/support/notes/1584468","1584468")</f>
        <v>1584468</v>
      </c>
      <c r="E3409">
        <v>2</v>
      </c>
      <c r="F3409" t="s">
        <v>3521</v>
      </c>
    </row>
    <row r="3410" spans="1:6" x14ac:dyDescent="0.25">
      <c r="A3410" t="s">
        <v>4034</v>
      </c>
      <c r="B3410" t="s">
        <v>724</v>
      </c>
      <c r="C3410" t="s">
        <v>725</v>
      </c>
      <c r="D3410" t="str">
        <f>HYPERLINK("http://service.sap.com/sap/support/notes/1584663","1584663")</f>
        <v>1584663</v>
      </c>
      <c r="E3410">
        <v>1</v>
      </c>
      <c r="F3410" t="s">
        <v>3522</v>
      </c>
    </row>
    <row r="3411" spans="1:6" x14ac:dyDescent="0.25">
      <c r="A3411" t="s">
        <v>4034</v>
      </c>
      <c r="B3411" t="s">
        <v>724</v>
      </c>
      <c r="C3411" t="s">
        <v>725</v>
      </c>
      <c r="D3411" t="str">
        <f>HYPERLINK("http://service.sap.com/sap/support/notes/1585391","1585391")</f>
        <v>1585391</v>
      </c>
      <c r="E3411">
        <v>2</v>
      </c>
      <c r="F3411" t="s">
        <v>3523</v>
      </c>
    </row>
    <row r="3412" spans="1:6" x14ac:dyDescent="0.25">
      <c r="A3412" t="s">
        <v>4034</v>
      </c>
      <c r="B3412" t="s">
        <v>724</v>
      </c>
      <c r="C3412" t="s">
        <v>725</v>
      </c>
      <c r="D3412" t="str">
        <f>HYPERLINK("http://service.sap.com/sap/support/notes/1588427","1588427")</f>
        <v>1588427</v>
      </c>
      <c r="E3412">
        <v>2</v>
      </c>
      <c r="F3412" t="s">
        <v>3524</v>
      </c>
    </row>
    <row r="3413" spans="1:6" x14ac:dyDescent="0.25">
      <c r="A3413" t="s">
        <v>4034</v>
      </c>
      <c r="B3413" t="s">
        <v>724</v>
      </c>
      <c r="C3413" t="s">
        <v>725</v>
      </c>
      <c r="D3413" t="str">
        <f>HYPERLINK("http://service.sap.com/sap/support/notes/1588901","1588901")</f>
        <v>1588901</v>
      </c>
      <c r="E3413">
        <v>2</v>
      </c>
      <c r="F3413" t="s">
        <v>3525</v>
      </c>
    </row>
    <row r="3414" spans="1:6" x14ac:dyDescent="0.25">
      <c r="A3414" t="s">
        <v>4034</v>
      </c>
      <c r="B3414" t="s">
        <v>724</v>
      </c>
      <c r="C3414" t="s">
        <v>725</v>
      </c>
      <c r="D3414" t="str">
        <f>HYPERLINK("http://service.sap.com/sap/support/notes/1589121","1589121")</f>
        <v>1589121</v>
      </c>
      <c r="E3414">
        <v>1</v>
      </c>
      <c r="F3414" t="s">
        <v>3526</v>
      </c>
    </row>
    <row r="3415" spans="1:6" x14ac:dyDescent="0.25">
      <c r="A3415" t="s">
        <v>4034</v>
      </c>
      <c r="B3415" t="s">
        <v>724</v>
      </c>
      <c r="C3415" t="s">
        <v>725</v>
      </c>
      <c r="D3415" t="str">
        <f>HYPERLINK("http://service.sap.com/sap/support/notes/1590333","1590333")</f>
        <v>1590333</v>
      </c>
      <c r="E3415">
        <v>1</v>
      </c>
      <c r="F3415" t="s">
        <v>3527</v>
      </c>
    </row>
    <row r="3416" spans="1:6" x14ac:dyDescent="0.25">
      <c r="A3416" t="s">
        <v>4034</v>
      </c>
      <c r="B3416" t="s">
        <v>782</v>
      </c>
    </row>
    <row r="3417" spans="1:6" x14ac:dyDescent="0.25">
      <c r="A3417" t="s">
        <v>4034</v>
      </c>
      <c r="B3417" t="s">
        <v>784</v>
      </c>
      <c r="C3417" t="s">
        <v>785</v>
      </c>
      <c r="D3417" t="str">
        <f>HYPERLINK("http://service.sap.com/sap/support/notes/1545954","1545954")</f>
        <v>1545954</v>
      </c>
      <c r="E3417">
        <v>1</v>
      </c>
      <c r="F3417" t="s">
        <v>3528</v>
      </c>
    </row>
    <row r="3418" spans="1:6" x14ac:dyDescent="0.25">
      <c r="A3418" t="s">
        <v>4034</v>
      </c>
      <c r="B3418" t="s">
        <v>784</v>
      </c>
      <c r="C3418" t="s">
        <v>785</v>
      </c>
      <c r="D3418" t="str">
        <f>HYPERLINK("http://service.sap.com/sap/support/notes/1572434","1572434")</f>
        <v>1572434</v>
      </c>
      <c r="E3418">
        <v>2</v>
      </c>
      <c r="F3418" t="s">
        <v>3529</v>
      </c>
    </row>
    <row r="3419" spans="1:6" x14ac:dyDescent="0.25">
      <c r="A3419" t="s">
        <v>4034</v>
      </c>
      <c r="B3419" t="s">
        <v>787</v>
      </c>
      <c r="C3419" t="s">
        <v>788</v>
      </c>
      <c r="D3419" t="str">
        <f>HYPERLINK("http://service.sap.com/sap/support/notes/1570622","1570622")</f>
        <v>1570622</v>
      </c>
      <c r="E3419">
        <v>2</v>
      </c>
      <c r="F3419" t="s">
        <v>3530</v>
      </c>
    </row>
    <row r="3420" spans="1:6" x14ac:dyDescent="0.25">
      <c r="A3420" t="s">
        <v>4034</v>
      </c>
      <c r="B3420" t="s">
        <v>3531</v>
      </c>
    </row>
    <row r="3421" spans="1:6" x14ac:dyDescent="0.25">
      <c r="A3421" t="s">
        <v>4034</v>
      </c>
      <c r="B3421" t="s">
        <v>3532</v>
      </c>
      <c r="C3421" t="s">
        <v>3533</v>
      </c>
      <c r="D3421" t="str">
        <f>HYPERLINK("http://service.sap.com/sap/support/notes/1011410","1011410")</f>
        <v>1011410</v>
      </c>
      <c r="E3421">
        <v>5</v>
      </c>
      <c r="F3421" t="s">
        <v>3534</v>
      </c>
    </row>
    <row r="3422" spans="1:6" x14ac:dyDescent="0.25">
      <c r="A3422" t="s">
        <v>4034</v>
      </c>
      <c r="B3422" t="s">
        <v>3532</v>
      </c>
      <c r="C3422" t="s">
        <v>3533</v>
      </c>
      <c r="D3422" t="str">
        <f>HYPERLINK("http://service.sap.com/sap/support/notes/1550068","1550068")</f>
        <v>1550068</v>
      </c>
      <c r="E3422">
        <v>2</v>
      </c>
      <c r="F3422" t="s">
        <v>3535</v>
      </c>
    </row>
    <row r="3423" spans="1:6" x14ac:dyDescent="0.25">
      <c r="A3423" t="s">
        <v>4034</v>
      </c>
      <c r="B3423" t="s">
        <v>3532</v>
      </c>
      <c r="C3423" t="s">
        <v>3533</v>
      </c>
      <c r="D3423" t="str">
        <f>HYPERLINK("http://service.sap.com/sap/support/notes/1575188","1575188")</f>
        <v>1575188</v>
      </c>
      <c r="E3423">
        <v>1</v>
      </c>
      <c r="F3423" t="s">
        <v>3536</v>
      </c>
    </row>
    <row r="3424" spans="1:6" x14ac:dyDescent="0.25">
      <c r="A3424" t="s">
        <v>4034</v>
      </c>
      <c r="B3424" t="s">
        <v>790</v>
      </c>
    </row>
    <row r="3425" spans="1:6" x14ac:dyDescent="0.25">
      <c r="A3425" t="s">
        <v>4034</v>
      </c>
      <c r="B3425" t="s">
        <v>3537</v>
      </c>
      <c r="C3425" t="s">
        <v>3538</v>
      </c>
      <c r="D3425" t="str">
        <f>HYPERLINK("http://service.sap.com/sap/support/notes/1555145","1555145")</f>
        <v>1555145</v>
      </c>
      <c r="E3425">
        <v>1</v>
      </c>
      <c r="F3425" t="s">
        <v>3539</v>
      </c>
    </row>
    <row r="3426" spans="1:6" x14ac:dyDescent="0.25">
      <c r="A3426" t="s">
        <v>4034</v>
      </c>
      <c r="B3426" t="s">
        <v>118</v>
      </c>
    </row>
    <row r="3427" spans="1:6" x14ac:dyDescent="0.25">
      <c r="A3427" t="s">
        <v>4034</v>
      </c>
      <c r="B3427" t="s">
        <v>120</v>
      </c>
      <c r="C3427" t="s">
        <v>797</v>
      </c>
      <c r="D3427" t="str">
        <f>HYPERLINK("http://service.sap.com/sap/support/notes/1585431","1585431")</f>
        <v>1585431</v>
      </c>
      <c r="E3427">
        <v>2</v>
      </c>
      <c r="F3427" t="s">
        <v>3540</v>
      </c>
    </row>
    <row r="3428" spans="1:6" x14ac:dyDescent="0.25">
      <c r="A3428" t="s">
        <v>4034</v>
      </c>
      <c r="B3428" t="s">
        <v>123</v>
      </c>
      <c r="C3428" t="s">
        <v>801</v>
      </c>
      <c r="D3428" t="str">
        <f>HYPERLINK("http://service.sap.com/sap/support/notes/1580231","1580231")</f>
        <v>1580231</v>
      </c>
      <c r="E3428">
        <v>2</v>
      </c>
      <c r="F3428" t="s">
        <v>3541</v>
      </c>
    </row>
    <row r="3429" spans="1:6" x14ac:dyDescent="0.25">
      <c r="A3429" t="s">
        <v>4034</v>
      </c>
      <c r="B3429" t="s">
        <v>123</v>
      </c>
      <c r="C3429" t="s">
        <v>801</v>
      </c>
      <c r="D3429" t="str">
        <f>HYPERLINK("http://service.sap.com/sap/support/notes/1583344","1583344")</f>
        <v>1583344</v>
      </c>
      <c r="E3429">
        <v>2</v>
      </c>
      <c r="F3429" t="s">
        <v>3542</v>
      </c>
    </row>
    <row r="3430" spans="1:6" x14ac:dyDescent="0.25">
      <c r="A3430" t="s">
        <v>4034</v>
      </c>
      <c r="B3430" t="s">
        <v>123</v>
      </c>
      <c r="C3430" t="s">
        <v>801</v>
      </c>
      <c r="D3430" t="str">
        <f>HYPERLINK("http://service.sap.com/sap/support/notes/1584429","1584429")</f>
        <v>1584429</v>
      </c>
      <c r="E3430">
        <v>1</v>
      </c>
      <c r="F3430" t="s">
        <v>3543</v>
      </c>
    </row>
    <row r="3431" spans="1:6" x14ac:dyDescent="0.25">
      <c r="A3431" t="s">
        <v>4034</v>
      </c>
      <c r="B3431" t="s">
        <v>123</v>
      </c>
      <c r="C3431" t="s">
        <v>801</v>
      </c>
      <c r="D3431" t="str">
        <f>HYPERLINK("http://service.sap.com/sap/support/notes/1584740","1584740")</f>
        <v>1584740</v>
      </c>
      <c r="E3431">
        <v>1</v>
      </c>
      <c r="F3431" t="s">
        <v>3544</v>
      </c>
    </row>
    <row r="3432" spans="1:6" x14ac:dyDescent="0.25">
      <c r="A3432" t="s">
        <v>4034</v>
      </c>
      <c r="B3432" t="s">
        <v>123</v>
      </c>
      <c r="C3432" t="s">
        <v>801</v>
      </c>
      <c r="D3432" t="str">
        <f>HYPERLINK("http://service.sap.com/sap/support/notes/1585156","1585156")</f>
        <v>1585156</v>
      </c>
      <c r="E3432">
        <v>2</v>
      </c>
      <c r="F3432" t="s">
        <v>3545</v>
      </c>
    </row>
    <row r="3433" spans="1:6" x14ac:dyDescent="0.25">
      <c r="A3433" t="s">
        <v>4034</v>
      </c>
      <c r="B3433" t="s">
        <v>807</v>
      </c>
      <c r="C3433" t="s">
        <v>808</v>
      </c>
      <c r="D3433" t="str">
        <f>HYPERLINK("http://service.sap.com/sap/support/notes/1537351","1537351")</f>
        <v>1537351</v>
      </c>
      <c r="E3433">
        <v>1</v>
      </c>
      <c r="F3433" t="s">
        <v>3546</v>
      </c>
    </row>
    <row r="3434" spans="1:6" x14ac:dyDescent="0.25">
      <c r="A3434" t="s">
        <v>4034</v>
      </c>
      <c r="B3434" t="s">
        <v>810</v>
      </c>
    </row>
    <row r="3435" spans="1:6" x14ac:dyDescent="0.25">
      <c r="A3435" t="s">
        <v>4034</v>
      </c>
      <c r="B3435" t="s">
        <v>3547</v>
      </c>
      <c r="C3435" t="s">
        <v>3548</v>
      </c>
      <c r="D3435" t="str">
        <f>HYPERLINK("http://service.sap.com/sap/support/notes/1546665","1546665")</f>
        <v>1546665</v>
      </c>
      <c r="E3435">
        <v>3</v>
      </c>
      <c r="F3435" t="s">
        <v>3549</v>
      </c>
    </row>
    <row r="3436" spans="1:6" x14ac:dyDescent="0.25">
      <c r="A3436" t="s">
        <v>4034</v>
      </c>
      <c r="B3436" t="s">
        <v>814</v>
      </c>
      <c r="C3436" t="s">
        <v>815</v>
      </c>
      <c r="D3436" t="str">
        <f>HYPERLINK("http://service.sap.com/sap/support/notes/1551736","1551736")</f>
        <v>1551736</v>
      </c>
      <c r="E3436">
        <v>5</v>
      </c>
      <c r="F3436" t="s">
        <v>3550</v>
      </c>
    </row>
    <row r="3437" spans="1:6" x14ac:dyDescent="0.25">
      <c r="A3437" t="s">
        <v>4034</v>
      </c>
      <c r="B3437" t="s">
        <v>814</v>
      </c>
      <c r="C3437" t="s">
        <v>815</v>
      </c>
      <c r="D3437" t="str">
        <f>HYPERLINK("http://service.sap.com/sap/support/notes/1553904","1553904")</f>
        <v>1553904</v>
      </c>
      <c r="E3437">
        <v>1</v>
      </c>
      <c r="F3437" t="s">
        <v>3551</v>
      </c>
    </row>
    <row r="3438" spans="1:6" x14ac:dyDescent="0.25">
      <c r="A3438" t="s">
        <v>4034</v>
      </c>
      <c r="B3438" t="s">
        <v>819</v>
      </c>
      <c r="C3438" t="s">
        <v>820</v>
      </c>
      <c r="D3438" t="str">
        <f>HYPERLINK("http://service.sap.com/sap/support/notes/1540862","1540862")</f>
        <v>1540862</v>
      </c>
      <c r="E3438">
        <v>2</v>
      </c>
      <c r="F3438" t="s">
        <v>3552</v>
      </c>
    </row>
    <row r="3439" spans="1:6" x14ac:dyDescent="0.25">
      <c r="A3439" t="s">
        <v>4034</v>
      </c>
      <c r="B3439" t="s">
        <v>819</v>
      </c>
      <c r="C3439" t="s">
        <v>820</v>
      </c>
      <c r="D3439" t="str">
        <f>HYPERLINK("http://service.sap.com/sap/support/notes/1556180","1556180")</f>
        <v>1556180</v>
      </c>
      <c r="E3439">
        <v>2</v>
      </c>
      <c r="F3439" t="s">
        <v>3553</v>
      </c>
    </row>
    <row r="3440" spans="1:6" x14ac:dyDescent="0.25">
      <c r="A3440" t="s">
        <v>4034</v>
      </c>
      <c r="B3440" t="s">
        <v>126</v>
      </c>
    </row>
    <row r="3441" spans="1:6" x14ac:dyDescent="0.25">
      <c r="A3441" t="s">
        <v>4034</v>
      </c>
      <c r="B3441" t="s">
        <v>1772</v>
      </c>
      <c r="C3441" t="s">
        <v>3554</v>
      </c>
      <c r="D3441" t="str">
        <f>HYPERLINK("http://service.sap.com/sap/support/notes/1459854","1459854")</f>
        <v>1459854</v>
      </c>
      <c r="E3441">
        <v>2</v>
      </c>
      <c r="F3441" t="s">
        <v>3555</v>
      </c>
    </row>
    <row r="3442" spans="1:6" x14ac:dyDescent="0.25">
      <c r="A3442" t="s">
        <v>4034</v>
      </c>
      <c r="B3442" t="s">
        <v>1774</v>
      </c>
      <c r="C3442" t="s">
        <v>1775</v>
      </c>
      <c r="D3442" t="str">
        <f>HYPERLINK("http://service.sap.com/sap/support/notes/1497647","1497647")</f>
        <v>1497647</v>
      </c>
      <c r="E3442">
        <v>1</v>
      </c>
      <c r="F3442" t="s">
        <v>3556</v>
      </c>
    </row>
    <row r="3443" spans="1:6" x14ac:dyDescent="0.25">
      <c r="A3443" t="s">
        <v>4034</v>
      </c>
      <c r="B3443" t="s">
        <v>831</v>
      </c>
    </row>
    <row r="3444" spans="1:6" x14ac:dyDescent="0.25">
      <c r="A3444" t="s">
        <v>4034</v>
      </c>
      <c r="B3444" t="s">
        <v>832</v>
      </c>
      <c r="C3444" t="s">
        <v>833</v>
      </c>
      <c r="D3444" t="str">
        <f>HYPERLINK("http://service.sap.com/sap/support/notes/1539256","1539256")</f>
        <v>1539256</v>
      </c>
      <c r="E3444">
        <v>1</v>
      </c>
      <c r="F3444" t="s">
        <v>3557</v>
      </c>
    </row>
    <row r="3445" spans="1:6" x14ac:dyDescent="0.25">
      <c r="A3445" t="s">
        <v>4034</v>
      </c>
      <c r="B3445" t="s">
        <v>835</v>
      </c>
      <c r="C3445" t="s">
        <v>836</v>
      </c>
      <c r="D3445" t="str">
        <f>HYPERLINK("http://service.sap.com/sap/support/notes/1367821","1367821")</f>
        <v>1367821</v>
      </c>
      <c r="E3445">
        <v>2</v>
      </c>
      <c r="F3445" t="s">
        <v>3558</v>
      </c>
    </row>
    <row r="3446" spans="1:6" x14ac:dyDescent="0.25">
      <c r="A3446" t="s">
        <v>4034</v>
      </c>
      <c r="B3446" t="s">
        <v>835</v>
      </c>
      <c r="C3446" t="s">
        <v>836</v>
      </c>
      <c r="D3446" t="str">
        <f>HYPERLINK("http://service.sap.com/sap/support/notes/1532811","1532811")</f>
        <v>1532811</v>
      </c>
      <c r="E3446">
        <v>3</v>
      </c>
      <c r="F3446" t="s">
        <v>3559</v>
      </c>
    </row>
    <row r="3447" spans="1:6" x14ac:dyDescent="0.25">
      <c r="A3447" t="s">
        <v>4034</v>
      </c>
      <c r="B3447" t="s">
        <v>835</v>
      </c>
      <c r="C3447" t="s">
        <v>836</v>
      </c>
      <c r="D3447" t="str">
        <f>HYPERLINK("http://service.sap.com/sap/support/notes/1547301","1547301")</f>
        <v>1547301</v>
      </c>
      <c r="E3447">
        <v>1</v>
      </c>
      <c r="F3447" t="s">
        <v>3560</v>
      </c>
    </row>
    <row r="3448" spans="1:6" x14ac:dyDescent="0.25">
      <c r="A3448" t="s">
        <v>4034</v>
      </c>
      <c r="B3448" t="s">
        <v>835</v>
      </c>
      <c r="C3448" t="s">
        <v>836</v>
      </c>
      <c r="D3448" t="str">
        <f>HYPERLINK("http://service.sap.com/sap/support/notes/1578034","1578034")</f>
        <v>1578034</v>
      </c>
      <c r="E3448">
        <v>1</v>
      </c>
      <c r="F3448" t="s">
        <v>3561</v>
      </c>
    </row>
    <row r="3449" spans="1:6" x14ac:dyDescent="0.25">
      <c r="A3449" t="s">
        <v>4034</v>
      </c>
      <c r="B3449" t="s">
        <v>3562</v>
      </c>
      <c r="C3449" t="s">
        <v>3563</v>
      </c>
      <c r="D3449" t="str">
        <f>HYPERLINK("http://service.sap.com/sap/support/notes/1573693","1573693")</f>
        <v>1573693</v>
      </c>
      <c r="E3449">
        <v>1</v>
      </c>
      <c r="F3449" t="s">
        <v>3564</v>
      </c>
    </row>
    <row r="3450" spans="1:6" x14ac:dyDescent="0.25">
      <c r="A3450" t="s">
        <v>4034</v>
      </c>
      <c r="B3450" t="s">
        <v>840</v>
      </c>
      <c r="C3450" t="s">
        <v>841</v>
      </c>
      <c r="D3450" t="str">
        <f>HYPERLINK("http://service.sap.com/sap/support/notes/1533554","1533554")</f>
        <v>1533554</v>
      </c>
      <c r="E3450">
        <v>3</v>
      </c>
      <c r="F3450" t="s">
        <v>3565</v>
      </c>
    </row>
    <row r="3451" spans="1:6" x14ac:dyDescent="0.25">
      <c r="A3451" t="s">
        <v>4034</v>
      </c>
      <c r="B3451" t="s">
        <v>840</v>
      </c>
      <c r="C3451" t="s">
        <v>841</v>
      </c>
      <c r="D3451" t="str">
        <f>HYPERLINK("http://service.sap.com/sap/support/notes/1545219","1545219")</f>
        <v>1545219</v>
      </c>
      <c r="E3451">
        <v>2</v>
      </c>
      <c r="F3451" t="s">
        <v>3566</v>
      </c>
    </row>
    <row r="3452" spans="1:6" x14ac:dyDescent="0.25">
      <c r="A3452" t="s">
        <v>4034</v>
      </c>
      <c r="B3452" t="s">
        <v>3567</v>
      </c>
    </row>
    <row r="3453" spans="1:6" x14ac:dyDescent="0.25">
      <c r="A3453" t="s">
        <v>4034</v>
      </c>
      <c r="B3453" t="s">
        <v>3568</v>
      </c>
      <c r="C3453" t="s">
        <v>3569</v>
      </c>
      <c r="D3453" t="str">
        <f>HYPERLINK("http://service.sap.com/sap/support/notes/1084559","1084559")</f>
        <v>1084559</v>
      </c>
      <c r="E3453">
        <v>7</v>
      </c>
      <c r="F3453" t="s">
        <v>3570</v>
      </c>
    </row>
    <row r="3454" spans="1:6" x14ac:dyDescent="0.25">
      <c r="A3454" t="s">
        <v>4034</v>
      </c>
      <c r="B3454" t="s">
        <v>849</v>
      </c>
      <c r="C3454" t="s">
        <v>850</v>
      </c>
      <c r="D3454" t="str">
        <f>HYPERLINK("http://service.sap.com/sap/support/notes/1269503","1269503")</f>
        <v>1269503</v>
      </c>
      <c r="E3454">
        <v>2</v>
      </c>
      <c r="F3454" t="s">
        <v>3571</v>
      </c>
    </row>
    <row r="3455" spans="1:6" x14ac:dyDescent="0.25">
      <c r="A3455" t="s">
        <v>4034</v>
      </c>
      <c r="B3455" t="s">
        <v>849</v>
      </c>
      <c r="C3455" t="s">
        <v>850</v>
      </c>
      <c r="D3455" t="str">
        <f>HYPERLINK("http://service.sap.com/sap/support/notes/1341471","1341471")</f>
        <v>1341471</v>
      </c>
      <c r="E3455">
        <v>3</v>
      </c>
      <c r="F3455" t="s">
        <v>3572</v>
      </c>
    </row>
    <row r="3456" spans="1:6" x14ac:dyDescent="0.25">
      <c r="A3456" t="s">
        <v>4034</v>
      </c>
      <c r="B3456" t="s">
        <v>849</v>
      </c>
      <c r="C3456" t="s">
        <v>850</v>
      </c>
      <c r="D3456" t="str">
        <f>HYPERLINK("http://service.sap.com/sap/support/notes/1431098","1431098")</f>
        <v>1431098</v>
      </c>
      <c r="E3456">
        <v>3</v>
      </c>
      <c r="F3456" t="s">
        <v>3573</v>
      </c>
    </row>
    <row r="3457" spans="1:6" x14ac:dyDescent="0.25">
      <c r="A3457" t="s">
        <v>4034</v>
      </c>
      <c r="B3457" t="s">
        <v>849</v>
      </c>
      <c r="C3457" t="s">
        <v>850</v>
      </c>
      <c r="D3457" t="str">
        <f>HYPERLINK("http://service.sap.com/sap/support/notes/1462021","1462021")</f>
        <v>1462021</v>
      </c>
      <c r="E3457">
        <v>3</v>
      </c>
      <c r="F3457" t="s">
        <v>3574</v>
      </c>
    </row>
    <row r="3458" spans="1:6" x14ac:dyDescent="0.25">
      <c r="A3458" t="s">
        <v>4034</v>
      </c>
      <c r="B3458" t="s">
        <v>849</v>
      </c>
      <c r="C3458" t="s">
        <v>850</v>
      </c>
      <c r="D3458" t="str">
        <f>HYPERLINK("http://service.sap.com/sap/support/notes/1513944","1513944")</f>
        <v>1513944</v>
      </c>
      <c r="E3458">
        <v>2</v>
      </c>
      <c r="F3458" t="s">
        <v>3575</v>
      </c>
    </row>
    <row r="3459" spans="1:6" x14ac:dyDescent="0.25">
      <c r="A3459" t="s">
        <v>4034</v>
      </c>
      <c r="B3459" t="s">
        <v>849</v>
      </c>
      <c r="C3459" t="s">
        <v>850</v>
      </c>
      <c r="D3459" t="str">
        <f>HYPERLINK("http://service.sap.com/sap/support/notes/1538127","1538127")</f>
        <v>1538127</v>
      </c>
      <c r="E3459">
        <v>2</v>
      </c>
      <c r="F3459" t="s">
        <v>3576</v>
      </c>
    </row>
    <row r="3460" spans="1:6" x14ac:dyDescent="0.25">
      <c r="A3460" t="s">
        <v>4034</v>
      </c>
      <c r="B3460" t="s">
        <v>849</v>
      </c>
      <c r="C3460" t="s">
        <v>850</v>
      </c>
      <c r="D3460" t="str">
        <f>HYPERLINK("http://service.sap.com/sap/support/notes/1549239","1549239")</f>
        <v>1549239</v>
      </c>
      <c r="E3460">
        <v>1</v>
      </c>
      <c r="F3460" t="s">
        <v>3577</v>
      </c>
    </row>
    <row r="3461" spans="1:6" x14ac:dyDescent="0.25">
      <c r="A3461" t="s">
        <v>4034</v>
      </c>
      <c r="B3461" t="s">
        <v>849</v>
      </c>
      <c r="C3461" t="s">
        <v>850</v>
      </c>
      <c r="D3461" t="str">
        <f>HYPERLINK("http://service.sap.com/sap/support/notes/1554557","1554557")</f>
        <v>1554557</v>
      </c>
      <c r="E3461">
        <v>1</v>
      </c>
      <c r="F3461" t="s">
        <v>3578</v>
      </c>
    </row>
    <row r="3462" spans="1:6" x14ac:dyDescent="0.25">
      <c r="A3462" t="s">
        <v>4034</v>
      </c>
      <c r="B3462" t="s">
        <v>849</v>
      </c>
      <c r="C3462" t="s">
        <v>850</v>
      </c>
      <c r="D3462" t="str">
        <f>HYPERLINK("http://service.sap.com/sap/support/notes/1566952","1566952")</f>
        <v>1566952</v>
      </c>
      <c r="E3462">
        <v>2</v>
      </c>
      <c r="F3462" t="s">
        <v>3579</v>
      </c>
    </row>
    <row r="3463" spans="1:6" x14ac:dyDescent="0.25">
      <c r="A3463" t="s">
        <v>4034</v>
      </c>
      <c r="B3463" t="s">
        <v>849</v>
      </c>
      <c r="C3463" t="s">
        <v>850</v>
      </c>
      <c r="D3463" t="str">
        <f>HYPERLINK("http://service.sap.com/sap/support/notes/1567152","1567152")</f>
        <v>1567152</v>
      </c>
      <c r="E3463">
        <v>3</v>
      </c>
      <c r="F3463" t="s">
        <v>3580</v>
      </c>
    </row>
    <row r="3464" spans="1:6" x14ac:dyDescent="0.25">
      <c r="A3464" t="s">
        <v>4034</v>
      </c>
      <c r="B3464" t="s">
        <v>849</v>
      </c>
      <c r="C3464" t="s">
        <v>850</v>
      </c>
      <c r="D3464" t="str">
        <f>HYPERLINK("http://service.sap.com/sap/support/notes/1571827","1571827")</f>
        <v>1571827</v>
      </c>
      <c r="E3464">
        <v>1</v>
      </c>
      <c r="F3464" t="s">
        <v>3581</v>
      </c>
    </row>
    <row r="3465" spans="1:6" x14ac:dyDescent="0.25">
      <c r="A3465" t="s">
        <v>4034</v>
      </c>
      <c r="B3465" t="s">
        <v>849</v>
      </c>
      <c r="C3465" t="s">
        <v>850</v>
      </c>
      <c r="D3465" t="str">
        <f>HYPERLINK("http://service.sap.com/sap/support/notes/1581264","1581264")</f>
        <v>1581264</v>
      </c>
      <c r="E3465">
        <v>1</v>
      </c>
      <c r="F3465" t="s">
        <v>3582</v>
      </c>
    </row>
    <row r="3466" spans="1:6" x14ac:dyDescent="0.25">
      <c r="A3466" t="s">
        <v>4034</v>
      </c>
      <c r="B3466" t="s">
        <v>849</v>
      </c>
      <c r="C3466" t="s">
        <v>850</v>
      </c>
      <c r="D3466" t="str">
        <f>HYPERLINK("http://service.sap.com/sap/support/notes/1585412","1585412")</f>
        <v>1585412</v>
      </c>
      <c r="E3466">
        <v>1</v>
      </c>
      <c r="F3466" t="s">
        <v>3583</v>
      </c>
    </row>
    <row r="3467" spans="1:6" x14ac:dyDescent="0.25">
      <c r="A3467" t="s">
        <v>4034</v>
      </c>
      <c r="B3467" t="s">
        <v>3584</v>
      </c>
      <c r="C3467" t="s">
        <v>3585</v>
      </c>
      <c r="D3467" t="str">
        <f>HYPERLINK("http://service.sap.com/sap/support/notes/1245945","1245945")</f>
        <v>1245945</v>
      </c>
      <c r="E3467">
        <v>9</v>
      </c>
      <c r="F3467" t="s">
        <v>3586</v>
      </c>
    </row>
    <row r="3468" spans="1:6" x14ac:dyDescent="0.25">
      <c r="A3468" t="s">
        <v>4034</v>
      </c>
      <c r="B3468" t="s">
        <v>3584</v>
      </c>
      <c r="C3468" t="s">
        <v>3585</v>
      </c>
      <c r="D3468" t="str">
        <f>HYPERLINK("http://service.sap.com/sap/support/notes/1433684","1433684")</f>
        <v>1433684</v>
      </c>
      <c r="E3468">
        <v>2</v>
      </c>
      <c r="F3468" t="s">
        <v>3587</v>
      </c>
    </row>
    <row r="3469" spans="1:6" x14ac:dyDescent="0.25">
      <c r="A3469" t="s">
        <v>4034</v>
      </c>
      <c r="B3469" t="s">
        <v>3584</v>
      </c>
      <c r="C3469" t="s">
        <v>3585</v>
      </c>
      <c r="D3469" t="str">
        <f>HYPERLINK("http://service.sap.com/sap/support/notes/1564463","1564463")</f>
        <v>1564463</v>
      </c>
      <c r="E3469">
        <v>1</v>
      </c>
      <c r="F3469" t="s">
        <v>3588</v>
      </c>
    </row>
    <row r="3470" spans="1:6" x14ac:dyDescent="0.25">
      <c r="A3470" t="s">
        <v>4034</v>
      </c>
      <c r="B3470" t="s">
        <v>867</v>
      </c>
    </row>
    <row r="3471" spans="1:6" x14ac:dyDescent="0.25">
      <c r="A3471" t="s">
        <v>4034</v>
      </c>
      <c r="B3471" t="s">
        <v>3589</v>
      </c>
      <c r="C3471" t="s">
        <v>3590</v>
      </c>
      <c r="D3471" t="str">
        <f>HYPERLINK("http://service.sap.com/sap/support/notes/1583541","1583541")</f>
        <v>1583541</v>
      </c>
      <c r="E3471">
        <v>1</v>
      </c>
      <c r="F3471" t="s">
        <v>3591</v>
      </c>
    </row>
    <row r="3472" spans="1:6" x14ac:dyDescent="0.25">
      <c r="A3472" t="s">
        <v>4034</v>
      </c>
      <c r="B3472" t="s">
        <v>868</v>
      </c>
      <c r="C3472" t="s">
        <v>869</v>
      </c>
      <c r="D3472" t="str">
        <f>HYPERLINK("http://service.sap.com/sap/support/notes/1540260","1540260")</f>
        <v>1540260</v>
      </c>
      <c r="E3472">
        <v>3</v>
      </c>
      <c r="F3472" t="s">
        <v>3592</v>
      </c>
    </row>
    <row r="3473" spans="1:6" x14ac:dyDescent="0.25">
      <c r="A3473" t="s">
        <v>4034</v>
      </c>
      <c r="B3473" t="s">
        <v>868</v>
      </c>
      <c r="C3473" t="s">
        <v>869</v>
      </c>
      <c r="D3473" t="str">
        <f>HYPERLINK("http://service.sap.com/sap/support/notes/1582196","1582196")</f>
        <v>1582196</v>
      </c>
      <c r="E3473">
        <v>2</v>
      </c>
      <c r="F3473" t="s">
        <v>3593</v>
      </c>
    </row>
    <row r="3474" spans="1:6" x14ac:dyDescent="0.25">
      <c r="A3474" t="s">
        <v>4034</v>
      </c>
      <c r="B3474" t="s">
        <v>871</v>
      </c>
      <c r="C3474" t="s">
        <v>872</v>
      </c>
      <c r="D3474" t="str">
        <f>HYPERLINK("http://service.sap.com/sap/support/notes/1557359","1557359")</f>
        <v>1557359</v>
      </c>
      <c r="E3474">
        <v>4</v>
      </c>
      <c r="F3474" t="s">
        <v>3594</v>
      </c>
    </row>
    <row r="3475" spans="1:6" x14ac:dyDescent="0.25">
      <c r="A3475" t="s">
        <v>4034</v>
      </c>
      <c r="B3475" t="s">
        <v>871</v>
      </c>
      <c r="C3475" t="s">
        <v>872</v>
      </c>
      <c r="D3475" t="str">
        <f>HYPERLINK("http://service.sap.com/sap/support/notes/1585504","1585504")</f>
        <v>1585504</v>
      </c>
      <c r="E3475">
        <v>3</v>
      </c>
      <c r="F3475" t="s">
        <v>3595</v>
      </c>
    </row>
    <row r="3476" spans="1:6" x14ac:dyDescent="0.25">
      <c r="A3476" t="s">
        <v>4034</v>
      </c>
      <c r="B3476" t="s">
        <v>3011</v>
      </c>
      <c r="C3476" t="s">
        <v>3596</v>
      </c>
      <c r="D3476" t="str">
        <f>HYPERLINK("http://service.sap.com/sap/support/notes/1564575","1564575")</f>
        <v>1564575</v>
      </c>
      <c r="E3476">
        <v>1</v>
      </c>
      <c r="F3476" t="s">
        <v>3597</v>
      </c>
    </row>
    <row r="3477" spans="1:6" x14ac:dyDescent="0.25">
      <c r="A3477" t="s">
        <v>4034</v>
      </c>
      <c r="B3477" t="s">
        <v>3011</v>
      </c>
      <c r="C3477" t="s">
        <v>3596</v>
      </c>
      <c r="D3477" t="str">
        <f>HYPERLINK("http://service.sap.com/sap/support/notes/1586722","1586722")</f>
        <v>1586722</v>
      </c>
      <c r="E3477">
        <v>3</v>
      </c>
      <c r="F3477" t="s">
        <v>3598</v>
      </c>
    </row>
    <row r="3478" spans="1:6" x14ac:dyDescent="0.25">
      <c r="A3478" t="s">
        <v>4034</v>
      </c>
      <c r="B3478" t="s">
        <v>874</v>
      </c>
      <c r="C3478" t="s">
        <v>875</v>
      </c>
      <c r="D3478" t="str">
        <f>HYPERLINK("http://service.sap.com/sap/support/notes/1545510","1545510")</f>
        <v>1545510</v>
      </c>
      <c r="E3478">
        <v>1</v>
      </c>
      <c r="F3478" t="s">
        <v>3599</v>
      </c>
    </row>
    <row r="3479" spans="1:6" x14ac:dyDescent="0.25">
      <c r="A3479" t="s">
        <v>4034</v>
      </c>
      <c r="B3479" t="s">
        <v>131</v>
      </c>
    </row>
    <row r="3480" spans="1:6" x14ac:dyDescent="0.25">
      <c r="A3480" t="s">
        <v>4034</v>
      </c>
      <c r="B3480" t="s">
        <v>133</v>
      </c>
      <c r="C3480" t="s">
        <v>134</v>
      </c>
      <c r="D3480" t="str">
        <f>HYPERLINK("http://service.sap.com/sap/support/notes/1569836","1569836")</f>
        <v>1569836</v>
      </c>
      <c r="E3480">
        <v>1</v>
      </c>
      <c r="F3480" t="s">
        <v>3600</v>
      </c>
    </row>
    <row r="3481" spans="1:6" x14ac:dyDescent="0.25">
      <c r="A3481" t="s">
        <v>4034</v>
      </c>
      <c r="B3481" t="s">
        <v>133</v>
      </c>
      <c r="C3481" t="s">
        <v>134</v>
      </c>
      <c r="D3481" t="str">
        <f>HYPERLINK("http://service.sap.com/sap/support/notes/1576775","1576775")</f>
        <v>1576775</v>
      </c>
      <c r="E3481">
        <v>4</v>
      </c>
      <c r="F3481" t="s">
        <v>3601</v>
      </c>
    </row>
    <row r="3482" spans="1:6" x14ac:dyDescent="0.25">
      <c r="A3482" t="s">
        <v>4034</v>
      </c>
      <c r="B3482" t="s">
        <v>133</v>
      </c>
      <c r="C3482" t="s">
        <v>134</v>
      </c>
      <c r="D3482" t="str">
        <f>HYPERLINK("http://service.sap.com/sap/support/notes/1578193","1578193")</f>
        <v>1578193</v>
      </c>
      <c r="E3482">
        <v>2</v>
      </c>
      <c r="F3482" t="s">
        <v>3602</v>
      </c>
    </row>
    <row r="3483" spans="1:6" x14ac:dyDescent="0.25">
      <c r="A3483" t="s">
        <v>4034</v>
      </c>
      <c r="B3483" t="s">
        <v>133</v>
      </c>
      <c r="C3483" t="s">
        <v>134</v>
      </c>
      <c r="D3483" t="str">
        <f>HYPERLINK("http://service.sap.com/sap/support/notes/1591960","1591960")</f>
        <v>1591960</v>
      </c>
      <c r="E3483">
        <v>1</v>
      </c>
      <c r="F3483" t="s">
        <v>3603</v>
      </c>
    </row>
    <row r="3484" spans="1:6" x14ac:dyDescent="0.25">
      <c r="A3484" t="s">
        <v>4034</v>
      </c>
      <c r="B3484" t="s">
        <v>141</v>
      </c>
      <c r="C3484" t="s">
        <v>41</v>
      </c>
      <c r="D3484" t="str">
        <f>HYPERLINK("http://service.sap.com/sap/support/notes/1363131","1363131")</f>
        <v>1363131</v>
      </c>
      <c r="E3484">
        <v>1</v>
      </c>
      <c r="F3484" t="s">
        <v>3604</v>
      </c>
    </row>
    <row r="3485" spans="1:6" x14ac:dyDescent="0.25">
      <c r="A3485" t="s">
        <v>4034</v>
      </c>
      <c r="B3485" t="s">
        <v>141</v>
      </c>
      <c r="C3485" t="s">
        <v>41</v>
      </c>
      <c r="D3485" t="str">
        <f>HYPERLINK("http://service.sap.com/sap/support/notes/1532399","1532399")</f>
        <v>1532399</v>
      </c>
      <c r="E3485">
        <v>3</v>
      </c>
      <c r="F3485" t="s">
        <v>3605</v>
      </c>
    </row>
    <row r="3486" spans="1:6" x14ac:dyDescent="0.25">
      <c r="A3486" t="s">
        <v>4034</v>
      </c>
      <c r="B3486" t="s">
        <v>141</v>
      </c>
      <c r="C3486" t="s">
        <v>41</v>
      </c>
      <c r="D3486" t="str">
        <f>HYPERLINK("http://service.sap.com/sap/support/notes/1554126","1554126")</f>
        <v>1554126</v>
      </c>
      <c r="E3486">
        <v>2</v>
      </c>
      <c r="F3486" t="s">
        <v>3606</v>
      </c>
    </row>
    <row r="3487" spans="1:6" x14ac:dyDescent="0.25">
      <c r="A3487" t="s">
        <v>4034</v>
      </c>
      <c r="B3487" t="s">
        <v>141</v>
      </c>
      <c r="C3487" t="s">
        <v>41</v>
      </c>
      <c r="D3487" t="str">
        <f>HYPERLINK("http://service.sap.com/sap/support/notes/1564528","1564528")</f>
        <v>1564528</v>
      </c>
      <c r="E3487">
        <v>2</v>
      </c>
      <c r="F3487" t="s">
        <v>3607</v>
      </c>
    </row>
    <row r="3488" spans="1:6" x14ac:dyDescent="0.25">
      <c r="A3488" t="s">
        <v>4034</v>
      </c>
      <c r="B3488" t="s">
        <v>141</v>
      </c>
      <c r="C3488" t="s">
        <v>41</v>
      </c>
      <c r="D3488" t="str">
        <f>HYPERLINK("http://service.sap.com/sap/support/notes/1568494","1568494")</f>
        <v>1568494</v>
      </c>
      <c r="E3488">
        <v>1</v>
      </c>
      <c r="F3488" t="s">
        <v>3608</v>
      </c>
    </row>
    <row r="3489" spans="1:6" x14ac:dyDescent="0.25">
      <c r="A3489" t="s">
        <v>4034</v>
      </c>
      <c r="B3489" t="s">
        <v>141</v>
      </c>
      <c r="C3489" t="s">
        <v>41</v>
      </c>
      <c r="D3489" t="str">
        <f>HYPERLINK("http://service.sap.com/sap/support/notes/1579480","1579480")</f>
        <v>1579480</v>
      </c>
      <c r="E3489">
        <v>5</v>
      </c>
      <c r="F3489" t="s">
        <v>3037</v>
      </c>
    </row>
    <row r="3490" spans="1:6" x14ac:dyDescent="0.25">
      <c r="A3490" t="s">
        <v>4034</v>
      </c>
      <c r="B3490" t="s">
        <v>141</v>
      </c>
      <c r="C3490" t="s">
        <v>41</v>
      </c>
      <c r="D3490" t="str">
        <f>HYPERLINK("http://service.sap.com/sap/support/notes/1583037","1583037")</f>
        <v>1583037</v>
      </c>
      <c r="E3490">
        <v>1</v>
      </c>
      <c r="F3490" t="s">
        <v>3609</v>
      </c>
    </row>
    <row r="3491" spans="1:6" x14ac:dyDescent="0.25">
      <c r="A3491" t="s">
        <v>4034</v>
      </c>
      <c r="B3491" t="s">
        <v>141</v>
      </c>
      <c r="C3491" t="s">
        <v>41</v>
      </c>
      <c r="D3491" t="str">
        <f>HYPERLINK("http://service.sap.com/sap/support/notes/1583917","1583917")</f>
        <v>1583917</v>
      </c>
      <c r="E3491">
        <v>1</v>
      </c>
      <c r="F3491" t="s">
        <v>3610</v>
      </c>
    </row>
    <row r="3492" spans="1:6" x14ac:dyDescent="0.25">
      <c r="A3492" t="s">
        <v>4034</v>
      </c>
      <c r="B3492" t="s">
        <v>141</v>
      </c>
      <c r="C3492" t="s">
        <v>41</v>
      </c>
      <c r="D3492" t="str">
        <f>HYPERLINK("http://service.sap.com/sap/support/notes/1586398","1586398")</f>
        <v>1586398</v>
      </c>
      <c r="E3492">
        <v>1</v>
      </c>
      <c r="F3492" t="s">
        <v>3611</v>
      </c>
    </row>
    <row r="3493" spans="1:6" x14ac:dyDescent="0.25">
      <c r="A3493" t="s">
        <v>4034</v>
      </c>
      <c r="B3493" t="s">
        <v>141</v>
      </c>
      <c r="C3493" t="s">
        <v>41</v>
      </c>
      <c r="D3493" t="str">
        <f>HYPERLINK("http://service.sap.com/sap/support/notes/1588205","1588205")</f>
        <v>1588205</v>
      </c>
      <c r="E3493">
        <v>2</v>
      </c>
      <c r="F3493" t="s">
        <v>3612</v>
      </c>
    </row>
    <row r="3494" spans="1:6" x14ac:dyDescent="0.25">
      <c r="A3494" t="s">
        <v>4034</v>
      </c>
      <c r="B3494" t="s">
        <v>141</v>
      </c>
      <c r="C3494" t="s">
        <v>41</v>
      </c>
      <c r="D3494" t="str">
        <f>HYPERLINK("http://service.sap.com/sap/support/notes/1590142","1590142")</f>
        <v>1590142</v>
      </c>
      <c r="E3494">
        <v>3</v>
      </c>
      <c r="F3494" t="s">
        <v>3613</v>
      </c>
    </row>
    <row r="3495" spans="1:6" x14ac:dyDescent="0.25">
      <c r="A3495" t="s">
        <v>4034</v>
      </c>
      <c r="B3495" t="s">
        <v>152</v>
      </c>
      <c r="C3495" t="s">
        <v>153</v>
      </c>
      <c r="D3495" t="str">
        <f>HYPERLINK("http://service.sap.com/sap/support/notes/1588495","1588495")</f>
        <v>1588495</v>
      </c>
      <c r="E3495">
        <v>1</v>
      </c>
      <c r="F3495" t="s">
        <v>3614</v>
      </c>
    </row>
    <row r="3496" spans="1:6" x14ac:dyDescent="0.25">
      <c r="A3496" t="s">
        <v>4034</v>
      </c>
      <c r="B3496" t="s">
        <v>155</v>
      </c>
      <c r="C3496" t="s">
        <v>156</v>
      </c>
      <c r="D3496" t="str">
        <f>HYPERLINK("http://service.sap.com/sap/support/notes/1444224","1444224")</f>
        <v>1444224</v>
      </c>
      <c r="E3496">
        <v>3</v>
      </c>
      <c r="F3496" t="s">
        <v>2219</v>
      </c>
    </row>
    <row r="3497" spans="1:6" x14ac:dyDescent="0.25">
      <c r="A3497" t="s">
        <v>4034</v>
      </c>
      <c r="B3497" t="s">
        <v>155</v>
      </c>
      <c r="C3497" t="s">
        <v>156</v>
      </c>
      <c r="D3497" t="str">
        <f>HYPERLINK("http://service.sap.com/sap/support/notes/1554923","1554923")</f>
        <v>1554923</v>
      </c>
      <c r="E3497">
        <v>3</v>
      </c>
      <c r="F3497" t="s">
        <v>2222</v>
      </c>
    </row>
    <row r="3498" spans="1:6" x14ac:dyDescent="0.25">
      <c r="A3498" t="s">
        <v>4034</v>
      </c>
      <c r="B3498" t="s">
        <v>155</v>
      </c>
      <c r="C3498" t="s">
        <v>156</v>
      </c>
      <c r="D3498" t="str">
        <f>HYPERLINK("http://service.sap.com/sap/support/notes/1577878","1577878")</f>
        <v>1577878</v>
      </c>
      <c r="E3498">
        <v>1</v>
      </c>
      <c r="F3498" t="s">
        <v>3615</v>
      </c>
    </row>
    <row r="3499" spans="1:6" x14ac:dyDescent="0.25">
      <c r="A3499" t="s">
        <v>4034</v>
      </c>
      <c r="B3499" t="s">
        <v>155</v>
      </c>
      <c r="C3499" t="s">
        <v>156</v>
      </c>
      <c r="D3499" t="str">
        <f>HYPERLINK("http://service.sap.com/sap/support/notes/1579522","1579522")</f>
        <v>1579522</v>
      </c>
      <c r="E3499">
        <v>3</v>
      </c>
      <c r="F3499" t="s">
        <v>3616</v>
      </c>
    </row>
    <row r="3500" spans="1:6" x14ac:dyDescent="0.25">
      <c r="A3500" t="s">
        <v>4034</v>
      </c>
      <c r="B3500" t="s">
        <v>155</v>
      </c>
      <c r="C3500" t="s">
        <v>156</v>
      </c>
      <c r="D3500" t="str">
        <f>HYPERLINK("http://service.sap.com/sap/support/notes/1581596","1581596")</f>
        <v>1581596</v>
      </c>
      <c r="E3500">
        <v>1</v>
      </c>
      <c r="F3500" t="s">
        <v>3617</v>
      </c>
    </row>
    <row r="3501" spans="1:6" x14ac:dyDescent="0.25">
      <c r="A3501" t="s">
        <v>4034</v>
      </c>
      <c r="B3501" t="s">
        <v>155</v>
      </c>
      <c r="C3501" t="s">
        <v>156</v>
      </c>
      <c r="D3501" t="str">
        <f>HYPERLINK("http://service.sap.com/sap/support/notes/1581824","1581824")</f>
        <v>1581824</v>
      </c>
      <c r="E3501">
        <v>2</v>
      </c>
      <c r="F3501" t="s">
        <v>3618</v>
      </c>
    </row>
    <row r="3502" spans="1:6" x14ac:dyDescent="0.25">
      <c r="A3502" t="s">
        <v>4034</v>
      </c>
      <c r="B3502" t="s">
        <v>155</v>
      </c>
      <c r="C3502" t="s">
        <v>156</v>
      </c>
      <c r="D3502" t="str">
        <f>HYPERLINK("http://service.sap.com/sap/support/notes/1583414","1583414")</f>
        <v>1583414</v>
      </c>
      <c r="E3502">
        <v>1</v>
      </c>
      <c r="F3502" t="s">
        <v>3619</v>
      </c>
    </row>
    <row r="3503" spans="1:6" x14ac:dyDescent="0.25">
      <c r="A3503" t="s">
        <v>4034</v>
      </c>
      <c r="B3503" t="s">
        <v>155</v>
      </c>
      <c r="C3503" t="s">
        <v>156</v>
      </c>
      <c r="D3503" t="str">
        <f>HYPERLINK("http://service.sap.com/sap/support/notes/1584045","1584045")</f>
        <v>1584045</v>
      </c>
      <c r="E3503">
        <v>1</v>
      </c>
      <c r="F3503" t="s">
        <v>3620</v>
      </c>
    </row>
    <row r="3504" spans="1:6" x14ac:dyDescent="0.25">
      <c r="A3504" t="s">
        <v>4034</v>
      </c>
      <c r="B3504" t="s">
        <v>155</v>
      </c>
      <c r="C3504" t="s">
        <v>156</v>
      </c>
      <c r="D3504" t="str">
        <f>HYPERLINK("http://service.sap.com/sap/support/notes/1584804","1584804")</f>
        <v>1584804</v>
      </c>
      <c r="E3504">
        <v>1</v>
      </c>
      <c r="F3504" t="s">
        <v>3621</v>
      </c>
    </row>
    <row r="3505" spans="1:6" x14ac:dyDescent="0.25">
      <c r="A3505" t="s">
        <v>4034</v>
      </c>
      <c r="B3505" t="s">
        <v>155</v>
      </c>
      <c r="C3505" t="s">
        <v>156</v>
      </c>
      <c r="D3505" t="str">
        <f>HYPERLINK("http://service.sap.com/sap/support/notes/1587715","1587715")</f>
        <v>1587715</v>
      </c>
      <c r="E3505">
        <v>1</v>
      </c>
      <c r="F3505" t="s">
        <v>3622</v>
      </c>
    </row>
    <row r="3506" spans="1:6" x14ac:dyDescent="0.25">
      <c r="A3506" t="s">
        <v>4034</v>
      </c>
      <c r="B3506" t="s">
        <v>155</v>
      </c>
      <c r="C3506" t="s">
        <v>156</v>
      </c>
      <c r="D3506" t="str">
        <f>HYPERLINK("http://service.sap.com/sap/support/notes/1588295","1588295")</f>
        <v>1588295</v>
      </c>
      <c r="E3506">
        <v>3</v>
      </c>
      <c r="F3506" t="s">
        <v>3623</v>
      </c>
    </row>
    <row r="3507" spans="1:6" x14ac:dyDescent="0.25">
      <c r="A3507" t="s">
        <v>4034</v>
      </c>
      <c r="B3507" t="s">
        <v>171</v>
      </c>
      <c r="C3507" t="s">
        <v>153</v>
      </c>
      <c r="D3507" t="str">
        <f>HYPERLINK("http://service.sap.com/sap/support/notes/1590816","1590816")</f>
        <v>1590816</v>
      </c>
      <c r="E3507">
        <v>1</v>
      </c>
      <c r="F3507" t="s">
        <v>3624</v>
      </c>
    </row>
    <row r="3508" spans="1:6" x14ac:dyDescent="0.25">
      <c r="A3508" t="s">
        <v>4034</v>
      </c>
      <c r="B3508" t="s">
        <v>173</v>
      </c>
      <c r="C3508" t="s">
        <v>45</v>
      </c>
      <c r="D3508" t="str">
        <f>HYPERLINK("http://service.sap.com/sap/support/notes/1529745","1529745")</f>
        <v>1529745</v>
      </c>
      <c r="E3508">
        <v>1</v>
      </c>
      <c r="F3508" t="s">
        <v>951</v>
      </c>
    </row>
    <row r="3509" spans="1:6" x14ac:dyDescent="0.25">
      <c r="A3509" t="s">
        <v>4034</v>
      </c>
      <c r="B3509" t="s">
        <v>173</v>
      </c>
      <c r="C3509" t="s">
        <v>45</v>
      </c>
      <c r="D3509" t="str">
        <f>HYPERLINK("http://service.sap.com/sap/support/notes/1566482","1566482")</f>
        <v>1566482</v>
      </c>
      <c r="E3509">
        <v>2</v>
      </c>
      <c r="F3509" t="s">
        <v>3625</v>
      </c>
    </row>
    <row r="3510" spans="1:6" x14ac:dyDescent="0.25">
      <c r="A3510" t="s">
        <v>4034</v>
      </c>
      <c r="B3510" t="s">
        <v>173</v>
      </c>
      <c r="C3510" t="s">
        <v>45</v>
      </c>
      <c r="D3510" t="str">
        <f>HYPERLINK("http://service.sap.com/sap/support/notes/1574678","1574678")</f>
        <v>1574678</v>
      </c>
      <c r="E3510">
        <v>1</v>
      </c>
      <c r="F3510" t="s">
        <v>3626</v>
      </c>
    </row>
    <row r="3511" spans="1:6" x14ac:dyDescent="0.25">
      <c r="A3511" t="s">
        <v>4034</v>
      </c>
      <c r="B3511" t="s">
        <v>173</v>
      </c>
      <c r="C3511" t="s">
        <v>45</v>
      </c>
      <c r="D3511" t="str">
        <f>HYPERLINK("http://service.sap.com/sap/support/notes/1579068","1579068")</f>
        <v>1579068</v>
      </c>
      <c r="E3511">
        <v>2</v>
      </c>
      <c r="F3511" t="s">
        <v>3079</v>
      </c>
    </row>
    <row r="3512" spans="1:6" x14ac:dyDescent="0.25">
      <c r="A3512" t="s">
        <v>4034</v>
      </c>
      <c r="B3512" t="s">
        <v>173</v>
      </c>
      <c r="C3512" t="s">
        <v>45</v>
      </c>
      <c r="D3512" t="str">
        <f>HYPERLINK("http://service.sap.com/sap/support/notes/1582857","1582857")</f>
        <v>1582857</v>
      </c>
      <c r="E3512">
        <v>1</v>
      </c>
      <c r="F3512" t="s">
        <v>3627</v>
      </c>
    </row>
    <row r="3513" spans="1:6" x14ac:dyDescent="0.25">
      <c r="A3513" t="s">
        <v>4034</v>
      </c>
      <c r="B3513" t="s">
        <v>173</v>
      </c>
      <c r="C3513" t="s">
        <v>45</v>
      </c>
      <c r="D3513" t="str">
        <f>HYPERLINK("http://service.sap.com/sap/support/notes/1583268","1583268")</f>
        <v>1583268</v>
      </c>
      <c r="E3513">
        <v>2</v>
      </c>
      <c r="F3513" t="s">
        <v>3628</v>
      </c>
    </row>
    <row r="3514" spans="1:6" x14ac:dyDescent="0.25">
      <c r="A3514" t="s">
        <v>4034</v>
      </c>
      <c r="B3514" t="s">
        <v>173</v>
      </c>
      <c r="C3514" t="s">
        <v>45</v>
      </c>
      <c r="D3514" t="str">
        <f>HYPERLINK("http://service.sap.com/sap/support/notes/1584895","1584895")</f>
        <v>1584895</v>
      </c>
      <c r="E3514">
        <v>4</v>
      </c>
      <c r="F3514" t="s">
        <v>3629</v>
      </c>
    </row>
    <row r="3515" spans="1:6" x14ac:dyDescent="0.25">
      <c r="A3515" t="s">
        <v>4034</v>
      </c>
      <c r="B3515" t="s">
        <v>173</v>
      </c>
      <c r="C3515" t="s">
        <v>45</v>
      </c>
      <c r="D3515" t="str">
        <f>HYPERLINK("http://service.sap.com/sap/support/notes/1586297","1586297")</f>
        <v>1586297</v>
      </c>
      <c r="E3515">
        <v>3</v>
      </c>
      <c r="F3515" t="s">
        <v>3630</v>
      </c>
    </row>
    <row r="3516" spans="1:6" x14ac:dyDescent="0.25">
      <c r="A3516" t="s">
        <v>4034</v>
      </c>
      <c r="B3516" t="s">
        <v>173</v>
      </c>
      <c r="C3516" t="s">
        <v>45</v>
      </c>
      <c r="D3516" t="str">
        <f>HYPERLINK("http://service.sap.com/sap/support/notes/1587605","1587605")</f>
        <v>1587605</v>
      </c>
      <c r="E3516">
        <v>1</v>
      </c>
      <c r="F3516" t="s">
        <v>3631</v>
      </c>
    </row>
    <row r="3517" spans="1:6" x14ac:dyDescent="0.25">
      <c r="A3517" t="s">
        <v>4034</v>
      </c>
      <c r="B3517" t="s">
        <v>173</v>
      </c>
      <c r="C3517" t="s">
        <v>45</v>
      </c>
      <c r="D3517" t="str">
        <f>HYPERLINK("http://service.sap.com/sap/support/notes/1587611","1587611")</f>
        <v>1587611</v>
      </c>
      <c r="E3517">
        <v>2</v>
      </c>
      <c r="F3517" t="s">
        <v>3632</v>
      </c>
    </row>
    <row r="3518" spans="1:6" x14ac:dyDescent="0.25">
      <c r="A3518" t="s">
        <v>4034</v>
      </c>
      <c r="B3518" t="s">
        <v>173</v>
      </c>
      <c r="C3518" t="s">
        <v>45</v>
      </c>
      <c r="D3518" t="str">
        <f>HYPERLINK("http://service.sap.com/sap/support/notes/1588150","1588150")</f>
        <v>1588150</v>
      </c>
      <c r="E3518">
        <v>1</v>
      </c>
      <c r="F3518" t="s">
        <v>3633</v>
      </c>
    </row>
    <row r="3519" spans="1:6" x14ac:dyDescent="0.25">
      <c r="A3519" t="s">
        <v>4034</v>
      </c>
      <c r="B3519" t="s">
        <v>173</v>
      </c>
      <c r="C3519" t="s">
        <v>45</v>
      </c>
      <c r="D3519" t="str">
        <f>HYPERLINK("http://service.sap.com/sap/support/notes/1588220","1588220")</f>
        <v>1588220</v>
      </c>
      <c r="E3519">
        <v>1</v>
      </c>
      <c r="F3519" t="s">
        <v>3634</v>
      </c>
    </row>
    <row r="3520" spans="1:6" x14ac:dyDescent="0.25">
      <c r="A3520" t="s">
        <v>4034</v>
      </c>
      <c r="B3520" t="s">
        <v>173</v>
      </c>
      <c r="C3520" t="s">
        <v>45</v>
      </c>
      <c r="D3520" t="str">
        <f>HYPERLINK("http://service.sap.com/sap/support/notes/1588371","1588371")</f>
        <v>1588371</v>
      </c>
      <c r="E3520">
        <v>1</v>
      </c>
      <c r="F3520" t="s">
        <v>3635</v>
      </c>
    </row>
    <row r="3521" spans="1:6" x14ac:dyDescent="0.25">
      <c r="A3521" t="s">
        <v>4034</v>
      </c>
      <c r="B3521" t="s">
        <v>173</v>
      </c>
      <c r="C3521" t="s">
        <v>45</v>
      </c>
      <c r="D3521" t="str">
        <f>HYPERLINK("http://service.sap.com/sap/support/notes/1589812","1589812")</f>
        <v>1589812</v>
      </c>
      <c r="E3521">
        <v>2</v>
      </c>
      <c r="F3521" t="s">
        <v>3636</v>
      </c>
    </row>
    <row r="3522" spans="1:6" x14ac:dyDescent="0.25">
      <c r="A3522" t="s">
        <v>4034</v>
      </c>
      <c r="B3522" t="s">
        <v>191</v>
      </c>
      <c r="C3522" t="s">
        <v>192</v>
      </c>
      <c r="D3522" t="str">
        <f>HYPERLINK("http://service.sap.com/sap/support/notes/1263788","1263788")</f>
        <v>1263788</v>
      </c>
      <c r="E3522">
        <v>1</v>
      </c>
      <c r="F3522" t="s">
        <v>3637</v>
      </c>
    </row>
    <row r="3523" spans="1:6" x14ac:dyDescent="0.25">
      <c r="A3523" t="s">
        <v>4034</v>
      </c>
      <c r="B3523" t="s">
        <v>191</v>
      </c>
      <c r="C3523" t="s">
        <v>192</v>
      </c>
      <c r="D3523" t="str">
        <f>HYPERLINK("http://service.sap.com/sap/support/notes/1277433","1277433")</f>
        <v>1277433</v>
      </c>
      <c r="E3523">
        <v>7</v>
      </c>
      <c r="F3523" t="s">
        <v>3638</v>
      </c>
    </row>
    <row r="3524" spans="1:6" x14ac:dyDescent="0.25">
      <c r="A3524" t="s">
        <v>4034</v>
      </c>
      <c r="B3524" t="s">
        <v>191</v>
      </c>
      <c r="C3524" t="s">
        <v>192</v>
      </c>
      <c r="D3524" t="str">
        <f>HYPERLINK("http://service.sap.com/sap/support/notes/1424504","1424504")</f>
        <v>1424504</v>
      </c>
      <c r="E3524">
        <v>3</v>
      </c>
      <c r="F3524" t="s">
        <v>3639</v>
      </c>
    </row>
    <row r="3525" spans="1:6" x14ac:dyDescent="0.25">
      <c r="A3525" t="s">
        <v>4034</v>
      </c>
      <c r="B3525" t="s">
        <v>191</v>
      </c>
      <c r="C3525" t="s">
        <v>192</v>
      </c>
      <c r="D3525" t="str">
        <f>HYPERLINK("http://service.sap.com/sap/support/notes/1557430","1557430")</f>
        <v>1557430</v>
      </c>
      <c r="E3525">
        <v>3</v>
      </c>
      <c r="F3525" t="s">
        <v>3640</v>
      </c>
    </row>
    <row r="3526" spans="1:6" x14ac:dyDescent="0.25">
      <c r="A3526" t="s">
        <v>4034</v>
      </c>
      <c r="B3526" t="s">
        <v>191</v>
      </c>
      <c r="C3526" t="s">
        <v>192</v>
      </c>
      <c r="D3526" t="str">
        <f>HYPERLINK("http://service.sap.com/sap/support/notes/1564207","1564207")</f>
        <v>1564207</v>
      </c>
      <c r="E3526">
        <v>2</v>
      </c>
      <c r="F3526" t="s">
        <v>3084</v>
      </c>
    </row>
    <row r="3527" spans="1:6" x14ac:dyDescent="0.25">
      <c r="A3527" t="s">
        <v>4034</v>
      </c>
      <c r="B3527" t="s">
        <v>191</v>
      </c>
      <c r="C3527" t="s">
        <v>192</v>
      </c>
      <c r="D3527" t="str">
        <f>HYPERLINK("http://service.sap.com/sap/support/notes/1568657","1568657")</f>
        <v>1568657</v>
      </c>
      <c r="E3527">
        <v>2</v>
      </c>
      <c r="F3527" t="s">
        <v>3641</v>
      </c>
    </row>
    <row r="3528" spans="1:6" x14ac:dyDescent="0.25">
      <c r="A3528" t="s">
        <v>4034</v>
      </c>
      <c r="B3528" t="s">
        <v>191</v>
      </c>
      <c r="C3528" t="s">
        <v>192</v>
      </c>
      <c r="D3528" t="str">
        <f>HYPERLINK("http://service.sap.com/sap/support/notes/1569082","1569082")</f>
        <v>1569082</v>
      </c>
      <c r="E3528">
        <v>3</v>
      </c>
      <c r="F3528" t="s">
        <v>3642</v>
      </c>
    </row>
    <row r="3529" spans="1:6" x14ac:dyDescent="0.25">
      <c r="A3529" t="s">
        <v>4034</v>
      </c>
      <c r="B3529" t="s">
        <v>191</v>
      </c>
      <c r="C3529" t="s">
        <v>192</v>
      </c>
      <c r="D3529" t="str">
        <f>HYPERLINK("http://service.sap.com/sap/support/notes/1570832","1570832")</f>
        <v>1570832</v>
      </c>
      <c r="E3529">
        <v>2</v>
      </c>
      <c r="F3529" t="s">
        <v>3643</v>
      </c>
    </row>
    <row r="3530" spans="1:6" x14ac:dyDescent="0.25">
      <c r="A3530" t="s">
        <v>4034</v>
      </c>
      <c r="B3530" t="s">
        <v>191</v>
      </c>
      <c r="C3530" t="s">
        <v>192</v>
      </c>
      <c r="D3530" t="str">
        <f>HYPERLINK("http://service.sap.com/sap/support/notes/1572911","1572911")</f>
        <v>1572911</v>
      </c>
      <c r="E3530">
        <v>2</v>
      </c>
      <c r="F3530" t="s">
        <v>3089</v>
      </c>
    </row>
    <row r="3531" spans="1:6" x14ac:dyDescent="0.25">
      <c r="A3531" t="s">
        <v>4034</v>
      </c>
      <c r="B3531" t="s">
        <v>191</v>
      </c>
      <c r="C3531" t="s">
        <v>192</v>
      </c>
      <c r="D3531" t="str">
        <f>HYPERLINK("http://service.sap.com/sap/support/notes/1573507","1573507")</f>
        <v>1573507</v>
      </c>
      <c r="E3531">
        <v>1</v>
      </c>
      <c r="F3531" t="s">
        <v>3644</v>
      </c>
    </row>
    <row r="3532" spans="1:6" x14ac:dyDescent="0.25">
      <c r="A3532" t="s">
        <v>4034</v>
      </c>
      <c r="B3532" t="s">
        <v>191</v>
      </c>
      <c r="C3532" t="s">
        <v>192</v>
      </c>
      <c r="D3532" t="str">
        <f>HYPERLINK("http://service.sap.com/sap/support/notes/1574410","1574410")</f>
        <v>1574410</v>
      </c>
      <c r="E3532">
        <v>3</v>
      </c>
      <c r="F3532" t="s">
        <v>3645</v>
      </c>
    </row>
    <row r="3533" spans="1:6" x14ac:dyDescent="0.25">
      <c r="A3533" t="s">
        <v>4034</v>
      </c>
      <c r="B3533" t="s">
        <v>201</v>
      </c>
      <c r="C3533" t="s">
        <v>202</v>
      </c>
      <c r="D3533" t="str">
        <f>HYPERLINK("http://service.sap.com/sap/support/notes/612934","612934")</f>
        <v>612934</v>
      </c>
      <c r="E3533">
        <v>1</v>
      </c>
      <c r="F3533" t="s">
        <v>203</v>
      </c>
    </row>
    <row r="3534" spans="1:6" x14ac:dyDescent="0.25">
      <c r="A3534" t="s">
        <v>4034</v>
      </c>
      <c r="B3534" t="s">
        <v>201</v>
      </c>
      <c r="C3534" t="s">
        <v>202</v>
      </c>
      <c r="D3534" t="str">
        <f>HYPERLINK("http://service.sap.com/sap/support/notes/1350940","1350940")</f>
        <v>1350940</v>
      </c>
      <c r="E3534">
        <v>1</v>
      </c>
      <c r="F3534" t="s">
        <v>3646</v>
      </c>
    </row>
    <row r="3535" spans="1:6" x14ac:dyDescent="0.25">
      <c r="A3535" t="s">
        <v>4034</v>
      </c>
      <c r="B3535" t="s">
        <v>201</v>
      </c>
      <c r="C3535" t="s">
        <v>202</v>
      </c>
      <c r="D3535" t="str">
        <f>HYPERLINK("http://service.sap.com/sap/support/notes/1378744","1378744")</f>
        <v>1378744</v>
      </c>
      <c r="E3535">
        <v>3</v>
      </c>
      <c r="F3535" t="s">
        <v>3647</v>
      </c>
    </row>
    <row r="3536" spans="1:6" x14ac:dyDescent="0.25">
      <c r="A3536" t="s">
        <v>4034</v>
      </c>
      <c r="B3536" t="s">
        <v>201</v>
      </c>
      <c r="C3536" t="s">
        <v>202</v>
      </c>
      <c r="D3536" t="str">
        <f>HYPERLINK("http://service.sap.com/sap/support/notes/1526284","1526284")</f>
        <v>1526284</v>
      </c>
      <c r="E3536">
        <v>4</v>
      </c>
      <c r="F3536" t="s">
        <v>962</v>
      </c>
    </row>
    <row r="3537" spans="1:6" x14ac:dyDescent="0.25">
      <c r="A3537" t="s">
        <v>4034</v>
      </c>
      <c r="B3537" t="s">
        <v>964</v>
      </c>
      <c r="C3537" t="s">
        <v>299</v>
      </c>
      <c r="D3537" t="str">
        <f>HYPERLINK("http://service.sap.com/sap/support/notes/1537133","1537133")</f>
        <v>1537133</v>
      </c>
      <c r="E3537">
        <v>3</v>
      </c>
      <c r="F3537" t="s">
        <v>3648</v>
      </c>
    </row>
    <row r="3538" spans="1:6" x14ac:dyDescent="0.25">
      <c r="A3538" t="s">
        <v>4034</v>
      </c>
      <c r="B3538" t="s">
        <v>964</v>
      </c>
      <c r="C3538" t="s">
        <v>299</v>
      </c>
      <c r="D3538" t="str">
        <f>HYPERLINK("http://service.sap.com/sap/support/notes/1552150","1552150")</f>
        <v>1552150</v>
      </c>
      <c r="E3538">
        <v>2</v>
      </c>
      <c r="F3538" t="s">
        <v>3649</v>
      </c>
    </row>
    <row r="3539" spans="1:6" x14ac:dyDescent="0.25">
      <c r="A3539" t="s">
        <v>4034</v>
      </c>
      <c r="B3539" t="s">
        <v>964</v>
      </c>
      <c r="C3539" t="s">
        <v>299</v>
      </c>
      <c r="D3539" t="str">
        <f>HYPERLINK("http://service.sap.com/sap/support/notes/1557046","1557046")</f>
        <v>1557046</v>
      </c>
      <c r="E3539">
        <v>2</v>
      </c>
      <c r="F3539" t="s">
        <v>3650</v>
      </c>
    </row>
    <row r="3540" spans="1:6" x14ac:dyDescent="0.25">
      <c r="A3540" t="s">
        <v>4034</v>
      </c>
      <c r="B3540" t="s">
        <v>964</v>
      </c>
      <c r="C3540" t="s">
        <v>299</v>
      </c>
      <c r="D3540" t="str">
        <f>HYPERLINK("http://service.sap.com/sap/support/notes/1569636","1569636")</f>
        <v>1569636</v>
      </c>
      <c r="E3540">
        <v>2</v>
      </c>
      <c r="F3540" t="s">
        <v>3651</v>
      </c>
    </row>
    <row r="3541" spans="1:6" x14ac:dyDescent="0.25">
      <c r="A3541" t="s">
        <v>4034</v>
      </c>
      <c r="B3541" t="s">
        <v>964</v>
      </c>
      <c r="C3541" t="s">
        <v>299</v>
      </c>
      <c r="D3541" t="str">
        <f>HYPERLINK("http://service.sap.com/sap/support/notes/1585803","1585803")</f>
        <v>1585803</v>
      </c>
      <c r="E3541">
        <v>3</v>
      </c>
      <c r="F3541" t="s">
        <v>3652</v>
      </c>
    </row>
    <row r="3542" spans="1:6" x14ac:dyDescent="0.25">
      <c r="A3542" t="s">
        <v>4034</v>
      </c>
      <c r="B3542" t="s">
        <v>964</v>
      </c>
      <c r="C3542" t="s">
        <v>299</v>
      </c>
      <c r="D3542" t="str">
        <f>HYPERLINK("http://service.sap.com/sap/support/notes/1586631","1586631")</f>
        <v>1586631</v>
      </c>
      <c r="E3542">
        <v>1</v>
      </c>
      <c r="F3542" t="s">
        <v>3653</v>
      </c>
    </row>
    <row r="3543" spans="1:6" x14ac:dyDescent="0.25">
      <c r="A3543" t="s">
        <v>4034</v>
      </c>
      <c r="B3543" t="s">
        <v>966</v>
      </c>
      <c r="C3543" t="s">
        <v>967</v>
      </c>
      <c r="D3543" t="str">
        <f>HYPERLINK("http://service.sap.com/sap/support/notes/1346258","1346258")</f>
        <v>1346258</v>
      </c>
      <c r="E3543">
        <v>5</v>
      </c>
      <c r="F3543" t="s">
        <v>3654</v>
      </c>
    </row>
    <row r="3544" spans="1:6" x14ac:dyDescent="0.25">
      <c r="A3544" t="s">
        <v>4034</v>
      </c>
      <c r="B3544" t="s">
        <v>966</v>
      </c>
      <c r="C3544" t="s">
        <v>967</v>
      </c>
      <c r="D3544" t="str">
        <f>HYPERLINK("http://service.sap.com/sap/support/notes/1484798","1484798")</f>
        <v>1484798</v>
      </c>
      <c r="E3544">
        <v>6</v>
      </c>
      <c r="F3544" t="s">
        <v>3655</v>
      </c>
    </row>
    <row r="3545" spans="1:6" x14ac:dyDescent="0.25">
      <c r="A3545" t="s">
        <v>4034</v>
      </c>
      <c r="B3545" t="s">
        <v>207</v>
      </c>
      <c r="C3545" t="s">
        <v>208</v>
      </c>
      <c r="D3545" t="str">
        <f>HYPERLINK("http://service.sap.com/sap/support/notes/1348995","1348995")</f>
        <v>1348995</v>
      </c>
      <c r="E3545">
        <v>1</v>
      </c>
      <c r="F3545" t="s">
        <v>3656</v>
      </c>
    </row>
    <row r="3546" spans="1:6" x14ac:dyDescent="0.25">
      <c r="A3546" t="s">
        <v>4034</v>
      </c>
      <c r="B3546" t="s">
        <v>207</v>
      </c>
      <c r="C3546" t="s">
        <v>208</v>
      </c>
      <c r="D3546" t="str">
        <f>HYPERLINK("http://service.sap.com/sap/support/notes/1541345","1541345")</f>
        <v>1541345</v>
      </c>
      <c r="E3546">
        <v>8</v>
      </c>
      <c r="F3546" t="s">
        <v>3657</v>
      </c>
    </row>
    <row r="3547" spans="1:6" x14ac:dyDescent="0.25">
      <c r="A3547" t="s">
        <v>4034</v>
      </c>
      <c r="B3547" t="s">
        <v>207</v>
      </c>
      <c r="C3547" t="s">
        <v>208</v>
      </c>
      <c r="D3547" t="str">
        <f>HYPERLINK("http://service.sap.com/sap/support/notes/1580013","1580013")</f>
        <v>1580013</v>
      </c>
      <c r="E3547">
        <v>2</v>
      </c>
      <c r="F3547" t="s">
        <v>3658</v>
      </c>
    </row>
    <row r="3548" spans="1:6" x14ac:dyDescent="0.25">
      <c r="A3548" t="s">
        <v>4034</v>
      </c>
      <c r="B3548" t="s">
        <v>207</v>
      </c>
      <c r="C3548" t="s">
        <v>208</v>
      </c>
      <c r="D3548" t="str">
        <f>HYPERLINK("http://service.sap.com/sap/support/notes/1583383","1583383")</f>
        <v>1583383</v>
      </c>
      <c r="E3548">
        <v>2</v>
      </c>
      <c r="F3548" t="s">
        <v>3659</v>
      </c>
    </row>
    <row r="3549" spans="1:6" x14ac:dyDescent="0.25">
      <c r="A3549" t="s">
        <v>4034</v>
      </c>
      <c r="B3549" t="s">
        <v>207</v>
      </c>
      <c r="C3549" t="s">
        <v>208</v>
      </c>
      <c r="D3549" t="str">
        <f>HYPERLINK("http://service.sap.com/sap/support/notes/1583807","1583807")</f>
        <v>1583807</v>
      </c>
      <c r="E3549">
        <v>1</v>
      </c>
      <c r="F3549" t="s">
        <v>3660</v>
      </c>
    </row>
    <row r="3550" spans="1:6" x14ac:dyDescent="0.25">
      <c r="A3550" t="s">
        <v>4034</v>
      </c>
      <c r="B3550" t="s">
        <v>207</v>
      </c>
      <c r="C3550" t="s">
        <v>208</v>
      </c>
      <c r="D3550" t="str">
        <f>HYPERLINK("http://service.sap.com/sap/support/notes/1584390","1584390")</f>
        <v>1584390</v>
      </c>
      <c r="E3550">
        <v>1</v>
      </c>
      <c r="F3550" t="s">
        <v>3661</v>
      </c>
    </row>
    <row r="3551" spans="1:6" x14ac:dyDescent="0.25">
      <c r="A3551" t="s">
        <v>4034</v>
      </c>
      <c r="B3551" t="s">
        <v>207</v>
      </c>
      <c r="C3551" t="s">
        <v>208</v>
      </c>
      <c r="D3551" t="str">
        <f>HYPERLINK("http://service.sap.com/sap/support/notes/1590011","1590011")</f>
        <v>1590011</v>
      </c>
      <c r="E3551">
        <v>3</v>
      </c>
      <c r="F3551" t="s">
        <v>3662</v>
      </c>
    </row>
    <row r="3552" spans="1:6" x14ac:dyDescent="0.25">
      <c r="A3552" t="s">
        <v>4034</v>
      </c>
      <c r="B3552" t="s">
        <v>213</v>
      </c>
      <c r="C3552" t="s">
        <v>214</v>
      </c>
      <c r="D3552" t="str">
        <f>HYPERLINK("http://service.sap.com/sap/support/notes/1485608","1485608")</f>
        <v>1485608</v>
      </c>
      <c r="E3552">
        <v>1</v>
      </c>
      <c r="F3552" t="s">
        <v>979</v>
      </c>
    </row>
    <row r="3553" spans="1:6" x14ac:dyDescent="0.25">
      <c r="A3553" t="s">
        <v>4034</v>
      </c>
      <c r="B3553" t="s">
        <v>213</v>
      </c>
      <c r="C3553" t="s">
        <v>214</v>
      </c>
      <c r="D3553" t="str">
        <f>HYPERLINK("http://service.sap.com/sap/support/notes/1527528","1527528")</f>
        <v>1527528</v>
      </c>
      <c r="E3553">
        <v>4</v>
      </c>
      <c r="F3553" t="s">
        <v>3663</v>
      </c>
    </row>
    <row r="3554" spans="1:6" x14ac:dyDescent="0.25">
      <c r="A3554" t="s">
        <v>4034</v>
      </c>
      <c r="B3554" t="s">
        <v>213</v>
      </c>
      <c r="C3554" t="s">
        <v>214</v>
      </c>
      <c r="D3554" t="str">
        <f>HYPERLINK("http://service.sap.com/sap/support/notes/1548914","1548914")</f>
        <v>1548914</v>
      </c>
      <c r="E3554">
        <v>2</v>
      </c>
      <c r="F3554" t="s">
        <v>3664</v>
      </c>
    </row>
    <row r="3555" spans="1:6" x14ac:dyDescent="0.25">
      <c r="A3555" t="s">
        <v>4034</v>
      </c>
      <c r="B3555" t="s">
        <v>213</v>
      </c>
      <c r="C3555" t="s">
        <v>214</v>
      </c>
      <c r="D3555" t="str">
        <f>HYPERLINK("http://service.sap.com/sap/support/notes/1552886","1552886")</f>
        <v>1552886</v>
      </c>
      <c r="E3555">
        <v>1</v>
      </c>
      <c r="F3555" t="s">
        <v>3665</v>
      </c>
    </row>
    <row r="3556" spans="1:6" x14ac:dyDescent="0.25">
      <c r="A3556" t="s">
        <v>4034</v>
      </c>
      <c r="B3556" t="s">
        <v>213</v>
      </c>
      <c r="C3556" t="s">
        <v>214</v>
      </c>
      <c r="D3556" t="str">
        <f>HYPERLINK("http://service.sap.com/sap/support/notes/1558792","1558792")</f>
        <v>1558792</v>
      </c>
      <c r="E3556">
        <v>6</v>
      </c>
      <c r="F3556" t="s">
        <v>3666</v>
      </c>
    </row>
    <row r="3557" spans="1:6" x14ac:dyDescent="0.25">
      <c r="A3557" t="s">
        <v>4034</v>
      </c>
      <c r="B3557" t="s">
        <v>213</v>
      </c>
      <c r="C3557" t="s">
        <v>214</v>
      </c>
      <c r="D3557" t="str">
        <f>HYPERLINK("http://service.sap.com/sap/support/notes/1570495","1570495")</f>
        <v>1570495</v>
      </c>
      <c r="E3557">
        <v>12</v>
      </c>
      <c r="F3557" t="s">
        <v>3667</v>
      </c>
    </row>
    <row r="3558" spans="1:6" x14ac:dyDescent="0.25">
      <c r="A3558" t="s">
        <v>4034</v>
      </c>
      <c r="B3558" t="s">
        <v>213</v>
      </c>
      <c r="C3558" t="s">
        <v>214</v>
      </c>
      <c r="D3558" t="str">
        <f>HYPERLINK("http://service.sap.com/sap/support/notes/1570498","1570498")</f>
        <v>1570498</v>
      </c>
      <c r="E3558">
        <v>2</v>
      </c>
      <c r="F3558" t="s">
        <v>3668</v>
      </c>
    </row>
    <row r="3559" spans="1:6" x14ac:dyDescent="0.25">
      <c r="A3559" t="s">
        <v>4034</v>
      </c>
      <c r="B3559" t="s">
        <v>213</v>
      </c>
      <c r="C3559" t="s">
        <v>214</v>
      </c>
      <c r="D3559" t="str">
        <f>HYPERLINK("http://service.sap.com/sap/support/notes/1572863","1572863")</f>
        <v>1572863</v>
      </c>
      <c r="E3559">
        <v>4</v>
      </c>
      <c r="F3559" t="s">
        <v>3669</v>
      </c>
    </row>
    <row r="3560" spans="1:6" x14ac:dyDescent="0.25">
      <c r="A3560" t="s">
        <v>4034</v>
      </c>
      <c r="B3560" t="s">
        <v>213</v>
      </c>
      <c r="C3560" t="s">
        <v>214</v>
      </c>
      <c r="D3560" t="str">
        <f>HYPERLINK("http://service.sap.com/sap/support/notes/1573962","1573962")</f>
        <v>1573962</v>
      </c>
      <c r="E3560">
        <v>2</v>
      </c>
      <c r="F3560" t="s">
        <v>3670</v>
      </c>
    </row>
    <row r="3561" spans="1:6" x14ac:dyDescent="0.25">
      <c r="A3561" t="s">
        <v>4034</v>
      </c>
      <c r="B3561" t="s">
        <v>213</v>
      </c>
      <c r="C3561" t="s">
        <v>214</v>
      </c>
      <c r="D3561" t="str">
        <f>HYPERLINK("http://service.sap.com/sap/support/notes/1583617","1583617")</f>
        <v>1583617</v>
      </c>
      <c r="E3561">
        <v>3</v>
      </c>
      <c r="F3561" t="s">
        <v>3671</v>
      </c>
    </row>
    <row r="3562" spans="1:6" x14ac:dyDescent="0.25">
      <c r="A3562" t="s">
        <v>4034</v>
      </c>
      <c r="B3562" t="s">
        <v>213</v>
      </c>
      <c r="C3562" t="s">
        <v>214</v>
      </c>
      <c r="D3562" t="str">
        <f>HYPERLINK("http://service.sap.com/sap/support/notes/1589024","1589024")</f>
        <v>1589024</v>
      </c>
      <c r="E3562">
        <v>2</v>
      </c>
      <c r="F3562" t="s">
        <v>3672</v>
      </c>
    </row>
    <row r="3563" spans="1:6" x14ac:dyDescent="0.25">
      <c r="A3563" t="s">
        <v>4034</v>
      </c>
      <c r="B3563" t="s">
        <v>213</v>
      </c>
      <c r="C3563" t="s">
        <v>214</v>
      </c>
      <c r="D3563" t="str">
        <f>HYPERLINK("http://service.sap.com/sap/support/notes/1589425","1589425")</f>
        <v>1589425</v>
      </c>
      <c r="E3563">
        <v>2</v>
      </c>
      <c r="F3563" t="s">
        <v>3673</v>
      </c>
    </row>
    <row r="3564" spans="1:6" x14ac:dyDescent="0.25">
      <c r="A3564" t="s">
        <v>4034</v>
      </c>
      <c r="B3564" t="s">
        <v>223</v>
      </c>
      <c r="C3564" t="s">
        <v>49</v>
      </c>
      <c r="D3564" t="str">
        <f>HYPERLINK("http://service.sap.com/sap/support/notes/1459905","1459905")</f>
        <v>1459905</v>
      </c>
      <c r="E3564">
        <v>1</v>
      </c>
      <c r="F3564" t="s">
        <v>1858</v>
      </c>
    </row>
    <row r="3565" spans="1:6" x14ac:dyDescent="0.25">
      <c r="A3565" t="s">
        <v>4034</v>
      </c>
      <c r="B3565" t="s">
        <v>223</v>
      </c>
      <c r="C3565" t="s">
        <v>49</v>
      </c>
      <c r="D3565" t="str">
        <f>HYPERLINK("http://service.sap.com/sap/support/notes/1578359","1578359")</f>
        <v>1578359</v>
      </c>
      <c r="E3565">
        <v>1</v>
      </c>
      <c r="F3565" t="s">
        <v>3674</v>
      </c>
    </row>
    <row r="3566" spans="1:6" x14ac:dyDescent="0.25">
      <c r="A3566" t="s">
        <v>4034</v>
      </c>
      <c r="B3566" t="s">
        <v>223</v>
      </c>
      <c r="C3566" t="s">
        <v>49</v>
      </c>
      <c r="D3566" t="str">
        <f>HYPERLINK("http://service.sap.com/sap/support/notes/1581446","1581446")</f>
        <v>1581446</v>
      </c>
      <c r="E3566">
        <v>1</v>
      </c>
      <c r="F3566" t="s">
        <v>3675</v>
      </c>
    </row>
    <row r="3567" spans="1:6" x14ac:dyDescent="0.25">
      <c r="A3567" t="s">
        <v>4034</v>
      </c>
      <c r="B3567" t="s">
        <v>226</v>
      </c>
      <c r="C3567" t="s">
        <v>52</v>
      </c>
      <c r="D3567" t="str">
        <f>HYPERLINK("http://service.sap.com/sap/support/notes/1553383","1553383")</f>
        <v>1553383</v>
      </c>
      <c r="E3567">
        <v>1</v>
      </c>
      <c r="F3567" t="s">
        <v>3676</v>
      </c>
    </row>
    <row r="3568" spans="1:6" x14ac:dyDescent="0.25">
      <c r="A3568" t="s">
        <v>4034</v>
      </c>
      <c r="B3568" t="s">
        <v>227</v>
      </c>
      <c r="C3568" t="s">
        <v>990</v>
      </c>
      <c r="D3568" t="str">
        <f>HYPERLINK("http://service.sap.com/sap/support/notes/1533900","1533900")</f>
        <v>1533900</v>
      </c>
      <c r="E3568">
        <v>1</v>
      </c>
      <c r="F3568" t="s">
        <v>3677</v>
      </c>
    </row>
    <row r="3569" spans="1:6" x14ac:dyDescent="0.25">
      <c r="A3569" t="s">
        <v>4034</v>
      </c>
      <c r="B3569" t="s">
        <v>227</v>
      </c>
      <c r="C3569" t="s">
        <v>990</v>
      </c>
      <c r="D3569" t="str">
        <f>HYPERLINK("http://service.sap.com/sap/support/notes/1579205","1579205")</f>
        <v>1579205</v>
      </c>
      <c r="E3569">
        <v>4</v>
      </c>
      <c r="F3569" t="s">
        <v>3678</v>
      </c>
    </row>
    <row r="3570" spans="1:6" x14ac:dyDescent="0.25">
      <c r="A3570" t="s">
        <v>4034</v>
      </c>
      <c r="B3570" t="s">
        <v>232</v>
      </c>
      <c r="C3570" t="s">
        <v>3679</v>
      </c>
      <c r="D3570" t="str">
        <f>HYPERLINK("http://service.sap.com/sap/support/notes/1577997","1577997")</f>
        <v>1577997</v>
      </c>
      <c r="E3570">
        <v>4</v>
      </c>
      <c r="F3570" t="s">
        <v>3680</v>
      </c>
    </row>
    <row r="3571" spans="1:6" x14ac:dyDescent="0.25">
      <c r="A3571" t="s">
        <v>4034</v>
      </c>
      <c r="B3571" t="s">
        <v>232</v>
      </c>
      <c r="C3571" t="s">
        <v>3679</v>
      </c>
      <c r="D3571" t="str">
        <f>HYPERLINK("http://service.sap.com/sap/support/notes/1590288","1590288")</f>
        <v>1590288</v>
      </c>
      <c r="E3571">
        <v>1</v>
      </c>
      <c r="F3571" t="s">
        <v>3681</v>
      </c>
    </row>
    <row r="3572" spans="1:6" x14ac:dyDescent="0.25">
      <c r="A3572" t="s">
        <v>4034</v>
      </c>
      <c r="B3572" t="s">
        <v>235</v>
      </c>
    </row>
    <row r="3573" spans="1:6" x14ac:dyDescent="0.25">
      <c r="A3573" t="s">
        <v>4034</v>
      </c>
      <c r="B3573" t="s">
        <v>237</v>
      </c>
      <c r="C3573" t="s">
        <v>238</v>
      </c>
      <c r="D3573" t="str">
        <f>HYPERLINK("http://service.sap.com/sap/support/notes/1560710","1560710")</f>
        <v>1560710</v>
      </c>
      <c r="E3573">
        <v>2</v>
      </c>
      <c r="F3573" t="s">
        <v>3120</v>
      </c>
    </row>
    <row r="3574" spans="1:6" x14ac:dyDescent="0.25">
      <c r="A3574" t="s">
        <v>4034</v>
      </c>
      <c r="B3574" t="s">
        <v>237</v>
      </c>
      <c r="C3574" t="s">
        <v>238</v>
      </c>
      <c r="D3574" t="str">
        <f>HYPERLINK("http://service.sap.com/sap/support/notes/1567555","1567555")</f>
        <v>1567555</v>
      </c>
      <c r="E3574">
        <v>3</v>
      </c>
      <c r="F3574" t="s">
        <v>2696</v>
      </c>
    </row>
    <row r="3575" spans="1:6" x14ac:dyDescent="0.25">
      <c r="A3575" t="s">
        <v>4034</v>
      </c>
      <c r="B3575" t="s">
        <v>237</v>
      </c>
      <c r="C3575" t="s">
        <v>238</v>
      </c>
      <c r="D3575" t="str">
        <f>HYPERLINK("http://service.sap.com/sap/support/notes/1583992","1583992")</f>
        <v>1583992</v>
      </c>
      <c r="E3575">
        <v>1</v>
      </c>
      <c r="F3575" t="s">
        <v>3682</v>
      </c>
    </row>
    <row r="3576" spans="1:6" x14ac:dyDescent="0.25">
      <c r="A3576" t="s">
        <v>4034</v>
      </c>
      <c r="B3576" t="s">
        <v>237</v>
      </c>
      <c r="C3576" t="s">
        <v>238</v>
      </c>
      <c r="D3576" t="str">
        <f>HYPERLINK("http://service.sap.com/sap/support/notes/1584432","1584432")</f>
        <v>1584432</v>
      </c>
      <c r="E3576">
        <v>2</v>
      </c>
      <c r="F3576" t="s">
        <v>3683</v>
      </c>
    </row>
    <row r="3577" spans="1:6" x14ac:dyDescent="0.25">
      <c r="A3577" t="s">
        <v>4034</v>
      </c>
      <c r="B3577" t="s">
        <v>237</v>
      </c>
      <c r="C3577" t="s">
        <v>238</v>
      </c>
      <c r="D3577" t="str">
        <f>HYPERLINK("http://service.sap.com/sap/support/notes/1584799","1584799")</f>
        <v>1584799</v>
      </c>
      <c r="E3577">
        <v>1</v>
      </c>
      <c r="F3577" t="s">
        <v>3684</v>
      </c>
    </row>
    <row r="3578" spans="1:6" x14ac:dyDescent="0.25">
      <c r="A3578" t="s">
        <v>4034</v>
      </c>
      <c r="B3578" t="s">
        <v>237</v>
      </c>
      <c r="C3578" t="s">
        <v>238</v>
      </c>
      <c r="D3578" t="str">
        <f>HYPERLINK("http://service.sap.com/sap/support/notes/1586462","1586462")</f>
        <v>1586462</v>
      </c>
      <c r="E3578">
        <v>1</v>
      </c>
      <c r="F3578" t="s">
        <v>3685</v>
      </c>
    </row>
    <row r="3579" spans="1:6" x14ac:dyDescent="0.25">
      <c r="A3579" t="s">
        <v>4034</v>
      </c>
      <c r="B3579" t="s">
        <v>242</v>
      </c>
      <c r="C3579" t="s">
        <v>243</v>
      </c>
      <c r="D3579" t="str">
        <f>HYPERLINK("http://service.sap.com/sap/support/notes/1569752","1569752")</f>
        <v>1569752</v>
      </c>
      <c r="E3579">
        <v>2</v>
      </c>
      <c r="F3579" t="s">
        <v>3686</v>
      </c>
    </row>
    <row r="3580" spans="1:6" x14ac:dyDescent="0.25">
      <c r="A3580" t="s">
        <v>4034</v>
      </c>
      <c r="B3580" t="s">
        <v>242</v>
      </c>
      <c r="C3580" t="s">
        <v>243</v>
      </c>
      <c r="D3580" t="str">
        <f>HYPERLINK("http://service.sap.com/sap/support/notes/1571273","1571273")</f>
        <v>1571273</v>
      </c>
      <c r="E3580">
        <v>1</v>
      </c>
      <c r="F3580" t="s">
        <v>3687</v>
      </c>
    </row>
    <row r="3581" spans="1:6" x14ac:dyDescent="0.25">
      <c r="A3581" t="s">
        <v>4034</v>
      </c>
      <c r="B3581" t="s">
        <v>242</v>
      </c>
      <c r="C3581" t="s">
        <v>243</v>
      </c>
      <c r="D3581" t="str">
        <f>HYPERLINK("http://service.sap.com/sap/support/notes/1585235","1585235")</f>
        <v>1585235</v>
      </c>
      <c r="E3581">
        <v>1</v>
      </c>
      <c r="F3581" t="s">
        <v>3688</v>
      </c>
    </row>
    <row r="3582" spans="1:6" x14ac:dyDescent="0.25">
      <c r="A3582" t="s">
        <v>4034</v>
      </c>
      <c r="B3582" t="s">
        <v>250</v>
      </c>
    </row>
    <row r="3583" spans="1:6" x14ac:dyDescent="0.25">
      <c r="A3583" t="s">
        <v>4034</v>
      </c>
      <c r="B3583" t="s">
        <v>255</v>
      </c>
      <c r="C3583" t="s">
        <v>256</v>
      </c>
      <c r="D3583" t="str">
        <f>HYPERLINK("http://service.sap.com/sap/support/notes/1591365","1591365")</f>
        <v>1591365</v>
      </c>
      <c r="E3583">
        <v>1</v>
      </c>
      <c r="F3583" t="s">
        <v>3689</v>
      </c>
    </row>
    <row r="3584" spans="1:6" x14ac:dyDescent="0.25">
      <c r="A3584" t="s">
        <v>4034</v>
      </c>
      <c r="B3584" t="s">
        <v>258</v>
      </c>
      <c r="C3584" t="s">
        <v>259</v>
      </c>
      <c r="D3584" t="str">
        <f>HYPERLINK("http://service.sap.com/sap/support/notes/1556892","1556892")</f>
        <v>1556892</v>
      </c>
      <c r="E3584">
        <v>1</v>
      </c>
      <c r="F3584" t="s">
        <v>3690</v>
      </c>
    </row>
    <row r="3585" spans="1:6" x14ac:dyDescent="0.25">
      <c r="A3585" t="s">
        <v>4034</v>
      </c>
      <c r="B3585" t="s">
        <v>258</v>
      </c>
      <c r="C3585" t="s">
        <v>259</v>
      </c>
      <c r="D3585" t="str">
        <f>HYPERLINK("http://service.sap.com/sap/support/notes/1557953","1557953")</f>
        <v>1557953</v>
      </c>
      <c r="E3585">
        <v>4</v>
      </c>
      <c r="F3585" t="s">
        <v>3691</v>
      </c>
    </row>
    <row r="3586" spans="1:6" x14ac:dyDescent="0.25">
      <c r="A3586" t="s">
        <v>4034</v>
      </c>
      <c r="B3586" t="s">
        <v>258</v>
      </c>
      <c r="C3586" t="s">
        <v>259</v>
      </c>
      <c r="D3586" t="str">
        <f>HYPERLINK("http://service.sap.com/sap/support/notes/1582722","1582722")</f>
        <v>1582722</v>
      </c>
      <c r="E3586">
        <v>2</v>
      </c>
      <c r="F3586" t="s">
        <v>3692</v>
      </c>
    </row>
    <row r="3587" spans="1:6" x14ac:dyDescent="0.25">
      <c r="A3587" t="s">
        <v>4034</v>
      </c>
      <c r="B3587" t="s">
        <v>258</v>
      </c>
      <c r="C3587" t="s">
        <v>259</v>
      </c>
      <c r="D3587" t="str">
        <f>HYPERLINK("http://service.sap.com/sap/support/notes/1586147","1586147")</f>
        <v>1586147</v>
      </c>
      <c r="E3587">
        <v>1</v>
      </c>
      <c r="F3587" t="s">
        <v>3693</v>
      </c>
    </row>
    <row r="3588" spans="1:6" x14ac:dyDescent="0.25">
      <c r="A3588" t="s">
        <v>4034</v>
      </c>
      <c r="B3588" t="s">
        <v>258</v>
      </c>
      <c r="C3588" t="s">
        <v>259</v>
      </c>
      <c r="D3588" t="str">
        <f>HYPERLINK("http://service.sap.com/sap/support/notes/1586362","1586362")</f>
        <v>1586362</v>
      </c>
      <c r="E3588">
        <v>1</v>
      </c>
      <c r="F3588" t="s">
        <v>3694</v>
      </c>
    </row>
    <row r="3589" spans="1:6" x14ac:dyDescent="0.25">
      <c r="A3589" t="s">
        <v>4034</v>
      </c>
      <c r="B3589" t="s">
        <v>258</v>
      </c>
      <c r="C3589" t="s">
        <v>259</v>
      </c>
      <c r="D3589" t="str">
        <f>HYPERLINK("http://service.sap.com/sap/support/notes/1586704","1586704")</f>
        <v>1586704</v>
      </c>
      <c r="E3589">
        <v>1</v>
      </c>
      <c r="F3589" t="s">
        <v>3695</v>
      </c>
    </row>
    <row r="3590" spans="1:6" x14ac:dyDescent="0.25">
      <c r="A3590" t="s">
        <v>4034</v>
      </c>
      <c r="B3590" t="s">
        <v>258</v>
      </c>
      <c r="C3590" t="s">
        <v>259</v>
      </c>
      <c r="D3590" t="str">
        <f>HYPERLINK("http://service.sap.com/sap/support/notes/1589660","1589660")</f>
        <v>1589660</v>
      </c>
      <c r="E3590">
        <v>2</v>
      </c>
      <c r="F3590" t="s">
        <v>3696</v>
      </c>
    </row>
    <row r="3591" spans="1:6" x14ac:dyDescent="0.25">
      <c r="A3591" t="s">
        <v>4034</v>
      </c>
      <c r="B3591" t="s">
        <v>258</v>
      </c>
      <c r="C3591" t="s">
        <v>259</v>
      </c>
      <c r="D3591" t="str">
        <f>HYPERLINK("http://service.sap.com/sap/support/notes/1590368","1590368")</f>
        <v>1590368</v>
      </c>
      <c r="E3591">
        <v>2</v>
      </c>
      <c r="F3591" t="s">
        <v>3697</v>
      </c>
    </row>
    <row r="3592" spans="1:6" x14ac:dyDescent="0.25">
      <c r="A3592" t="s">
        <v>4034</v>
      </c>
      <c r="B3592" t="s">
        <v>264</v>
      </c>
      <c r="C3592" t="s">
        <v>265</v>
      </c>
      <c r="D3592" t="str">
        <f>HYPERLINK("http://service.sap.com/sap/support/notes/1585157","1585157")</f>
        <v>1585157</v>
      </c>
      <c r="E3592">
        <v>2</v>
      </c>
      <c r="F3592" t="s">
        <v>3698</v>
      </c>
    </row>
    <row r="3593" spans="1:6" x14ac:dyDescent="0.25">
      <c r="A3593" t="s">
        <v>4034</v>
      </c>
      <c r="B3593" t="s">
        <v>264</v>
      </c>
      <c r="C3593" t="s">
        <v>265</v>
      </c>
      <c r="D3593" t="str">
        <f>HYPERLINK("http://service.sap.com/sap/support/notes/1587108","1587108")</f>
        <v>1587108</v>
      </c>
      <c r="E3593">
        <v>2</v>
      </c>
      <c r="F3593" t="s">
        <v>3699</v>
      </c>
    </row>
    <row r="3594" spans="1:6" x14ac:dyDescent="0.25">
      <c r="A3594" t="s">
        <v>4034</v>
      </c>
      <c r="B3594" t="s">
        <v>264</v>
      </c>
      <c r="C3594" t="s">
        <v>265</v>
      </c>
      <c r="D3594" t="str">
        <f>HYPERLINK("http://service.sap.com/sap/support/notes/1590723","1590723")</f>
        <v>1590723</v>
      </c>
      <c r="E3594">
        <v>1</v>
      </c>
      <c r="F3594" t="s">
        <v>3700</v>
      </c>
    </row>
    <row r="3595" spans="1:6" x14ac:dyDescent="0.25">
      <c r="A3595" t="s">
        <v>4034</v>
      </c>
      <c r="B3595" t="s">
        <v>273</v>
      </c>
      <c r="C3595" t="s">
        <v>153</v>
      </c>
      <c r="D3595" t="str">
        <f>HYPERLINK("http://service.sap.com/sap/support/notes/1526595","1526595")</f>
        <v>1526595</v>
      </c>
      <c r="E3595">
        <v>1</v>
      </c>
      <c r="F3595" t="s">
        <v>3701</v>
      </c>
    </row>
    <row r="3596" spans="1:6" x14ac:dyDescent="0.25">
      <c r="A3596" t="s">
        <v>4034</v>
      </c>
      <c r="B3596" t="s">
        <v>273</v>
      </c>
      <c r="C3596" t="s">
        <v>153</v>
      </c>
      <c r="D3596" t="str">
        <f>HYPERLINK("http://service.sap.com/sap/support/notes/1544235","1544235")</f>
        <v>1544235</v>
      </c>
      <c r="E3596">
        <v>1</v>
      </c>
      <c r="F3596" t="s">
        <v>3702</v>
      </c>
    </row>
    <row r="3597" spans="1:6" x14ac:dyDescent="0.25">
      <c r="A3597" t="s">
        <v>4034</v>
      </c>
      <c r="B3597" t="s">
        <v>273</v>
      </c>
      <c r="C3597" t="s">
        <v>153</v>
      </c>
      <c r="D3597" t="str">
        <f>HYPERLINK("http://service.sap.com/sap/support/notes/1560658","1560658")</f>
        <v>1560658</v>
      </c>
      <c r="E3597">
        <v>1</v>
      </c>
      <c r="F3597" t="s">
        <v>3703</v>
      </c>
    </row>
    <row r="3598" spans="1:6" x14ac:dyDescent="0.25">
      <c r="A3598" t="s">
        <v>4034</v>
      </c>
      <c r="B3598" t="s">
        <v>273</v>
      </c>
      <c r="C3598" t="s">
        <v>153</v>
      </c>
      <c r="D3598" t="str">
        <f>HYPERLINK("http://service.sap.com/sap/support/notes/1574232","1574232")</f>
        <v>1574232</v>
      </c>
      <c r="E3598">
        <v>1</v>
      </c>
      <c r="F3598" t="s">
        <v>3704</v>
      </c>
    </row>
    <row r="3599" spans="1:6" x14ac:dyDescent="0.25">
      <c r="A3599" t="s">
        <v>4034</v>
      </c>
      <c r="B3599" t="s">
        <v>273</v>
      </c>
      <c r="C3599" t="s">
        <v>153</v>
      </c>
      <c r="D3599" t="str">
        <f>HYPERLINK("http://service.sap.com/sap/support/notes/1579172","1579172")</f>
        <v>1579172</v>
      </c>
      <c r="E3599">
        <v>2</v>
      </c>
      <c r="F3599" t="s">
        <v>3705</v>
      </c>
    </row>
    <row r="3600" spans="1:6" x14ac:dyDescent="0.25">
      <c r="A3600" t="s">
        <v>4034</v>
      </c>
      <c r="B3600" t="s">
        <v>273</v>
      </c>
      <c r="C3600" t="s">
        <v>153</v>
      </c>
      <c r="D3600" t="str">
        <f>HYPERLINK("http://service.sap.com/sap/support/notes/1583305","1583305")</f>
        <v>1583305</v>
      </c>
      <c r="E3600">
        <v>1</v>
      </c>
      <c r="F3600" t="s">
        <v>3706</v>
      </c>
    </row>
    <row r="3601" spans="1:6" x14ac:dyDescent="0.25">
      <c r="A3601" t="s">
        <v>4034</v>
      </c>
      <c r="B3601" t="s">
        <v>273</v>
      </c>
      <c r="C3601" t="s">
        <v>153</v>
      </c>
      <c r="D3601" t="str">
        <f>HYPERLINK("http://service.sap.com/sap/support/notes/1585571","1585571")</f>
        <v>1585571</v>
      </c>
      <c r="E3601">
        <v>2</v>
      </c>
      <c r="F3601" t="s">
        <v>3707</v>
      </c>
    </row>
    <row r="3602" spans="1:6" x14ac:dyDescent="0.25">
      <c r="A3602" t="s">
        <v>4034</v>
      </c>
      <c r="B3602" t="s">
        <v>273</v>
      </c>
      <c r="C3602" t="s">
        <v>153</v>
      </c>
      <c r="D3602" t="str">
        <f>HYPERLINK("http://service.sap.com/sap/support/notes/1588261","1588261")</f>
        <v>1588261</v>
      </c>
      <c r="E3602">
        <v>2</v>
      </c>
      <c r="F3602" t="s">
        <v>3708</v>
      </c>
    </row>
    <row r="3603" spans="1:6" x14ac:dyDescent="0.25">
      <c r="A3603" t="s">
        <v>4034</v>
      </c>
      <c r="B3603" t="s">
        <v>273</v>
      </c>
      <c r="C3603" t="s">
        <v>153</v>
      </c>
      <c r="D3603" t="str">
        <f>HYPERLINK("http://service.sap.com/sap/support/notes/1589483","1589483")</f>
        <v>1589483</v>
      </c>
      <c r="E3603">
        <v>2</v>
      </c>
      <c r="F3603" t="s">
        <v>3709</v>
      </c>
    </row>
    <row r="3604" spans="1:6" x14ac:dyDescent="0.25">
      <c r="A3604" t="s">
        <v>4034</v>
      </c>
      <c r="B3604" t="s">
        <v>273</v>
      </c>
      <c r="C3604" t="s">
        <v>153</v>
      </c>
      <c r="D3604" t="str">
        <f>HYPERLINK("http://service.sap.com/sap/support/notes/1589720","1589720")</f>
        <v>1589720</v>
      </c>
      <c r="E3604">
        <v>2</v>
      </c>
      <c r="F3604" t="s">
        <v>3710</v>
      </c>
    </row>
    <row r="3605" spans="1:6" x14ac:dyDescent="0.25">
      <c r="A3605" t="s">
        <v>4034</v>
      </c>
      <c r="B3605" t="s">
        <v>284</v>
      </c>
      <c r="C3605" t="s">
        <v>1044</v>
      </c>
      <c r="D3605" t="str">
        <f>HYPERLINK("http://service.sap.com/sap/support/notes/1540306","1540306")</f>
        <v>1540306</v>
      </c>
      <c r="E3605">
        <v>3</v>
      </c>
      <c r="F3605" t="s">
        <v>3146</v>
      </c>
    </row>
    <row r="3606" spans="1:6" x14ac:dyDescent="0.25">
      <c r="A3606" t="s">
        <v>4034</v>
      </c>
      <c r="B3606" t="s">
        <v>284</v>
      </c>
      <c r="C3606" t="s">
        <v>1044</v>
      </c>
      <c r="D3606" t="str">
        <f>HYPERLINK("http://service.sap.com/sap/support/notes/1556222","1556222")</f>
        <v>1556222</v>
      </c>
      <c r="E3606">
        <v>2</v>
      </c>
      <c r="F3606" t="s">
        <v>3711</v>
      </c>
    </row>
    <row r="3607" spans="1:6" x14ac:dyDescent="0.25">
      <c r="A3607" t="s">
        <v>4034</v>
      </c>
      <c r="B3607" t="s">
        <v>284</v>
      </c>
      <c r="C3607" t="s">
        <v>1044</v>
      </c>
      <c r="D3607" t="str">
        <f>HYPERLINK("http://service.sap.com/sap/support/notes/1572679","1572679")</f>
        <v>1572679</v>
      </c>
      <c r="E3607">
        <v>3</v>
      </c>
      <c r="F3607" t="s">
        <v>3153</v>
      </c>
    </row>
    <row r="3608" spans="1:6" x14ac:dyDescent="0.25">
      <c r="A3608" t="s">
        <v>4034</v>
      </c>
      <c r="B3608" t="s">
        <v>284</v>
      </c>
      <c r="C3608" t="s">
        <v>1044</v>
      </c>
      <c r="D3608" t="str">
        <f>HYPERLINK("http://service.sap.com/sap/support/notes/1574960","1574960")</f>
        <v>1574960</v>
      </c>
      <c r="E3608">
        <v>3</v>
      </c>
      <c r="F3608" t="s">
        <v>3712</v>
      </c>
    </row>
    <row r="3609" spans="1:6" x14ac:dyDescent="0.25">
      <c r="A3609" t="s">
        <v>4034</v>
      </c>
      <c r="B3609" t="s">
        <v>284</v>
      </c>
      <c r="C3609" t="s">
        <v>1044</v>
      </c>
      <c r="D3609" t="str">
        <f>HYPERLINK("http://service.sap.com/sap/support/notes/1581548","1581548")</f>
        <v>1581548</v>
      </c>
      <c r="E3609">
        <v>2</v>
      </c>
      <c r="F3609" t="s">
        <v>3713</v>
      </c>
    </row>
    <row r="3610" spans="1:6" x14ac:dyDescent="0.25">
      <c r="A3610" t="s">
        <v>4034</v>
      </c>
      <c r="B3610" t="s">
        <v>284</v>
      </c>
      <c r="C3610" t="s">
        <v>1044</v>
      </c>
      <c r="D3610" t="str">
        <f>HYPERLINK("http://service.sap.com/sap/support/notes/1583289","1583289")</f>
        <v>1583289</v>
      </c>
      <c r="E3610">
        <v>2</v>
      </c>
      <c r="F3610" t="s">
        <v>3714</v>
      </c>
    </row>
    <row r="3611" spans="1:6" x14ac:dyDescent="0.25">
      <c r="A3611" t="s">
        <v>4034</v>
      </c>
      <c r="B3611" t="s">
        <v>284</v>
      </c>
      <c r="C3611" t="s">
        <v>1044</v>
      </c>
      <c r="D3611" t="str">
        <f>HYPERLINK("http://service.sap.com/sap/support/notes/1583477","1583477")</f>
        <v>1583477</v>
      </c>
      <c r="E3611">
        <v>1</v>
      </c>
      <c r="F3611" t="s">
        <v>3715</v>
      </c>
    </row>
    <row r="3612" spans="1:6" x14ac:dyDescent="0.25">
      <c r="A3612" t="s">
        <v>4034</v>
      </c>
      <c r="B3612" t="s">
        <v>284</v>
      </c>
      <c r="C3612" t="s">
        <v>1044</v>
      </c>
      <c r="D3612" t="str">
        <f>HYPERLINK("http://service.sap.com/sap/support/notes/1583783","1583783")</f>
        <v>1583783</v>
      </c>
      <c r="E3612">
        <v>1</v>
      </c>
      <c r="F3612" t="s">
        <v>3716</v>
      </c>
    </row>
    <row r="3613" spans="1:6" x14ac:dyDescent="0.25">
      <c r="A3613" t="s">
        <v>4034</v>
      </c>
      <c r="B3613" t="s">
        <v>284</v>
      </c>
      <c r="C3613" t="s">
        <v>1044</v>
      </c>
      <c r="D3613" t="str">
        <f>HYPERLINK("http://service.sap.com/sap/support/notes/1583995","1583995")</f>
        <v>1583995</v>
      </c>
      <c r="E3613">
        <v>1</v>
      </c>
      <c r="F3613" t="s">
        <v>3717</v>
      </c>
    </row>
    <row r="3614" spans="1:6" x14ac:dyDescent="0.25">
      <c r="A3614" t="s">
        <v>4034</v>
      </c>
      <c r="B3614" t="s">
        <v>284</v>
      </c>
      <c r="C3614" t="s">
        <v>1044</v>
      </c>
      <c r="D3614" t="str">
        <f>HYPERLINK("http://service.sap.com/sap/support/notes/1584631","1584631")</f>
        <v>1584631</v>
      </c>
      <c r="E3614">
        <v>1</v>
      </c>
      <c r="F3614" t="s">
        <v>3718</v>
      </c>
    </row>
    <row r="3615" spans="1:6" x14ac:dyDescent="0.25">
      <c r="A3615" t="s">
        <v>4034</v>
      </c>
      <c r="B3615" t="s">
        <v>284</v>
      </c>
      <c r="C3615" t="s">
        <v>1044</v>
      </c>
      <c r="D3615" t="str">
        <f>HYPERLINK("http://service.sap.com/sap/support/notes/1586363","1586363")</f>
        <v>1586363</v>
      </c>
      <c r="E3615">
        <v>1</v>
      </c>
      <c r="F3615" t="s">
        <v>3719</v>
      </c>
    </row>
    <row r="3616" spans="1:6" x14ac:dyDescent="0.25">
      <c r="A3616" t="s">
        <v>4034</v>
      </c>
      <c r="B3616" t="s">
        <v>284</v>
      </c>
      <c r="C3616" t="s">
        <v>1044</v>
      </c>
      <c r="D3616" t="str">
        <f>HYPERLINK("http://service.sap.com/sap/support/notes/1587641","1587641")</f>
        <v>1587641</v>
      </c>
      <c r="E3616">
        <v>2</v>
      </c>
      <c r="F3616" t="s">
        <v>3720</v>
      </c>
    </row>
    <row r="3617" spans="1:6" x14ac:dyDescent="0.25">
      <c r="A3617" t="s">
        <v>4034</v>
      </c>
      <c r="B3617" t="s">
        <v>284</v>
      </c>
      <c r="C3617" t="s">
        <v>1044</v>
      </c>
      <c r="D3617" t="str">
        <f>HYPERLINK("http://service.sap.com/sap/support/notes/1590135","1590135")</f>
        <v>1590135</v>
      </c>
      <c r="E3617">
        <v>1</v>
      </c>
      <c r="F3617" t="s">
        <v>3721</v>
      </c>
    </row>
    <row r="3618" spans="1:6" x14ac:dyDescent="0.25">
      <c r="A3618" t="s">
        <v>4034</v>
      </c>
      <c r="B3618" t="s">
        <v>284</v>
      </c>
      <c r="C3618" t="s">
        <v>1044</v>
      </c>
      <c r="D3618" t="str">
        <f>HYPERLINK("http://service.sap.com/sap/support/notes/1591187","1591187")</f>
        <v>1591187</v>
      </c>
      <c r="E3618">
        <v>1</v>
      </c>
      <c r="F3618" t="s">
        <v>3722</v>
      </c>
    </row>
    <row r="3619" spans="1:6" x14ac:dyDescent="0.25">
      <c r="A3619" t="s">
        <v>4034</v>
      </c>
      <c r="B3619" t="s">
        <v>304</v>
      </c>
      <c r="C3619" t="s">
        <v>305</v>
      </c>
      <c r="D3619" t="str">
        <f>HYPERLINK("http://service.sap.com/sap/support/notes/1412127","1412127")</f>
        <v>1412127</v>
      </c>
      <c r="E3619">
        <v>2</v>
      </c>
      <c r="F3619" t="s">
        <v>3723</v>
      </c>
    </row>
    <row r="3620" spans="1:6" x14ac:dyDescent="0.25">
      <c r="A3620" t="s">
        <v>4034</v>
      </c>
      <c r="B3620" t="s">
        <v>304</v>
      </c>
      <c r="C3620" t="s">
        <v>305</v>
      </c>
      <c r="D3620" t="str">
        <f>HYPERLINK("http://service.sap.com/sap/support/notes/1452137","1452137")</f>
        <v>1452137</v>
      </c>
      <c r="E3620">
        <v>4</v>
      </c>
      <c r="F3620" t="s">
        <v>3724</v>
      </c>
    </row>
    <row r="3621" spans="1:6" x14ac:dyDescent="0.25">
      <c r="A3621" t="s">
        <v>4034</v>
      </c>
      <c r="B3621" t="s">
        <v>304</v>
      </c>
      <c r="C3621" t="s">
        <v>305</v>
      </c>
      <c r="D3621" t="str">
        <f>HYPERLINK("http://service.sap.com/sap/support/notes/1547472","1547472")</f>
        <v>1547472</v>
      </c>
      <c r="E3621">
        <v>5</v>
      </c>
      <c r="F3621" t="s">
        <v>3725</v>
      </c>
    </row>
    <row r="3622" spans="1:6" x14ac:dyDescent="0.25">
      <c r="A3622" t="s">
        <v>4034</v>
      </c>
      <c r="B3622" t="s">
        <v>304</v>
      </c>
      <c r="C3622" t="s">
        <v>305</v>
      </c>
      <c r="D3622" t="str">
        <f>HYPERLINK("http://service.sap.com/sap/support/notes/1548939","1548939")</f>
        <v>1548939</v>
      </c>
      <c r="E3622">
        <v>7</v>
      </c>
      <c r="F3622" t="s">
        <v>3726</v>
      </c>
    </row>
    <row r="3623" spans="1:6" x14ac:dyDescent="0.25">
      <c r="A3623" t="s">
        <v>4034</v>
      </c>
      <c r="B3623" t="s">
        <v>304</v>
      </c>
      <c r="C3623" t="s">
        <v>305</v>
      </c>
      <c r="D3623" t="str">
        <f>HYPERLINK("http://service.sap.com/sap/support/notes/1557027","1557027")</f>
        <v>1557027</v>
      </c>
      <c r="E3623">
        <v>6</v>
      </c>
      <c r="F3623" t="s">
        <v>3727</v>
      </c>
    </row>
    <row r="3624" spans="1:6" x14ac:dyDescent="0.25">
      <c r="A3624" t="s">
        <v>4034</v>
      </c>
      <c r="B3624" t="s">
        <v>304</v>
      </c>
      <c r="C3624" t="s">
        <v>305</v>
      </c>
      <c r="D3624" t="str">
        <f>HYPERLINK("http://service.sap.com/sap/support/notes/1560177","1560177")</f>
        <v>1560177</v>
      </c>
      <c r="E3624">
        <v>4</v>
      </c>
      <c r="F3624" t="s">
        <v>3728</v>
      </c>
    </row>
    <row r="3625" spans="1:6" x14ac:dyDescent="0.25">
      <c r="A3625" t="s">
        <v>4034</v>
      </c>
      <c r="B3625" t="s">
        <v>304</v>
      </c>
      <c r="C3625" t="s">
        <v>305</v>
      </c>
      <c r="D3625" t="str">
        <f>HYPERLINK("http://service.sap.com/sap/support/notes/1569457","1569457")</f>
        <v>1569457</v>
      </c>
      <c r="E3625">
        <v>3</v>
      </c>
      <c r="F3625" t="s">
        <v>3729</v>
      </c>
    </row>
    <row r="3626" spans="1:6" x14ac:dyDescent="0.25">
      <c r="A3626" t="s">
        <v>4034</v>
      </c>
      <c r="B3626" t="s">
        <v>304</v>
      </c>
      <c r="C3626" t="s">
        <v>305</v>
      </c>
      <c r="D3626" t="str">
        <f>HYPERLINK("http://service.sap.com/sap/support/notes/1570278","1570278")</f>
        <v>1570278</v>
      </c>
      <c r="E3626">
        <v>2</v>
      </c>
      <c r="F3626" t="s">
        <v>3730</v>
      </c>
    </row>
    <row r="3627" spans="1:6" x14ac:dyDescent="0.25">
      <c r="A3627" t="s">
        <v>4034</v>
      </c>
      <c r="B3627" t="s">
        <v>304</v>
      </c>
      <c r="C3627" t="s">
        <v>305</v>
      </c>
      <c r="D3627" t="str">
        <f>HYPERLINK("http://service.sap.com/sap/support/notes/1571515","1571515")</f>
        <v>1571515</v>
      </c>
      <c r="E3627">
        <v>3</v>
      </c>
      <c r="F3627" t="s">
        <v>3731</v>
      </c>
    </row>
    <row r="3628" spans="1:6" x14ac:dyDescent="0.25">
      <c r="A3628" t="s">
        <v>4034</v>
      </c>
      <c r="B3628" t="s">
        <v>304</v>
      </c>
      <c r="C3628" t="s">
        <v>305</v>
      </c>
      <c r="D3628" t="str">
        <f>HYPERLINK("http://service.sap.com/sap/support/notes/1572977","1572977")</f>
        <v>1572977</v>
      </c>
      <c r="E3628">
        <v>4</v>
      </c>
      <c r="F3628" t="s">
        <v>3732</v>
      </c>
    </row>
    <row r="3629" spans="1:6" x14ac:dyDescent="0.25">
      <c r="A3629" t="s">
        <v>4034</v>
      </c>
      <c r="B3629" t="s">
        <v>304</v>
      </c>
      <c r="C3629" t="s">
        <v>305</v>
      </c>
      <c r="D3629" t="str">
        <f>HYPERLINK("http://service.sap.com/sap/support/notes/1572981","1572981")</f>
        <v>1572981</v>
      </c>
      <c r="E3629">
        <v>6</v>
      </c>
      <c r="F3629" t="s">
        <v>3733</v>
      </c>
    </row>
    <row r="3630" spans="1:6" x14ac:dyDescent="0.25">
      <c r="A3630" t="s">
        <v>4034</v>
      </c>
      <c r="B3630" t="s">
        <v>304</v>
      </c>
      <c r="C3630" t="s">
        <v>305</v>
      </c>
      <c r="D3630" t="str">
        <f>HYPERLINK("http://service.sap.com/sap/support/notes/1574020","1574020")</f>
        <v>1574020</v>
      </c>
      <c r="E3630">
        <v>3</v>
      </c>
      <c r="F3630" t="s">
        <v>3734</v>
      </c>
    </row>
    <row r="3631" spans="1:6" x14ac:dyDescent="0.25">
      <c r="A3631" t="s">
        <v>4034</v>
      </c>
      <c r="B3631" t="s">
        <v>304</v>
      </c>
      <c r="C3631" t="s">
        <v>305</v>
      </c>
      <c r="D3631" t="str">
        <f>HYPERLINK("http://service.sap.com/sap/support/notes/1575819","1575819")</f>
        <v>1575819</v>
      </c>
      <c r="E3631">
        <v>4</v>
      </c>
      <c r="F3631" t="s">
        <v>3735</v>
      </c>
    </row>
    <row r="3632" spans="1:6" x14ac:dyDescent="0.25">
      <c r="A3632" t="s">
        <v>4034</v>
      </c>
      <c r="B3632" t="s">
        <v>304</v>
      </c>
      <c r="C3632" t="s">
        <v>305</v>
      </c>
      <c r="D3632" t="str">
        <f>HYPERLINK("http://service.sap.com/sap/support/notes/1576225","1576225")</f>
        <v>1576225</v>
      </c>
      <c r="E3632">
        <v>6</v>
      </c>
      <c r="F3632" t="s">
        <v>3736</v>
      </c>
    </row>
    <row r="3633" spans="1:6" x14ac:dyDescent="0.25">
      <c r="A3633" t="s">
        <v>4034</v>
      </c>
      <c r="B3633" t="s">
        <v>304</v>
      </c>
      <c r="C3633" t="s">
        <v>305</v>
      </c>
      <c r="D3633" t="str">
        <f>HYPERLINK("http://service.sap.com/sap/support/notes/1576350","1576350")</f>
        <v>1576350</v>
      </c>
      <c r="E3633">
        <v>6</v>
      </c>
      <c r="F3633" t="s">
        <v>3737</v>
      </c>
    </row>
    <row r="3634" spans="1:6" x14ac:dyDescent="0.25">
      <c r="A3634" t="s">
        <v>4034</v>
      </c>
      <c r="B3634" t="s">
        <v>304</v>
      </c>
      <c r="C3634" t="s">
        <v>305</v>
      </c>
      <c r="D3634" t="str">
        <f>HYPERLINK("http://service.sap.com/sap/support/notes/1576828","1576828")</f>
        <v>1576828</v>
      </c>
      <c r="E3634">
        <v>3</v>
      </c>
      <c r="F3634" t="s">
        <v>3738</v>
      </c>
    </row>
    <row r="3635" spans="1:6" x14ac:dyDescent="0.25">
      <c r="A3635" t="s">
        <v>4034</v>
      </c>
      <c r="B3635" t="s">
        <v>304</v>
      </c>
      <c r="C3635" t="s">
        <v>305</v>
      </c>
      <c r="D3635" t="str">
        <f>HYPERLINK("http://service.sap.com/sap/support/notes/1576881","1576881")</f>
        <v>1576881</v>
      </c>
      <c r="E3635">
        <v>6</v>
      </c>
      <c r="F3635" t="s">
        <v>3739</v>
      </c>
    </row>
    <row r="3636" spans="1:6" x14ac:dyDescent="0.25">
      <c r="A3636" t="s">
        <v>4034</v>
      </c>
      <c r="B3636" t="s">
        <v>304</v>
      </c>
      <c r="C3636" t="s">
        <v>305</v>
      </c>
      <c r="D3636" t="str">
        <f>HYPERLINK("http://service.sap.com/sap/support/notes/1577711","1577711")</f>
        <v>1577711</v>
      </c>
      <c r="E3636">
        <v>1</v>
      </c>
      <c r="F3636" t="s">
        <v>3740</v>
      </c>
    </row>
    <row r="3637" spans="1:6" x14ac:dyDescent="0.25">
      <c r="A3637" t="s">
        <v>4034</v>
      </c>
      <c r="B3637" t="s">
        <v>304</v>
      </c>
      <c r="C3637" t="s">
        <v>305</v>
      </c>
      <c r="D3637" t="str">
        <f>HYPERLINK("http://service.sap.com/sap/support/notes/1578789","1578789")</f>
        <v>1578789</v>
      </c>
      <c r="E3637">
        <v>2</v>
      </c>
      <c r="F3637" t="s">
        <v>3741</v>
      </c>
    </row>
    <row r="3638" spans="1:6" x14ac:dyDescent="0.25">
      <c r="A3638" t="s">
        <v>4034</v>
      </c>
      <c r="B3638" t="s">
        <v>304</v>
      </c>
      <c r="C3638" t="s">
        <v>305</v>
      </c>
      <c r="D3638" t="str">
        <f>HYPERLINK("http://service.sap.com/sap/support/notes/1579262","1579262")</f>
        <v>1579262</v>
      </c>
      <c r="E3638">
        <v>3</v>
      </c>
      <c r="F3638" t="s">
        <v>3742</v>
      </c>
    </row>
    <row r="3639" spans="1:6" x14ac:dyDescent="0.25">
      <c r="A3639" t="s">
        <v>4034</v>
      </c>
      <c r="B3639" t="s">
        <v>304</v>
      </c>
      <c r="C3639" t="s">
        <v>305</v>
      </c>
      <c r="D3639" t="str">
        <f>HYPERLINK("http://service.sap.com/sap/support/notes/1580357","1580357")</f>
        <v>1580357</v>
      </c>
      <c r="E3639">
        <v>2</v>
      </c>
      <c r="F3639" t="s">
        <v>3743</v>
      </c>
    </row>
    <row r="3640" spans="1:6" x14ac:dyDescent="0.25">
      <c r="A3640" t="s">
        <v>4034</v>
      </c>
      <c r="B3640" t="s">
        <v>304</v>
      </c>
      <c r="C3640" t="s">
        <v>305</v>
      </c>
      <c r="D3640" t="str">
        <f>HYPERLINK("http://service.sap.com/sap/support/notes/1580732","1580732")</f>
        <v>1580732</v>
      </c>
      <c r="E3640">
        <v>3</v>
      </c>
      <c r="F3640" t="s">
        <v>3744</v>
      </c>
    </row>
    <row r="3641" spans="1:6" x14ac:dyDescent="0.25">
      <c r="A3641" t="s">
        <v>4034</v>
      </c>
      <c r="B3641" t="s">
        <v>304</v>
      </c>
      <c r="C3641" t="s">
        <v>305</v>
      </c>
      <c r="D3641" t="str">
        <f>HYPERLINK("http://service.sap.com/sap/support/notes/1581267","1581267")</f>
        <v>1581267</v>
      </c>
      <c r="E3641">
        <v>2</v>
      </c>
      <c r="F3641" t="s">
        <v>3745</v>
      </c>
    </row>
    <row r="3642" spans="1:6" x14ac:dyDescent="0.25">
      <c r="A3642" t="s">
        <v>4034</v>
      </c>
      <c r="B3642" t="s">
        <v>304</v>
      </c>
      <c r="C3642" t="s">
        <v>305</v>
      </c>
      <c r="D3642" t="str">
        <f>HYPERLINK("http://service.sap.com/sap/support/notes/1581372","1581372")</f>
        <v>1581372</v>
      </c>
      <c r="E3642">
        <v>1</v>
      </c>
      <c r="F3642" t="s">
        <v>3746</v>
      </c>
    </row>
    <row r="3643" spans="1:6" x14ac:dyDescent="0.25">
      <c r="A3643" t="s">
        <v>4034</v>
      </c>
      <c r="B3643" t="s">
        <v>304</v>
      </c>
      <c r="C3643" t="s">
        <v>305</v>
      </c>
      <c r="D3643" t="str">
        <f>HYPERLINK("http://service.sap.com/sap/support/notes/1581893","1581893")</f>
        <v>1581893</v>
      </c>
      <c r="E3643">
        <v>1</v>
      </c>
      <c r="F3643" t="s">
        <v>3747</v>
      </c>
    </row>
    <row r="3644" spans="1:6" x14ac:dyDescent="0.25">
      <c r="A3644" t="s">
        <v>4034</v>
      </c>
      <c r="B3644" t="s">
        <v>304</v>
      </c>
      <c r="C3644" t="s">
        <v>305</v>
      </c>
      <c r="D3644" t="str">
        <f>HYPERLINK("http://service.sap.com/sap/support/notes/1582669","1582669")</f>
        <v>1582669</v>
      </c>
      <c r="E3644">
        <v>2</v>
      </c>
      <c r="F3644" t="s">
        <v>3748</v>
      </c>
    </row>
    <row r="3645" spans="1:6" x14ac:dyDescent="0.25">
      <c r="A3645" t="s">
        <v>4034</v>
      </c>
      <c r="B3645" t="s">
        <v>304</v>
      </c>
      <c r="C3645" t="s">
        <v>305</v>
      </c>
      <c r="D3645" t="str">
        <f>HYPERLINK("http://service.sap.com/sap/support/notes/1583008","1583008")</f>
        <v>1583008</v>
      </c>
      <c r="E3645">
        <v>4</v>
      </c>
      <c r="F3645" t="s">
        <v>3749</v>
      </c>
    </row>
    <row r="3646" spans="1:6" x14ac:dyDescent="0.25">
      <c r="A3646" t="s">
        <v>4034</v>
      </c>
      <c r="B3646" t="s">
        <v>304</v>
      </c>
      <c r="C3646" t="s">
        <v>305</v>
      </c>
      <c r="D3646" t="str">
        <f>HYPERLINK("http://service.sap.com/sap/support/notes/1583054","1583054")</f>
        <v>1583054</v>
      </c>
      <c r="E3646">
        <v>1</v>
      </c>
      <c r="F3646" t="s">
        <v>3750</v>
      </c>
    </row>
    <row r="3647" spans="1:6" x14ac:dyDescent="0.25">
      <c r="A3647" t="s">
        <v>4034</v>
      </c>
      <c r="B3647" t="s">
        <v>304</v>
      </c>
      <c r="C3647" t="s">
        <v>305</v>
      </c>
      <c r="D3647" t="str">
        <f>HYPERLINK("http://service.sap.com/sap/support/notes/1583605","1583605")</f>
        <v>1583605</v>
      </c>
      <c r="E3647">
        <v>4</v>
      </c>
      <c r="F3647" t="s">
        <v>3751</v>
      </c>
    </row>
    <row r="3648" spans="1:6" x14ac:dyDescent="0.25">
      <c r="A3648" t="s">
        <v>4034</v>
      </c>
      <c r="B3648" t="s">
        <v>304</v>
      </c>
      <c r="C3648" t="s">
        <v>305</v>
      </c>
      <c r="D3648" t="str">
        <f>HYPERLINK("http://service.sap.com/sap/support/notes/1585576","1585576")</f>
        <v>1585576</v>
      </c>
      <c r="E3648">
        <v>3</v>
      </c>
      <c r="F3648" t="s">
        <v>3752</v>
      </c>
    </row>
    <row r="3649" spans="1:6" x14ac:dyDescent="0.25">
      <c r="A3649" t="s">
        <v>4034</v>
      </c>
      <c r="B3649" t="s">
        <v>304</v>
      </c>
      <c r="C3649" t="s">
        <v>305</v>
      </c>
      <c r="D3649" t="str">
        <f>HYPERLINK("http://service.sap.com/sap/support/notes/1587468","1587468")</f>
        <v>1587468</v>
      </c>
      <c r="E3649">
        <v>1</v>
      </c>
      <c r="F3649" t="s">
        <v>3753</v>
      </c>
    </row>
    <row r="3650" spans="1:6" x14ac:dyDescent="0.25">
      <c r="A3650" t="s">
        <v>4034</v>
      </c>
      <c r="B3650" t="s">
        <v>304</v>
      </c>
      <c r="C3650" t="s">
        <v>305</v>
      </c>
      <c r="D3650" t="str">
        <f>HYPERLINK("http://service.sap.com/sap/support/notes/1590065","1590065")</f>
        <v>1590065</v>
      </c>
      <c r="E3650">
        <v>1</v>
      </c>
      <c r="F3650" t="s">
        <v>3754</v>
      </c>
    </row>
    <row r="3651" spans="1:6" x14ac:dyDescent="0.25">
      <c r="A3651" t="s">
        <v>4034</v>
      </c>
      <c r="B3651" t="s">
        <v>324</v>
      </c>
      <c r="C3651" t="s">
        <v>55</v>
      </c>
      <c r="D3651" t="str">
        <f>HYPERLINK("http://service.sap.com/sap/support/notes/1348712","1348712")</f>
        <v>1348712</v>
      </c>
      <c r="E3651">
        <v>1</v>
      </c>
      <c r="F3651" t="s">
        <v>3755</v>
      </c>
    </row>
    <row r="3652" spans="1:6" x14ac:dyDescent="0.25">
      <c r="A3652" t="s">
        <v>4034</v>
      </c>
      <c r="B3652" t="s">
        <v>324</v>
      </c>
      <c r="C3652" t="s">
        <v>55</v>
      </c>
      <c r="D3652" t="str">
        <f>HYPERLINK("http://service.sap.com/sap/support/notes/1563472","1563472")</f>
        <v>1563472</v>
      </c>
      <c r="E3652">
        <v>2</v>
      </c>
      <c r="F3652" t="s">
        <v>3756</v>
      </c>
    </row>
    <row r="3653" spans="1:6" x14ac:dyDescent="0.25">
      <c r="A3653" t="s">
        <v>4034</v>
      </c>
      <c r="B3653" t="s">
        <v>324</v>
      </c>
      <c r="C3653" t="s">
        <v>55</v>
      </c>
      <c r="D3653" t="str">
        <f>HYPERLINK("http://service.sap.com/sap/support/notes/1585771","1585771")</f>
        <v>1585771</v>
      </c>
      <c r="E3653">
        <v>1</v>
      </c>
      <c r="F3653" t="s">
        <v>3757</v>
      </c>
    </row>
    <row r="3654" spans="1:6" x14ac:dyDescent="0.25">
      <c r="A3654" t="s">
        <v>4034</v>
      </c>
      <c r="B3654" t="s">
        <v>324</v>
      </c>
      <c r="C3654" t="s">
        <v>55</v>
      </c>
      <c r="D3654" t="str">
        <f>HYPERLINK("http://service.sap.com/sap/support/notes/1586636","1586636")</f>
        <v>1586636</v>
      </c>
      <c r="E3654">
        <v>1</v>
      </c>
      <c r="F3654" t="s">
        <v>3758</v>
      </c>
    </row>
    <row r="3655" spans="1:6" x14ac:dyDescent="0.25">
      <c r="A3655" t="s">
        <v>4034</v>
      </c>
      <c r="B3655" t="s">
        <v>328</v>
      </c>
      <c r="C3655" t="s">
        <v>58</v>
      </c>
      <c r="D3655" t="str">
        <f>HYPERLINK("http://service.sap.com/sap/support/notes/1531644","1531644")</f>
        <v>1531644</v>
      </c>
      <c r="E3655">
        <v>1</v>
      </c>
      <c r="F3655" t="s">
        <v>1114</v>
      </c>
    </row>
    <row r="3656" spans="1:6" x14ac:dyDescent="0.25">
      <c r="A3656" t="s">
        <v>4034</v>
      </c>
      <c r="B3656" t="s">
        <v>328</v>
      </c>
      <c r="C3656" t="s">
        <v>58</v>
      </c>
      <c r="D3656" t="str">
        <f>HYPERLINK("http://service.sap.com/sap/support/notes/1563154","1563154")</f>
        <v>1563154</v>
      </c>
      <c r="E3656">
        <v>4</v>
      </c>
      <c r="F3656" t="s">
        <v>3759</v>
      </c>
    </row>
    <row r="3657" spans="1:6" x14ac:dyDescent="0.25">
      <c r="A3657" t="s">
        <v>4034</v>
      </c>
      <c r="B3657" t="s">
        <v>328</v>
      </c>
      <c r="C3657" t="s">
        <v>58</v>
      </c>
      <c r="D3657" t="str">
        <f>HYPERLINK("http://service.sap.com/sap/support/notes/1568987","1568987")</f>
        <v>1568987</v>
      </c>
      <c r="E3657">
        <v>2</v>
      </c>
      <c r="F3657" t="s">
        <v>3760</v>
      </c>
    </row>
    <row r="3658" spans="1:6" x14ac:dyDescent="0.25">
      <c r="A3658" t="s">
        <v>4034</v>
      </c>
      <c r="B3658" t="s">
        <v>328</v>
      </c>
      <c r="C3658" t="s">
        <v>58</v>
      </c>
      <c r="D3658" t="str">
        <f>HYPERLINK("http://service.sap.com/sap/support/notes/1570483","1570483")</f>
        <v>1570483</v>
      </c>
      <c r="E3658">
        <v>2</v>
      </c>
      <c r="F3658" t="s">
        <v>3761</v>
      </c>
    </row>
    <row r="3659" spans="1:6" x14ac:dyDescent="0.25">
      <c r="A3659" t="s">
        <v>4034</v>
      </c>
      <c r="B3659" t="s">
        <v>328</v>
      </c>
      <c r="C3659" t="s">
        <v>58</v>
      </c>
      <c r="D3659" t="str">
        <f>HYPERLINK("http://service.sap.com/sap/support/notes/1570748","1570748")</f>
        <v>1570748</v>
      </c>
      <c r="E3659">
        <v>4</v>
      </c>
      <c r="F3659" t="s">
        <v>3762</v>
      </c>
    </row>
    <row r="3660" spans="1:6" x14ac:dyDescent="0.25">
      <c r="A3660" t="s">
        <v>4034</v>
      </c>
      <c r="B3660" t="s">
        <v>328</v>
      </c>
      <c r="C3660" t="s">
        <v>58</v>
      </c>
      <c r="D3660" t="str">
        <f>HYPERLINK("http://service.sap.com/sap/support/notes/1571936","1571936")</f>
        <v>1571936</v>
      </c>
      <c r="E3660">
        <v>3</v>
      </c>
      <c r="F3660" t="s">
        <v>3763</v>
      </c>
    </row>
    <row r="3661" spans="1:6" x14ac:dyDescent="0.25">
      <c r="A3661" t="s">
        <v>4034</v>
      </c>
      <c r="B3661" t="s">
        <v>328</v>
      </c>
      <c r="C3661" t="s">
        <v>58</v>
      </c>
      <c r="D3661" t="str">
        <f>HYPERLINK("http://service.sap.com/sap/support/notes/1573336","1573336")</f>
        <v>1573336</v>
      </c>
      <c r="E3661">
        <v>3</v>
      </c>
      <c r="F3661" t="s">
        <v>3764</v>
      </c>
    </row>
    <row r="3662" spans="1:6" x14ac:dyDescent="0.25">
      <c r="A3662" t="s">
        <v>4034</v>
      </c>
      <c r="B3662" t="s">
        <v>328</v>
      </c>
      <c r="C3662" t="s">
        <v>58</v>
      </c>
      <c r="D3662" t="str">
        <f>HYPERLINK("http://service.sap.com/sap/support/notes/1578165","1578165")</f>
        <v>1578165</v>
      </c>
      <c r="E3662">
        <v>6</v>
      </c>
      <c r="F3662" t="s">
        <v>3765</v>
      </c>
    </row>
    <row r="3663" spans="1:6" x14ac:dyDescent="0.25">
      <c r="A3663" t="s">
        <v>4034</v>
      </c>
      <c r="B3663" t="s">
        <v>328</v>
      </c>
      <c r="C3663" t="s">
        <v>58</v>
      </c>
      <c r="D3663" t="str">
        <f>HYPERLINK("http://service.sap.com/sap/support/notes/1581218","1581218")</f>
        <v>1581218</v>
      </c>
      <c r="E3663">
        <v>2</v>
      </c>
      <c r="F3663" t="s">
        <v>3766</v>
      </c>
    </row>
    <row r="3664" spans="1:6" x14ac:dyDescent="0.25">
      <c r="A3664" t="s">
        <v>4034</v>
      </c>
      <c r="B3664" t="s">
        <v>328</v>
      </c>
      <c r="C3664" t="s">
        <v>58</v>
      </c>
      <c r="D3664" t="str">
        <f>HYPERLINK("http://service.sap.com/sap/support/notes/1582414","1582414")</f>
        <v>1582414</v>
      </c>
      <c r="E3664">
        <v>2</v>
      </c>
      <c r="F3664" t="s">
        <v>3767</v>
      </c>
    </row>
    <row r="3665" spans="1:6" x14ac:dyDescent="0.25">
      <c r="A3665" t="s">
        <v>4034</v>
      </c>
      <c r="B3665" t="s">
        <v>328</v>
      </c>
      <c r="C3665" t="s">
        <v>58</v>
      </c>
      <c r="D3665" t="str">
        <f>HYPERLINK("http://service.sap.com/sap/support/notes/1585258","1585258")</f>
        <v>1585258</v>
      </c>
      <c r="E3665">
        <v>1</v>
      </c>
      <c r="F3665" t="s">
        <v>3768</v>
      </c>
    </row>
    <row r="3666" spans="1:6" x14ac:dyDescent="0.25">
      <c r="A3666" t="s">
        <v>4034</v>
      </c>
      <c r="B3666" t="s">
        <v>328</v>
      </c>
      <c r="C3666" t="s">
        <v>58</v>
      </c>
      <c r="D3666" t="str">
        <f>HYPERLINK("http://service.sap.com/sap/support/notes/1585909","1585909")</f>
        <v>1585909</v>
      </c>
      <c r="E3666">
        <v>1</v>
      </c>
      <c r="F3666" t="s">
        <v>3769</v>
      </c>
    </row>
    <row r="3667" spans="1:6" x14ac:dyDescent="0.25">
      <c r="A3667" t="s">
        <v>4034</v>
      </c>
      <c r="B3667" t="s">
        <v>328</v>
      </c>
      <c r="C3667" t="s">
        <v>58</v>
      </c>
      <c r="D3667" t="str">
        <f>HYPERLINK("http://service.sap.com/sap/support/notes/1586791","1586791")</f>
        <v>1586791</v>
      </c>
      <c r="E3667">
        <v>3</v>
      </c>
      <c r="F3667" t="s">
        <v>3770</v>
      </c>
    </row>
    <row r="3668" spans="1:6" x14ac:dyDescent="0.25">
      <c r="A3668" t="s">
        <v>4034</v>
      </c>
      <c r="B3668" t="s">
        <v>328</v>
      </c>
      <c r="C3668" t="s">
        <v>58</v>
      </c>
      <c r="D3668" t="str">
        <f>HYPERLINK("http://service.sap.com/sap/support/notes/1591303","1591303")</f>
        <v>1591303</v>
      </c>
      <c r="E3668">
        <v>2</v>
      </c>
      <c r="F3668" t="s">
        <v>3771</v>
      </c>
    </row>
    <row r="3669" spans="1:6" x14ac:dyDescent="0.25">
      <c r="A3669" t="s">
        <v>4034</v>
      </c>
      <c r="B3669" t="s">
        <v>343</v>
      </c>
      <c r="C3669" t="s">
        <v>344</v>
      </c>
      <c r="D3669" t="str">
        <f>HYPERLINK("http://service.sap.com/sap/support/notes/1129168","1129168")</f>
        <v>1129168</v>
      </c>
      <c r="E3669">
        <v>1</v>
      </c>
      <c r="F3669" t="s">
        <v>345</v>
      </c>
    </row>
    <row r="3670" spans="1:6" x14ac:dyDescent="0.25">
      <c r="A3670" t="s">
        <v>4034</v>
      </c>
      <c r="B3670" t="s">
        <v>343</v>
      </c>
      <c r="C3670" t="s">
        <v>344</v>
      </c>
      <c r="D3670" t="str">
        <f>HYPERLINK("http://service.sap.com/sap/support/notes/1485260","1485260")</f>
        <v>1485260</v>
      </c>
      <c r="E3670">
        <v>1</v>
      </c>
      <c r="F3670" t="s">
        <v>3772</v>
      </c>
    </row>
    <row r="3671" spans="1:6" x14ac:dyDescent="0.25">
      <c r="A3671" t="s">
        <v>4034</v>
      </c>
      <c r="B3671" t="s">
        <v>343</v>
      </c>
      <c r="C3671" t="s">
        <v>344</v>
      </c>
      <c r="D3671" t="str">
        <f>HYPERLINK("http://service.sap.com/sap/support/notes/1544492","1544492")</f>
        <v>1544492</v>
      </c>
      <c r="E3671">
        <v>3</v>
      </c>
      <c r="F3671" t="s">
        <v>3773</v>
      </c>
    </row>
    <row r="3672" spans="1:6" x14ac:dyDescent="0.25">
      <c r="A3672" t="s">
        <v>4034</v>
      </c>
      <c r="B3672" t="s">
        <v>343</v>
      </c>
      <c r="C3672" t="s">
        <v>344</v>
      </c>
      <c r="D3672" t="str">
        <f>HYPERLINK("http://service.sap.com/sap/support/notes/1563019","1563019")</f>
        <v>1563019</v>
      </c>
      <c r="E3672">
        <v>1</v>
      </c>
      <c r="F3672" t="s">
        <v>3774</v>
      </c>
    </row>
    <row r="3673" spans="1:6" x14ac:dyDescent="0.25">
      <c r="A3673" t="s">
        <v>4034</v>
      </c>
      <c r="B3673" t="s">
        <v>343</v>
      </c>
      <c r="C3673" t="s">
        <v>344</v>
      </c>
      <c r="D3673" t="str">
        <f>HYPERLINK("http://service.sap.com/sap/support/notes/1578510","1578510")</f>
        <v>1578510</v>
      </c>
      <c r="E3673">
        <v>3</v>
      </c>
      <c r="F3673" t="s">
        <v>3775</v>
      </c>
    </row>
    <row r="3674" spans="1:6" x14ac:dyDescent="0.25">
      <c r="A3674" t="s">
        <v>4034</v>
      </c>
      <c r="B3674" t="s">
        <v>343</v>
      </c>
      <c r="C3674" t="s">
        <v>344</v>
      </c>
      <c r="D3674" t="str">
        <f>HYPERLINK("http://service.sap.com/sap/support/notes/1584730","1584730")</f>
        <v>1584730</v>
      </c>
      <c r="E3674">
        <v>2</v>
      </c>
      <c r="F3674" t="s">
        <v>3776</v>
      </c>
    </row>
    <row r="3675" spans="1:6" x14ac:dyDescent="0.25">
      <c r="A3675" t="s">
        <v>4034</v>
      </c>
      <c r="B3675" t="s">
        <v>2021</v>
      </c>
    </row>
    <row r="3676" spans="1:6" x14ac:dyDescent="0.25">
      <c r="A3676" t="s">
        <v>4034</v>
      </c>
      <c r="B3676" t="s">
        <v>2022</v>
      </c>
      <c r="C3676" t="s">
        <v>3777</v>
      </c>
      <c r="D3676" t="str">
        <f>HYPERLINK("http://service.sap.com/sap/support/notes/1570731","1570731")</f>
        <v>1570731</v>
      </c>
      <c r="E3676">
        <v>1</v>
      </c>
      <c r="F3676" t="s">
        <v>3778</v>
      </c>
    </row>
    <row r="3677" spans="1:6" x14ac:dyDescent="0.25">
      <c r="A3677" t="s">
        <v>4034</v>
      </c>
      <c r="B3677" t="s">
        <v>2022</v>
      </c>
      <c r="C3677" t="s">
        <v>3777</v>
      </c>
      <c r="D3677" t="str">
        <f>HYPERLINK("http://service.sap.com/sap/support/notes/1585579","1585579")</f>
        <v>1585579</v>
      </c>
      <c r="E3677">
        <v>1</v>
      </c>
      <c r="F3677" t="s">
        <v>3779</v>
      </c>
    </row>
    <row r="3678" spans="1:6" x14ac:dyDescent="0.25">
      <c r="A3678" t="s">
        <v>4034</v>
      </c>
      <c r="B3678" t="s">
        <v>2022</v>
      </c>
      <c r="C3678" t="s">
        <v>3777</v>
      </c>
      <c r="D3678" t="str">
        <f>HYPERLINK("http://service.sap.com/sap/support/notes/1588133","1588133")</f>
        <v>1588133</v>
      </c>
      <c r="E3678">
        <v>1</v>
      </c>
      <c r="F3678" t="s">
        <v>3780</v>
      </c>
    </row>
    <row r="3679" spans="1:6" x14ac:dyDescent="0.25">
      <c r="A3679" t="s">
        <v>4034</v>
      </c>
      <c r="B3679" t="s">
        <v>1121</v>
      </c>
    </row>
    <row r="3680" spans="1:6" x14ac:dyDescent="0.25">
      <c r="A3680" t="s">
        <v>4034</v>
      </c>
      <c r="B3680" t="s">
        <v>3781</v>
      </c>
      <c r="C3680" t="s">
        <v>3782</v>
      </c>
      <c r="D3680" t="str">
        <f>HYPERLINK("http://service.sap.com/sap/support/notes/1553448","1553448")</f>
        <v>1553448</v>
      </c>
      <c r="E3680">
        <v>4</v>
      </c>
      <c r="F3680" t="s">
        <v>3783</v>
      </c>
    </row>
    <row r="3681" spans="1:6" x14ac:dyDescent="0.25">
      <c r="A3681" t="s">
        <v>4034</v>
      </c>
      <c r="B3681" t="s">
        <v>2793</v>
      </c>
      <c r="C3681" t="s">
        <v>265</v>
      </c>
      <c r="D3681" t="str">
        <f>HYPERLINK("http://service.sap.com/sap/support/notes/1579935","1579935")</f>
        <v>1579935</v>
      </c>
      <c r="E3681">
        <v>2</v>
      </c>
      <c r="F3681" t="s">
        <v>3784</v>
      </c>
    </row>
    <row r="3682" spans="1:6" x14ac:dyDescent="0.25">
      <c r="A3682" t="s">
        <v>4034</v>
      </c>
      <c r="B3682" t="s">
        <v>347</v>
      </c>
      <c r="C3682" t="s">
        <v>153</v>
      </c>
      <c r="D3682" t="str">
        <f>HYPERLINK("http://service.sap.com/sap/support/notes/1576592","1576592")</f>
        <v>1576592</v>
      </c>
      <c r="E3682">
        <v>1</v>
      </c>
      <c r="F3682" t="s">
        <v>3785</v>
      </c>
    </row>
    <row r="3683" spans="1:6" x14ac:dyDescent="0.25">
      <c r="A3683" t="s">
        <v>4034</v>
      </c>
      <c r="B3683" t="s">
        <v>349</v>
      </c>
    </row>
    <row r="3684" spans="1:6" x14ac:dyDescent="0.25">
      <c r="A3684" t="s">
        <v>4034</v>
      </c>
      <c r="B3684" t="s">
        <v>350</v>
      </c>
      <c r="C3684" t="s">
        <v>351</v>
      </c>
      <c r="D3684" t="str">
        <f>HYPERLINK("http://service.sap.com/sap/support/notes/1550374","1550374")</f>
        <v>1550374</v>
      </c>
      <c r="E3684">
        <v>1</v>
      </c>
      <c r="F3684" t="s">
        <v>3786</v>
      </c>
    </row>
    <row r="3685" spans="1:6" x14ac:dyDescent="0.25">
      <c r="A3685" t="s">
        <v>4034</v>
      </c>
      <c r="B3685" t="s">
        <v>350</v>
      </c>
      <c r="C3685" t="s">
        <v>351</v>
      </c>
      <c r="D3685" t="str">
        <f>HYPERLINK("http://service.sap.com/sap/support/notes/1572916","1572916")</f>
        <v>1572916</v>
      </c>
      <c r="E3685">
        <v>4</v>
      </c>
      <c r="F3685" t="s">
        <v>3787</v>
      </c>
    </row>
    <row r="3686" spans="1:6" x14ac:dyDescent="0.25">
      <c r="A3686" t="s">
        <v>4034</v>
      </c>
      <c r="B3686" t="s">
        <v>350</v>
      </c>
      <c r="C3686" t="s">
        <v>351</v>
      </c>
      <c r="D3686" t="str">
        <f>HYPERLINK("http://service.sap.com/sap/support/notes/1573339","1573339")</f>
        <v>1573339</v>
      </c>
      <c r="E3686">
        <v>2</v>
      </c>
      <c r="F3686" t="s">
        <v>3788</v>
      </c>
    </row>
    <row r="3687" spans="1:6" x14ac:dyDescent="0.25">
      <c r="A3687" t="s">
        <v>4034</v>
      </c>
      <c r="B3687" t="s">
        <v>353</v>
      </c>
      <c r="C3687" t="s">
        <v>354</v>
      </c>
      <c r="D3687" t="str">
        <f>HYPERLINK("http://service.sap.com/sap/support/notes/1548103","1548103")</f>
        <v>1548103</v>
      </c>
      <c r="E3687">
        <v>2</v>
      </c>
      <c r="F3687" t="s">
        <v>3789</v>
      </c>
    </row>
    <row r="3688" spans="1:6" x14ac:dyDescent="0.25">
      <c r="A3688" t="s">
        <v>4034</v>
      </c>
      <c r="B3688" t="s">
        <v>353</v>
      </c>
      <c r="C3688" t="s">
        <v>354</v>
      </c>
      <c r="D3688" t="str">
        <f>HYPERLINK("http://service.sap.com/sap/support/notes/1582362","1582362")</f>
        <v>1582362</v>
      </c>
      <c r="E3688">
        <v>1</v>
      </c>
      <c r="F3688" t="s">
        <v>3790</v>
      </c>
    </row>
    <row r="3689" spans="1:6" x14ac:dyDescent="0.25">
      <c r="A3689" t="s">
        <v>4034</v>
      </c>
      <c r="B3689" t="s">
        <v>353</v>
      </c>
      <c r="C3689" t="s">
        <v>354</v>
      </c>
      <c r="D3689" t="str">
        <f>HYPERLINK("http://service.sap.com/sap/support/notes/1583189","1583189")</f>
        <v>1583189</v>
      </c>
      <c r="E3689">
        <v>1</v>
      </c>
      <c r="F3689" t="s">
        <v>3791</v>
      </c>
    </row>
    <row r="3690" spans="1:6" x14ac:dyDescent="0.25">
      <c r="A3690" t="s">
        <v>4034</v>
      </c>
      <c r="B3690" t="s">
        <v>353</v>
      </c>
      <c r="C3690" t="s">
        <v>354</v>
      </c>
      <c r="D3690" t="str">
        <f>HYPERLINK("http://service.sap.com/sap/support/notes/1585595","1585595")</f>
        <v>1585595</v>
      </c>
      <c r="E3690">
        <v>2</v>
      </c>
      <c r="F3690" t="s">
        <v>3792</v>
      </c>
    </row>
    <row r="3691" spans="1:6" x14ac:dyDescent="0.25">
      <c r="A3691" t="s">
        <v>4034</v>
      </c>
      <c r="B3691" t="s">
        <v>356</v>
      </c>
      <c r="C3691" t="s">
        <v>71</v>
      </c>
      <c r="D3691" t="str">
        <f>HYPERLINK("http://service.sap.com/sap/support/notes/1567788","1567788")</f>
        <v>1567788</v>
      </c>
      <c r="E3691">
        <v>1</v>
      </c>
      <c r="F3691" t="s">
        <v>3793</v>
      </c>
    </row>
    <row r="3692" spans="1:6" x14ac:dyDescent="0.25">
      <c r="A3692" t="s">
        <v>4034</v>
      </c>
      <c r="B3692" t="s">
        <v>358</v>
      </c>
      <c r="C3692" t="s">
        <v>359</v>
      </c>
      <c r="D3692" t="str">
        <f>HYPERLINK("http://service.sap.com/sap/support/notes/1147798","1147798")</f>
        <v>1147798</v>
      </c>
      <c r="E3692">
        <v>1</v>
      </c>
      <c r="F3692" t="s">
        <v>360</v>
      </c>
    </row>
    <row r="3693" spans="1:6" x14ac:dyDescent="0.25">
      <c r="A3693" t="s">
        <v>4034</v>
      </c>
      <c r="B3693" t="s">
        <v>358</v>
      </c>
      <c r="C3693" t="s">
        <v>359</v>
      </c>
      <c r="D3693" t="str">
        <f>HYPERLINK("http://service.sap.com/sap/support/notes/1556625","1556625")</f>
        <v>1556625</v>
      </c>
      <c r="E3693">
        <v>1</v>
      </c>
      <c r="F3693" t="s">
        <v>2807</v>
      </c>
    </row>
    <row r="3694" spans="1:6" x14ac:dyDescent="0.25">
      <c r="A3694" t="s">
        <v>4034</v>
      </c>
      <c r="B3694" t="s">
        <v>358</v>
      </c>
      <c r="C3694" t="s">
        <v>359</v>
      </c>
      <c r="D3694" t="str">
        <f>HYPERLINK("http://service.sap.com/sap/support/notes/1575932","1575932")</f>
        <v>1575932</v>
      </c>
      <c r="E3694">
        <v>1</v>
      </c>
      <c r="F3694" t="s">
        <v>3794</v>
      </c>
    </row>
    <row r="3695" spans="1:6" x14ac:dyDescent="0.25">
      <c r="A3695" t="s">
        <v>4034</v>
      </c>
      <c r="B3695" t="s">
        <v>358</v>
      </c>
      <c r="C3695" t="s">
        <v>359</v>
      </c>
      <c r="D3695" t="str">
        <f>HYPERLINK("http://service.sap.com/sap/support/notes/1579424","1579424")</f>
        <v>1579424</v>
      </c>
      <c r="E3695">
        <v>5</v>
      </c>
      <c r="F3695" t="s">
        <v>3795</v>
      </c>
    </row>
    <row r="3696" spans="1:6" x14ac:dyDescent="0.25">
      <c r="A3696" t="s">
        <v>4034</v>
      </c>
      <c r="B3696" t="s">
        <v>358</v>
      </c>
      <c r="C3696" t="s">
        <v>359</v>
      </c>
      <c r="D3696" t="str">
        <f>HYPERLINK("http://service.sap.com/sap/support/notes/1580987","1580987")</f>
        <v>1580987</v>
      </c>
      <c r="E3696">
        <v>1</v>
      </c>
      <c r="F3696" t="s">
        <v>3796</v>
      </c>
    </row>
    <row r="3697" spans="1:6" x14ac:dyDescent="0.25">
      <c r="A3697" t="s">
        <v>4034</v>
      </c>
      <c r="B3697" t="s">
        <v>358</v>
      </c>
      <c r="C3697" t="s">
        <v>359</v>
      </c>
      <c r="D3697" t="str">
        <f>HYPERLINK("http://service.sap.com/sap/support/notes/1585110","1585110")</f>
        <v>1585110</v>
      </c>
      <c r="E3697">
        <v>1</v>
      </c>
      <c r="F3697" t="s">
        <v>3797</v>
      </c>
    </row>
    <row r="3698" spans="1:6" x14ac:dyDescent="0.25">
      <c r="A3698" t="s">
        <v>4034</v>
      </c>
      <c r="B3698" t="s">
        <v>358</v>
      </c>
      <c r="C3698" t="s">
        <v>359</v>
      </c>
      <c r="D3698" t="str">
        <f>HYPERLINK("http://service.sap.com/sap/support/notes/1586428","1586428")</f>
        <v>1586428</v>
      </c>
      <c r="E3698">
        <v>1</v>
      </c>
      <c r="F3698" t="s">
        <v>3798</v>
      </c>
    </row>
    <row r="3699" spans="1:6" x14ac:dyDescent="0.25">
      <c r="A3699" t="s">
        <v>4034</v>
      </c>
      <c r="B3699" t="s">
        <v>363</v>
      </c>
      <c r="C3699" t="s">
        <v>74</v>
      </c>
      <c r="D3699" t="str">
        <f>HYPERLINK("http://service.sap.com/sap/support/notes/1533382","1533382")</f>
        <v>1533382</v>
      </c>
      <c r="E3699">
        <v>2</v>
      </c>
      <c r="F3699" t="s">
        <v>3799</v>
      </c>
    </row>
    <row r="3700" spans="1:6" x14ac:dyDescent="0.25">
      <c r="A3700" t="s">
        <v>4034</v>
      </c>
      <c r="B3700" t="s">
        <v>363</v>
      </c>
      <c r="C3700" t="s">
        <v>74</v>
      </c>
      <c r="D3700" t="str">
        <f>HYPERLINK("http://service.sap.com/sap/support/notes/1541347","1541347")</f>
        <v>1541347</v>
      </c>
      <c r="E3700">
        <v>2</v>
      </c>
      <c r="F3700" t="s">
        <v>3800</v>
      </c>
    </row>
    <row r="3701" spans="1:6" x14ac:dyDescent="0.25">
      <c r="A3701" t="s">
        <v>4034</v>
      </c>
      <c r="B3701" t="s">
        <v>363</v>
      </c>
      <c r="C3701" t="s">
        <v>74</v>
      </c>
      <c r="D3701" t="str">
        <f>HYPERLINK("http://service.sap.com/sap/support/notes/1545508","1545508")</f>
        <v>1545508</v>
      </c>
      <c r="E3701">
        <v>1</v>
      </c>
      <c r="F3701" t="s">
        <v>3801</v>
      </c>
    </row>
    <row r="3702" spans="1:6" x14ac:dyDescent="0.25">
      <c r="A3702" t="s">
        <v>4034</v>
      </c>
      <c r="B3702" t="s">
        <v>363</v>
      </c>
      <c r="C3702" t="s">
        <v>74</v>
      </c>
      <c r="D3702" t="str">
        <f>HYPERLINK("http://service.sap.com/sap/support/notes/1548454","1548454")</f>
        <v>1548454</v>
      </c>
      <c r="E3702">
        <v>2</v>
      </c>
      <c r="F3702" t="s">
        <v>3802</v>
      </c>
    </row>
    <row r="3703" spans="1:6" x14ac:dyDescent="0.25">
      <c r="A3703" t="s">
        <v>4034</v>
      </c>
      <c r="B3703" t="s">
        <v>363</v>
      </c>
      <c r="C3703" t="s">
        <v>74</v>
      </c>
      <c r="D3703" t="str">
        <f>HYPERLINK("http://service.sap.com/sap/support/notes/1557465","1557465")</f>
        <v>1557465</v>
      </c>
      <c r="E3703">
        <v>3</v>
      </c>
      <c r="F3703" t="s">
        <v>3803</v>
      </c>
    </row>
    <row r="3704" spans="1:6" x14ac:dyDescent="0.25">
      <c r="A3704" t="s">
        <v>4034</v>
      </c>
      <c r="B3704" t="s">
        <v>363</v>
      </c>
      <c r="C3704" t="s">
        <v>74</v>
      </c>
      <c r="D3704" t="str">
        <f>HYPERLINK("http://service.sap.com/sap/support/notes/1561551","1561551")</f>
        <v>1561551</v>
      </c>
      <c r="E3704">
        <v>8</v>
      </c>
      <c r="F3704" t="s">
        <v>3804</v>
      </c>
    </row>
    <row r="3705" spans="1:6" x14ac:dyDescent="0.25">
      <c r="A3705" t="s">
        <v>4034</v>
      </c>
      <c r="B3705" t="s">
        <v>363</v>
      </c>
      <c r="C3705" t="s">
        <v>74</v>
      </c>
      <c r="D3705" t="str">
        <f>HYPERLINK("http://service.sap.com/sap/support/notes/1561867","1561867")</f>
        <v>1561867</v>
      </c>
      <c r="E3705">
        <v>1</v>
      </c>
      <c r="F3705" t="s">
        <v>3805</v>
      </c>
    </row>
    <row r="3706" spans="1:6" x14ac:dyDescent="0.25">
      <c r="A3706" t="s">
        <v>4034</v>
      </c>
      <c r="B3706" t="s">
        <v>363</v>
      </c>
      <c r="C3706" t="s">
        <v>74</v>
      </c>
      <c r="D3706" t="str">
        <f>HYPERLINK("http://service.sap.com/sap/support/notes/1565001","1565001")</f>
        <v>1565001</v>
      </c>
      <c r="E3706">
        <v>2</v>
      </c>
      <c r="F3706" t="s">
        <v>3806</v>
      </c>
    </row>
    <row r="3707" spans="1:6" x14ac:dyDescent="0.25">
      <c r="A3707" t="s">
        <v>4034</v>
      </c>
      <c r="B3707" t="s">
        <v>363</v>
      </c>
      <c r="C3707" t="s">
        <v>74</v>
      </c>
      <c r="D3707" t="str">
        <f>HYPERLINK("http://service.sap.com/sap/support/notes/1567802","1567802")</f>
        <v>1567802</v>
      </c>
      <c r="E3707">
        <v>2</v>
      </c>
      <c r="F3707" t="s">
        <v>3807</v>
      </c>
    </row>
    <row r="3708" spans="1:6" x14ac:dyDescent="0.25">
      <c r="A3708" t="s">
        <v>4034</v>
      </c>
      <c r="B3708" t="s">
        <v>363</v>
      </c>
      <c r="C3708" t="s">
        <v>74</v>
      </c>
      <c r="D3708" t="str">
        <f>HYPERLINK("http://service.sap.com/sap/support/notes/1568264","1568264")</f>
        <v>1568264</v>
      </c>
      <c r="E3708">
        <v>5</v>
      </c>
      <c r="F3708" t="s">
        <v>3808</v>
      </c>
    </row>
    <row r="3709" spans="1:6" x14ac:dyDescent="0.25">
      <c r="A3709" t="s">
        <v>4034</v>
      </c>
      <c r="B3709" t="s">
        <v>363</v>
      </c>
      <c r="C3709" t="s">
        <v>74</v>
      </c>
      <c r="D3709" t="str">
        <f>HYPERLINK("http://service.sap.com/sap/support/notes/1570568","1570568")</f>
        <v>1570568</v>
      </c>
      <c r="E3709">
        <v>1</v>
      </c>
      <c r="F3709" t="s">
        <v>2821</v>
      </c>
    </row>
    <row r="3710" spans="1:6" x14ac:dyDescent="0.25">
      <c r="A3710" t="s">
        <v>4034</v>
      </c>
      <c r="B3710" t="s">
        <v>363</v>
      </c>
      <c r="C3710" t="s">
        <v>74</v>
      </c>
      <c r="D3710" t="str">
        <f>HYPERLINK("http://service.sap.com/sap/support/notes/1571501","1571501")</f>
        <v>1571501</v>
      </c>
      <c r="E3710">
        <v>2</v>
      </c>
      <c r="F3710" t="s">
        <v>3809</v>
      </c>
    </row>
    <row r="3711" spans="1:6" x14ac:dyDescent="0.25">
      <c r="A3711" t="s">
        <v>4034</v>
      </c>
      <c r="B3711" t="s">
        <v>363</v>
      </c>
      <c r="C3711" t="s">
        <v>74</v>
      </c>
      <c r="D3711" t="str">
        <f>HYPERLINK("http://service.sap.com/sap/support/notes/1575985","1575985")</f>
        <v>1575985</v>
      </c>
      <c r="E3711">
        <v>2</v>
      </c>
      <c r="F3711" t="s">
        <v>3810</v>
      </c>
    </row>
    <row r="3712" spans="1:6" x14ac:dyDescent="0.25">
      <c r="A3712" t="s">
        <v>4034</v>
      </c>
      <c r="B3712" t="s">
        <v>363</v>
      </c>
      <c r="C3712" t="s">
        <v>74</v>
      </c>
      <c r="D3712" t="str">
        <f>HYPERLINK("http://service.sap.com/sap/support/notes/1576183","1576183")</f>
        <v>1576183</v>
      </c>
      <c r="E3712">
        <v>1</v>
      </c>
      <c r="F3712" t="s">
        <v>3811</v>
      </c>
    </row>
    <row r="3713" spans="1:6" x14ac:dyDescent="0.25">
      <c r="A3713" t="s">
        <v>4034</v>
      </c>
      <c r="B3713" t="s">
        <v>363</v>
      </c>
      <c r="C3713" t="s">
        <v>74</v>
      </c>
      <c r="D3713" t="str">
        <f>HYPERLINK("http://service.sap.com/sap/support/notes/1576576","1576576")</f>
        <v>1576576</v>
      </c>
      <c r="E3713">
        <v>1</v>
      </c>
      <c r="F3713" t="s">
        <v>3812</v>
      </c>
    </row>
    <row r="3714" spans="1:6" x14ac:dyDescent="0.25">
      <c r="A3714" t="s">
        <v>4034</v>
      </c>
      <c r="B3714" t="s">
        <v>363</v>
      </c>
      <c r="C3714" t="s">
        <v>74</v>
      </c>
      <c r="D3714" t="str">
        <f>HYPERLINK("http://service.sap.com/sap/support/notes/1577846","1577846")</f>
        <v>1577846</v>
      </c>
      <c r="E3714">
        <v>1</v>
      </c>
      <c r="F3714" t="s">
        <v>3813</v>
      </c>
    </row>
    <row r="3715" spans="1:6" x14ac:dyDescent="0.25">
      <c r="A3715" t="s">
        <v>4034</v>
      </c>
      <c r="B3715" t="s">
        <v>363</v>
      </c>
      <c r="C3715" t="s">
        <v>74</v>
      </c>
      <c r="D3715" t="str">
        <f>HYPERLINK("http://service.sap.com/sap/support/notes/1578436","1578436")</f>
        <v>1578436</v>
      </c>
      <c r="E3715">
        <v>2</v>
      </c>
      <c r="F3715" t="s">
        <v>3814</v>
      </c>
    </row>
    <row r="3716" spans="1:6" x14ac:dyDescent="0.25">
      <c r="A3716" t="s">
        <v>4034</v>
      </c>
      <c r="B3716" t="s">
        <v>363</v>
      </c>
      <c r="C3716" t="s">
        <v>74</v>
      </c>
      <c r="D3716" t="str">
        <f>HYPERLINK("http://service.sap.com/sap/support/notes/1581204","1581204")</f>
        <v>1581204</v>
      </c>
      <c r="E3716">
        <v>1</v>
      </c>
      <c r="F3716" t="s">
        <v>3815</v>
      </c>
    </row>
    <row r="3717" spans="1:6" x14ac:dyDescent="0.25">
      <c r="A3717" t="s">
        <v>4034</v>
      </c>
      <c r="B3717" t="s">
        <v>363</v>
      </c>
      <c r="C3717" t="s">
        <v>74</v>
      </c>
      <c r="D3717" t="str">
        <f>HYPERLINK("http://service.sap.com/sap/support/notes/1582588","1582588")</f>
        <v>1582588</v>
      </c>
      <c r="E3717">
        <v>4</v>
      </c>
      <c r="F3717" t="s">
        <v>3816</v>
      </c>
    </row>
    <row r="3718" spans="1:6" x14ac:dyDescent="0.25">
      <c r="A3718" t="s">
        <v>4034</v>
      </c>
      <c r="B3718" t="s">
        <v>363</v>
      </c>
      <c r="C3718" t="s">
        <v>74</v>
      </c>
      <c r="D3718" t="str">
        <f>HYPERLINK("http://service.sap.com/sap/support/notes/1583250","1583250")</f>
        <v>1583250</v>
      </c>
      <c r="E3718">
        <v>2</v>
      </c>
      <c r="F3718" t="s">
        <v>3817</v>
      </c>
    </row>
    <row r="3719" spans="1:6" x14ac:dyDescent="0.25">
      <c r="A3719" t="s">
        <v>4034</v>
      </c>
      <c r="B3719" t="s">
        <v>363</v>
      </c>
      <c r="C3719" t="s">
        <v>74</v>
      </c>
      <c r="D3719" t="str">
        <f>HYPERLINK("http://service.sap.com/sap/support/notes/1584599","1584599")</f>
        <v>1584599</v>
      </c>
      <c r="E3719">
        <v>1</v>
      </c>
      <c r="F3719" t="s">
        <v>3818</v>
      </c>
    </row>
    <row r="3720" spans="1:6" x14ac:dyDescent="0.25">
      <c r="A3720" t="s">
        <v>4034</v>
      </c>
      <c r="B3720" t="s">
        <v>363</v>
      </c>
      <c r="C3720" t="s">
        <v>74</v>
      </c>
      <c r="D3720" t="str">
        <f>HYPERLINK("http://service.sap.com/sap/support/notes/1584625","1584625")</f>
        <v>1584625</v>
      </c>
      <c r="E3720">
        <v>3</v>
      </c>
      <c r="F3720" t="s">
        <v>3819</v>
      </c>
    </row>
    <row r="3721" spans="1:6" x14ac:dyDescent="0.25">
      <c r="A3721" t="s">
        <v>4034</v>
      </c>
      <c r="B3721" t="s">
        <v>363</v>
      </c>
      <c r="C3721" t="s">
        <v>74</v>
      </c>
      <c r="D3721" t="str">
        <f>HYPERLINK("http://service.sap.com/sap/support/notes/1584687","1584687")</f>
        <v>1584687</v>
      </c>
      <c r="E3721">
        <v>2</v>
      </c>
      <c r="F3721" t="s">
        <v>3820</v>
      </c>
    </row>
    <row r="3722" spans="1:6" x14ac:dyDescent="0.25">
      <c r="A3722" t="s">
        <v>4034</v>
      </c>
      <c r="B3722" t="s">
        <v>363</v>
      </c>
      <c r="C3722" t="s">
        <v>74</v>
      </c>
      <c r="D3722" t="str">
        <f>HYPERLINK("http://service.sap.com/sap/support/notes/1585038","1585038")</f>
        <v>1585038</v>
      </c>
      <c r="E3722">
        <v>2</v>
      </c>
      <c r="F3722" t="s">
        <v>3821</v>
      </c>
    </row>
    <row r="3723" spans="1:6" x14ac:dyDescent="0.25">
      <c r="A3723" t="s">
        <v>4034</v>
      </c>
      <c r="B3723" t="s">
        <v>363</v>
      </c>
      <c r="C3723" t="s">
        <v>74</v>
      </c>
      <c r="D3723" t="str">
        <f>HYPERLINK("http://service.sap.com/sap/support/notes/1586231","1586231")</f>
        <v>1586231</v>
      </c>
      <c r="E3723">
        <v>2</v>
      </c>
      <c r="F3723" t="s">
        <v>3822</v>
      </c>
    </row>
    <row r="3724" spans="1:6" x14ac:dyDescent="0.25">
      <c r="A3724" t="s">
        <v>4034</v>
      </c>
      <c r="B3724" t="s">
        <v>363</v>
      </c>
      <c r="C3724" t="s">
        <v>74</v>
      </c>
      <c r="D3724" t="str">
        <f>HYPERLINK("http://service.sap.com/sap/support/notes/1586492","1586492")</f>
        <v>1586492</v>
      </c>
      <c r="E3724">
        <v>1</v>
      </c>
      <c r="F3724" t="s">
        <v>3823</v>
      </c>
    </row>
    <row r="3725" spans="1:6" x14ac:dyDescent="0.25">
      <c r="A3725" t="s">
        <v>4034</v>
      </c>
      <c r="B3725" t="s">
        <v>363</v>
      </c>
      <c r="C3725" t="s">
        <v>74</v>
      </c>
      <c r="D3725" t="str">
        <f>HYPERLINK("http://service.sap.com/sap/support/notes/1586559","1586559")</f>
        <v>1586559</v>
      </c>
      <c r="E3725">
        <v>1</v>
      </c>
      <c r="F3725" t="s">
        <v>3824</v>
      </c>
    </row>
    <row r="3726" spans="1:6" x14ac:dyDescent="0.25">
      <c r="A3726" t="s">
        <v>4034</v>
      </c>
      <c r="B3726" t="s">
        <v>363</v>
      </c>
      <c r="C3726" t="s">
        <v>74</v>
      </c>
      <c r="D3726" t="str">
        <f>HYPERLINK("http://service.sap.com/sap/support/notes/1587019","1587019")</f>
        <v>1587019</v>
      </c>
      <c r="E3726">
        <v>2</v>
      </c>
      <c r="F3726" t="s">
        <v>3825</v>
      </c>
    </row>
    <row r="3727" spans="1:6" x14ac:dyDescent="0.25">
      <c r="A3727" t="s">
        <v>4034</v>
      </c>
      <c r="B3727" t="s">
        <v>363</v>
      </c>
      <c r="C3727" t="s">
        <v>74</v>
      </c>
      <c r="D3727" t="str">
        <f>HYPERLINK("http://service.sap.com/sap/support/notes/1587065","1587065")</f>
        <v>1587065</v>
      </c>
      <c r="E3727">
        <v>2</v>
      </c>
      <c r="F3727" t="s">
        <v>3826</v>
      </c>
    </row>
    <row r="3728" spans="1:6" x14ac:dyDescent="0.25">
      <c r="A3728" t="s">
        <v>4034</v>
      </c>
      <c r="B3728" t="s">
        <v>363</v>
      </c>
      <c r="C3728" t="s">
        <v>74</v>
      </c>
      <c r="D3728" t="str">
        <f>HYPERLINK("http://service.sap.com/sap/support/notes/1587955","1587955")</f>
        <v>1587955</v>
      </c>
      <c r="E3728">
        <v>2</v>
      </c>
      <c r="F3728" t="s">
        <v>3827</v>
      </c>
    </row>
    <row r="3729" spans="1:6" x14ac:dyDescent="0.25">
      <c r="A3729" t="s">
        <v>4034</v>
      </c>
      <c r="B3729" t="s">
        <v>363</v>
      </c>
      <c r="C3729" t="s">
        <v>74</v>
      </c>
      <c r="D3729" t="str">
        <f>HYPERLINK("http://service.sap.com/sap/support/notes/1588119","1588119")</f>
        <v>1588119</v>
      </c>
      <c r="E3729">
        <v>1</v>
      </c>
      <c r="F3729" t="s">
        <v>3828</v>
      </c>
    </row>
    <row r="3730" spans="1:6" x14ac:dyDescent="0.25">
      <c r="A3730" t="s">
        <v>4034</v>
      </c>
      <c r="B3730" t="s">
        <v>363</v>
      </c>
      <c r="C3730" t="s">
        <v>74</v>
      </c>
      <c r="D3730" t="str">
        <f>HYPERLINK("http://service.sap.com/sap/support/notes/1588498","1588498")</f>
        <v>1588498</v>
      </c>
      <c r="E3730">
        <v>3</v>
      </c>
      <c r="F3730" t="s">
        <v>3829</v>
      </c>
    </row>
    <row r="3731" spans="1:6" x14ac:dyDescent="0.25">
      <c r="A3731" t="s">
        <v>4034</v>
      </c>
      <c r="B3731" t="s">
        <v>363</v>
      </c>
      <c r="C3731" t="s">
        <v>74</v>
      </c>
      <c r="D3731" t="str">
        <f>HYPERLINK("http://service.sap.com/sap/support/notes/1588551","1588551")</f>
        <v>1588551</v>
      </c>
      <c r="E3731">
        <v>2</v>
      </c>
      <c r="F3731" t="s">
        <v>3830</v>
      </c>
    </row>
    <row r="3732" spans="1:6" x14ac:dyDescent="0.25">
      <c r="A3732" t="s">
        <v>4034</v>
      </c>
      <c r="B3732" t="s">
        <v>363</v>
      </c>
      <c r="C3732" t="s">
        <v>74</v>
      </c>
      <c r="D3732" t="str">
        <f>HYPERLINK("http://service.sap.com/sap/support/notes/1589114","1589114")</f>
        <v>1589114</v>
      </c>
      <c r="E3732">
        <v>3</v>
      </c>
      <c r="F3732" t="s">
        <v>3831</v>
      </c>
    </row>
    <row r="3733" spans="1:6" x14ac:dyDescent="0.25">
      <c r="A3733" t="s">
        <v>4034</v>
      </c>
      <c r="B3733" t="s">
        <v>363</v>
      </c>
      <c r="C3733" t="s">
        <v>74</v>
      </c>
      <c r="D3733" t="str">
        <f>HYPERLINK("http://service.sap.com/sap/support/notes/1589387","1589387")</f>
        <v>1589387</v>
      </c>
      <c r="E3733">
        <v>2</v>
      </c>
      <c r="F3733" t="s">
        <v>3832</v>
      </c>
    </row>
    <row r="3734" spans="1:6" x14ac:dyDescent="0.25">
      <c r="A3734" t="s">
        <v>4034</v>
      </c>
      <c r="B3734" t="s">
        <v>363</v>
      </c>
      <c r="C3734" t="s">
        <v>74</v>
      </c>
      <c r="D3734" t="str">
        <f>HYPERLINK("http://service.sap.com/sap/support/notes/1590449","1590449")</f>
        <v>1590449</v>
      </c>
      <c r="E3734">
        <v>3</v>
      </c>
      <c r="F3734" t="s">
        <v>3833</v>
      </c>
    </row>
    <row r="3735" spans="1:6" x14ac:dyDescent="0.25">
      <c r="A3735" t="s">
        <v>4034</v>
      </c>
      <c r="B3735" t="s">
        <v>363</v>
      </c>
      <c r="C3735" t="s">
        <v>74</v>
      </c>
      <c r="D3735" t="str">
        <f>HYPERLINK("http://service.sap.com/sap/support/notes/1590796","1590796")</f>
        <v>1590796</v>
      </c>
      <c r="E3735">
        <v>2</v>
      </c>
      <c r="F3735" t="s">
        <v>3834</v>
      </c>
    </row>
    <row r="3736" spans="1:6" x14ac:dyDescent="0.25">
      <c r="A3736" t="s">
        <v>4034</v>
      </c>
      <c r="B3736" t="s">
        <v>363</v>
      </c>
      <c r="C3736" t="s">
        <v>74</v>
      </c>
      <c r="D3736" t="str">
        <f>HYPERLINK("http://service.sap.com/sap/support/notes/1591623","1591623")</f>
        <v>1591623</v>
      </c>
      <c r="E3736">
        <v>1</v>
      </c>
      <c r="F3736" t="s">
        <v>3835</v>
      </c>
    </row>
    <row r="3737" spans="1:6" x14ac:dyDescent="0.25">
      <c r="A3737" t="s">
        <v>4034</v>
      </c>
      <c r="B3737" t="s">
        <v>363</v>
      </c>
      <c r="C3737" t="s">
        <v>74</v>
      </c>
      <c r="D3737" t="str">
        <f>HYPERLINK("http://service.sap.com/sap/support/notes/1591860","1591860")</f>
        <v>1591860</v>
      </c>
      <c r="E3737">
        <v>2</v>
      </c>
      <c r="F3737" t="s">
        <v>3836</v>
      </c>
    </row>
    <row r="3738" spans="1:6" x14ac:dyDescent="0.25">
      <c r="A3738" t="s">
        <v>4034</v>
      </c>
      <c r="B3738" t="s">
        <v>374</v>
      </c>
      <c r="C3738" t="s">
        <v>77</v>
      </c>
      <c r="D3738" t="str">
        <f>HYPERLINK("http://service.sap.com/sap/support/notes/1532436","1532436")</f>
        <v>1532436</v>
      </c>
      <c r="E3738">
        <v>2</v>
      </c>
      <c r="F3738" t="s">
        <v>3837</v>
      </c>
    </row>
    <row r="3739" spans="1:6" x14ac:dyDescent="0.25">
      <c r="A3739" t="s">
        <v>4034</v>
      </c>
      <c r="B3739" t="s">
        <v>374</v>
      </c>
      <c r="C3739" t="s">
        <v>77</v>
      </c>
      <c r="D3739" t="str">
        <f>HYPERLINK("http://service.sap.com/sap/support/notes/1581877","1581877")</f>
        <v>1581877</v>
      </c>
      <c r="E3739">
        <v>2</v>
      </c>
      <c r="F3739" t="s">
        <v>3838</v>
      </c>
    </row>
    <row r="3740" spans="1:6" x14ac:dyDescent="0.25">
      <c r="A3740" t="s">
        <v>4034</v>
      </c>
      <c r="B3740" t="s">
        <v>374</v>
      </c>
      <c r="C3740" t="s">
        <v>77</v>
      </c>
      <c r="D3740" t="str">
        <f>HYPERLINK("http://service.sap.com/sap/support/notes/1582686","1582686")</f>
        <v>1582686</v>
      </c>
      <c r="E3740">
        <v>2</v>
      </c>
      <c r="F3740" t="s">
        <v>3839</v>
      </c>
    </row>
    <row r="3741" spans="1:6" x14ac:dyDescent="0.25">
      <c r="A3741" t="s">
        <v>4034</v>
      </c>
      <c r="B3741" t="s">
        <v>374</v>
      </c>
      <c r="C3741" t="s">
        <v>77</v>
      </c>
      <c r="D3741" t="str">
        <f>HYPERLINK("http://service.sap.com/sap/support/notes/1591560","1591560")</f>
        <v>1591560</v>
      </c>
      <c r="E3741">
        <v>1</v>
      </c>
      <c r="F3741" t="s">
        <v>3840</v>
      </c>
    </row>
    <row r="3742" spans="1:6" x14ac:dyDescent="0.25">
      <c r="A3742" t="s">
        <v>4034</v>
      </c>
      <c r="B3742" t="s">
        <v>374</v>
      </c>
      <c r="C3742" t="s">
        <v>77</v>
      </c>
      <c r="D3742" t="str">
        <f>HYPERLINK("http://service.sap.com/sap/support/notes/1591562","1591562")</f>
        <v>1591562</v>
      </c>
      <c r="E3742">
        <v>1</v>
      </c>
      <c r="F3742" t="s">
        <v>3841</v>
      </c>
    </row>
    <row r="3743" spans="1:6" x14ac:dyDescent="0.25">
      <c r="A3743" t="s">
        <v>4034</v>
      </c>
      <c r="B3743" t="s">
        <v>374</v>
      </c>
      <c r="C3743" t="s">
        <v>77</v>
      </c>
      <c r="D3743" t="str">
        <f>HYPERLINK("http://service.sap.com/sap/support/notes/1592032","1592032")</f>
        <v>1592032</v>
      </c>
      <c r="E3743">
        <v>1</v>
      </c>
      <c r="F3743" t="s">
        <v>3842</v>
      </c>
    </row>
    <row r="3744" spans="1:6" x14ac:dyDescent="0.25">
      <c r="A3744" t="s">
        <v>4034</v>
      </c>
      <c r="B3744" t="s">
        <v>379</v>
      </c>
      <c r="C3744" t="s">
        <v>80</v>
      </c>
      <c r="D3744" t="str">
        <f>HYPERLINK("http://service.sap.com/sap/support/notes/1132738","1132738")</f>
        <v>1132738</v>
      </c>
      <c r="E3744">
        <v>1</v>
      </c>
      <c r="F3744" t="s">
        <v>3843</v>
      </c>
    </row>
    <row r="3745" spans="1:6" x14ac:dyDescent="0.25">
      <c r="A3745" t="s">
        <v>4034</v>
      </c>
      <c r="B3745" t="s">
        <v>379</v>
      </c>
      <c r="C3745" t="s">
        <v>80</v>
      </c>
      <c r="D3745" t="str">
        <f>HYPERLINK("http://service.sap.com/sap/support/notes/1576871","1576871")</f>
        <v>1576871</v>
      </c>
      <c r="E3745">
        <v>3</v>
      </c>
      <c r="F3745" t="s">
        <v>3256</v>
      </c>
    </row>
    <row r="3746" spans="1:6" x14ac:dyDescent="0.25">
      <c r="A3746" t="s">
        <v>4034</v>
      </c>
      <c r="B3746" t="s">
        <v>379</v>
      </c>
      <c r="C3746" t="s">
        <v>80</v>
      </c>
      <c r="D3746" t="str">
        <f>HYPERLINK("http://service.sap.com/sap/support/notes/1577395","1577395")</f>
        <v>1577395</v>
      </c>
      <c r="E3746">
        <v>7</v>
      </c>
      <c r="F3746" t="s">
        <v>3844</v>
      </c>
    </row>
    <row r="3747" spans="1:6" x14ac:dyDescent="0.25">
      <c r="A3747" t="s">
        <v>4034</v>
      </c>
      <c r="B3747" t="s">
        <v>379</v>
      </c>
      <c r="C3747" t="s">
        <v>80</v>
      </c>
      <c r="D3747" t="str">
        <f>HYPERLINK("http://service.sap.com/sap/support/notes/1583647","1583647")</f>
        <v>1583647</v>
      </c>
      <c r="E3747">
        <v>1</v>
      </c>
      <c r="F3747" t="s">
        <v>3845</v>
      </c>
    </row>
    <row r="3748" spans="1:6" x14ac:dyDescent="0.25">
      <c r="A3748" t="s">
        <v>4034</v>
      </c>
      <c r="B3748" t="s">
        <v>379</v>
      </c>
      <c r="C3748" t="s">
        <v>80</v>
      </c>
      <c r="D3748" t="str">
        <f>HYPERLINK("http://service.sap.com/sap/support/notes/1583864","1583864")</f>
        <v>1583864</v>
      </c>
      <c r="E3748">
        <v>1</v>
      </c>
      <c r="F3748" t="s">
        <v>3846</v>
      </c>
    </row>
    <row r="3749" spans="1:6" x14ac:dyDescent="0.25">
      <c r="A3749" t="s">
        <v>4034</v>
      </c>
      <c r="B3749" t="s">
        <v>379</v>
      </c>
      <c r="C3749" t="s">
        <v>80</v>
      </c>
      <c r="D3749" t="str">
        <f>HYPERLINK("http://service.sap.com/sap/support/notes/1585284","1585284")</f>
        <v>1585284</v>
      </c>
      <c r="E3749">
        <v>1</v>
      </c>
      <c r="F3749" t="s">
        <v>3847</v>
      </c>
    </row>
    <row r="3750" spans="1:6" x14ac:dyDescent="0.25">
      <c r="A3750" t="s">
        <v>4034</v>
      </c>
      <c r="B3750" t="s">
        <v>379</v>
      </c>
      <c r="C3750" t="s">
        <v>80</v>
      </c>
      <c r="D3750" t="str">
        <f>HYPERLINK("http://service.sap.com/sap/support/notes/1585572","1585572")</f>
        <v>1585572</v>
      </c>
      <c r="E3750">
        <v>1</v>
      </c>
      <c r="F3750" t="s">
        <v>3848</v>
      </c>
    </row>
    <row r="3751" spans="1:6" x14ac:dyDescent="0.25">
      <c r="A3751" t="s">
        <v>4034</v>
      </c>
      <c r="B3751" t="s">
        <v>379</v>
      </c>
      <c r="C3751" t="s">
        <v>80</v>
      </c>
      <c r="D3751" t="str">
        <f>HYPERLINK("http://service.sap.com/sap/support/notes/1586130","1586130")</f>
        <v>1586130</v>
      </c>
      <c r="E3751">
        <v>1</v>
      </c>
      <c r="F3751" t="s">
        <v>3849</v>
      </c>
    </row>
    <row r="3752" spans="1:6" x14ac:dyDescent="0.25">
      <c r="A3752" t="s">
        <v>4034</v>
      </c>
      <c r="B3752" t="s">
        <v>379</v>
      </c>
      <c r="C3752" t="s">
        <v>80</v>
      </c>
      <c r="D3752" t="str">
        <f>HYPERLINK("http://service.sap.com/sap/support/notes/1587499","1587499")</f>
        <v>1587499</v>
      </c>
      <c r="E3752">
        <v>1</v>
      </c>
      <c r="F3752" t="s">
        <v>3850</v>
      </c>
    </row>
    <row r="3753" spans="1:6" x14ac:dyDescent="0.25">
      <c r="A3753" t="s">
        <v>4034</v>
      </c>
      <c r="B3753" t="s">
        <v>379</v>
      </c>
      <c r="C3753" t="s">
        <v>80</v>
      </c>
      <c r="D3753" t="str">
        <f>HYPERLINK("http://service.sap.com/sap/support/notes/1589592","1589592")</f>
        <v>1589592</v>
      </c>
      <c r="E3753">
        <v>1</v>
      </c>
      <c r="F3753" t="s">
        <v>3851</v>
      </c>
    </row>
    <row r="3754" spans="1:6" x14ac:dyDescent="0.25">
      <c r="A3754" t="s">
        <v>4034</v>
      </c>
      <c r="B3754" t="s">
        <v>388</v>
      </c>
      <c r="C3754" t="s">
        <v>87</v>
      </c>
      <c r="D3754" t="str">
        <f>HYPERLINK("http://service.sap.com/sap/support/notes/1224058","1224058")</f>
        <v>1224058</v>
      </c>
      <c r="E3754">
        <v>1</v>
      </c>
      <c r="F3754" t="s">
        <v>389</v>
      </c>
    </row>
    <row r="3755" spans="1:6" x14ac:dyDescent="0.25">
      <c r="A3755" t="s">
        <v>4034</v>
      </c>
      <c r="B3755" t="s">
        <v>388</v>
      </c>
      <c r="C3755" t="s">
        <v>87</v>
      </c>
      <c r="D3755" t="str">
        <f>HYPERLINK("http://service.sap.com/sap/support/notes/1582570","1582570")</f>
        <v>1582570</v>
      </c>
      <c r="E3755">
        <v>4</v>
      </c>
      <c r="F3755" t="s">
        <v>3852</v>
      </c>
    </row>
    <row r="3756" spans="1:6" x14ac:dyDescent="0.25">
      <c r="A3756" t="s">
        <v>4034</v>
      </c>
      <c r="B3756" t="s">
        <v>388</v>
      </c>
      <c r="C3756" t="s">
        <v>87</v>
      </c>
      <c r="D3756" t="str">
        <f>HYPERLINK("http://service.sap.com/sap/support/notes/1583263","1583263")</f>
        <v>1583263</v>
      </c>
      <c r="E3756">
        <v>1</v>
      </c>
      <c r="F3756" t="s">
        <v>3853</v>
      </c>
    </row>
    <row r="3757" spans="1:6" x14ac:dyDescent="0.25">
      <c r="A3757" t="s">
        <v>4034</v>
      </c>
      <c r="B3757" t="s">
        <v>388</v>
      </c>
      <c r="C3757" t="s">
        <v>87</v>
      </c>
      <c r="D3757" t="str">
        <f>HYPERLINK("http://service.sap.com/sap/support/notes/1588604","1588604")</f>
        <v>1588604</v>
      </c>
      <c r="E3757">
        <v>1</v>
      </c>
      <c r="F3757" t="s">
        <v>3854</v>
      </c>
    </row>
    <row r="3758" spans="1:6" x14ac:dyDescent="0.25">
      <c r="A3758" t="s">
        <v>4034</v>
      </c>
      <c r="B3758" t="s">
        <v>396</v>
      </c>
      <c r="C3758" t="s">
        <v>397</v>
      </c>
      <c r="D3758" t="str">
        <f>HYPERLINK("http://service.sap.com/sap/support/notes/1552887","1552887")</f>
        <v>1552887</v>
      </c>
      <c r="E3758">
        <v>1</v>
      </c>
      <c r="F3758" t="s">
        <v>3855</v>
      </c>
    </row>
    <row r="3759" spans="1:6" x14ac:dyDescent="0.25">
      <c r="A3759" t="s">
        <v>4034</v>
      </c>
      <c r="B3759" t="s">
        <v>396</v>
      </c>
      <c r="C3759" t="s">
        <v>397</v>
      </c>
      <c r="D3759" t="str">
        <f>HYPERLINK("http://service.sap.com/sap/support/notes/1569085","1569085")</f>
        <v>1569085</v>
      </c>
      <c r="E3759">
        <v>2</v>
      </c>
      <c r="F3759" t="s">
        <v>3856</v>
      </c>
    </row>
    <row r="3760" spans="1:6" x14ac:dyDescent="0.25">
      <c r="A3760" t="s">
        <v>4034</v>
      </c>
      <c r="B3760" t="s">
        <v>396</v>
      </c>
      <c r="C3760" t="s">
        <v>397</v>
      </c>
      <c r="D3760" t="str">
        <f>HYPERLINK("http://service.sap.com/sap/support/notes/1574585","1574585")</f>
        <v>1574585</v>
      </c>
      <c r="E3760">
        <v>1</v>
      </c>
      <c r="F3760" t="s">
        <v>3857</v>
      </c>
    </row>
    <row r="3761" spans="1:6" x14ac:dyDescent="0.25">
      <c r="A3761" t="s">
        <v>4034</v>
      </c>
      <c r="B3761" t="s">
        <v>405</v>
      </c>
      <c r="C3761" t="s">
        <v>90</v>
      </c>
      <c r="D3761" t="str">
        <f>HYPERLINK("http://service.sap.com/sap/support/notes/1506126","1506126")</f>
        <v>1506126</v>
      </c>
      <c r="E3761">
        <v>2</v>
      </c>
      <c r="F3761" t="s">
        <v>3858</v>
      </c>
    </row>
    <row r="3762" spans="1:6" x14ac:dyDescent="0.25">
      <c r="A3762" t="s">
        <v>4034</v>
      </c>
      <c r="B3762" t="s">
        <v>405</v>
      </c>
      <c r="C3762" t="s">
        <v>90</v>
      </c>
      <c r="D3762" t="str">
        <f>HYPERLINK("http://service.sap.com/sap/support/notes/1567349","1567349")</f>
        <v>1567349</v>
      </c>
      <c r="E3762">
        <v>1</v>
      </c>
      <c r="F3762" t="s">
        <v>3859</v>
      </c>
    </row>
    <row r="3763" spans="1:6" x14ac:dyDescent="0.25">
      <c r="A3763" t="s">
        <v>4034</v>
      </c>
      <c r="B3763" t="s">
        <v>405</v>
      </c>
      <c r="C3763" t="s">
        <v>90</v>
      </c>
      <c r="D3763" t="str">
        <f>HYPERLINK("http://service.sap.com/sap/support/notes/1571144","1571144")</f>
        <v>1571144</v>
      </c>
      <c r="E3763">
        <v>3</v>
      </c>
      <c r="F3763" t="s">
        <v>3860</v>
      </c>
    </row>
    <row r="3764" spans="1:6" x14ac:dyDescent="0.25">
      <c r="A3764" t="s">
        <v>4034</v>
      </c>
      <c r="B3764" t="s">
        <v>405</v>
      </c>
      <c r="C3764" t="s">
        <v>90</v>
      </c>
      <c r="D3764" t="str">
        <f>HYPERLINK("http://service.sap.com/sap/support/notes/1576377","1576377")</f>
        <v>1576377</v>
      </c>
      <c r="E3764">
        <v>2</v>
      </c>
      <c r="F3764" t="s">
        <v>3861</v>
      </c>
    </row>
    <row r="3765" spans="1:6" x14ac:dyDescent="0.25">
      <c r="A3765" t="s">
        <v>4034</v>
      </c>
      <c r="B3765" t="s">
        <v>405</v>
      </c>
      <c r="C3765" t="s">
        <v>90</v>
      </c>
      <c r="D3765" t="str">
        <f>HYPERLINK("http://service.sap.com/sap/support/notes/1576976","1576976")</f>
        <v>1576976</v>
      </c>
      <c r="E3765">
        <v>3</v>
      </c>
      <c r="F3765" t="s">
        <v>3862</v>
      </c>
    </row>
    <row r="3766" spans="1:6" x14ac:dyDescent="0.25">
      <c r="A3766" t="s">
        <v>4034</v>
      </c>
      <c r="B3766" t="s">
        <v>405</v>
      </c>
      <c r="C3766" t="s">
        <v>90</v>
      </c>
      <c r="D3766" t="str">
        <f>HYPERLINK("http://service.sap.com/sap/support/notes/1580483","1580483")</f>
        <v>1580483</v>
      </c>
      <c r="E3766">
        <v>2</v>
      </c>
      <c r="F3766" t="s">
        <v>3863</v>
      </c>
    </row>
    <row r="3767" spans="1:6" x14ac:dyDescent="0.25">
      <c r="A3767" t="s">
        <v>4034</v>
      </c>
      <c r="B3767" t="s">
        <v>405</v>
      </c>
      <c r="C3767" t="s">
        <v>90</v>
      </c>
      <c r="D3767" t="str">
        <f>HYPERLINK("http://service.sap.com/sap/support/notes/1581620","1581620")</f>
        <v>1581620</v>
      </c>
      <c r="E3767">
        <v>2</v>
      </c>
      <c r="F3767" t="s">
        <v>3864</v>
      </c>
    </row>
    <row r="3768" spans="1:6" x14ac:dyDescent="0.25">
      <c r="A3768" t="s">
        <v>4034</v>
      </c>
      <c r="B3768" t="s">
        <v>405</v>
      </c>
      <c r="C3768" t="s">
        <v>90</v>
      </c>
      <c r="D3768" t="str">
        <f>HYPERLINK("http://service.sap.com/sap/support/notes/1583885","1583885")</f>
        <v>1583885</v>
      </c>
      <c r="E3768">
        <v>1</v>
      </c>
      <c r="F3768" t="s">
        <v>3865</v>
      </c>
    </row>
    <row r="3769" spans="1:6" x14ac:dyDescent="0.25">
      <c r="A3769" t="s">
        <v>4034</v>
      </c>
      <c r="B3769" t="s">
        <v>411</v>
      </c>
      <c r="C3769" t="s">
        <v>412</v>
      </c>
      <c r="D3769" t="str">
        <f>HYPERLINK("http://service.sap.com/sap/support/notes/1562532","1562532")</f>
        <v>1562532</v>
      </c>
      <c r="E3769">
        <v>3</v>
      </c>
      <c r="F3769" t="s">
        <v>3866</v>
      </c>
    </row>
    <row r="3770" spans="1:6" x14ac:dyDescent="0.25">
      <c r="A3770" t="s">
        <v>4034</v>
      </c>
      <c r="B3770" t="s">
        <v>411</v>
      </c>
      <c r="C3770" t="s">
        <v>412</v>
      </c>
      <c r="D3770" t="str">
        <f>HYPERLINK("http://service.sap.com/sap/support/notes/1564301","1564301")</f>
        <v>1564301</v>
      </c>
      <c r="E3770">
        <v>1</v>
      </c>
      <c r="F3770" t="s">
        <v>3867</v>
      </c>
    </row>
    <row r="3771" spans="1:6" x14ac:dyDescent="0.25">
      <c r="A3771" t="s">
        <v>4034</v>
      </c>
      <c r="B3771" t="s">
        <v>411</v>
      </c>
      <c r="C3771" t="s">
        <v>412</v>
      </c>
      <c r="D3771" t="str">
        <f>HYPERLINK("http://service.sap.com/sap/support/notes/1569383","1569383")</f>
        <v>1569383</v>
      </c>
      <c r="E3771">
        <v>4</v>
      </c>
      <c r="F3771" t="s">
        <v>3868</v>
      </c>
    </row>
    <row r="3772" spans="1:6" x14ac:dyDescent="0.25">
      <c r="A3772" t="s">
        <v>4034</v>
      </c>
      <c r="B3772" t="s">
        <v>411</v>
      </c>
      <c r="C3772" t="s">
        <v>412</v>
      </c>
      <c r="D3772" t="str">
        <f>HYPERLINK("http://service.sap.com/sap/support/notes/1572748","1572748")</f>
        <v>1572748</v>
      </c>
      <c r="E3772">
        <v>4</v>
      </c>
      <c r="F3772" t="s">
        <v>3869</v>
      </c>
    </row>
    <row r="3773" spans="1:6" x14ac:dyDescent="0.25">
      <c r="A3773" t="s">
        <v>4034</v>
      </c>
      <c r="B3773" t="s">
        <v>411</v>
      </c>
      <c r="C3773" t="s">
        <v>412</v>
      </c>
      <c r="D3773" t="str">
        <f>HYPERLINK("http://service.sap.com/sap/support/notes/1578745","1578745")</f>
        <v>1578745</v>
      </c>
      <c r="E3773">
        <v>2</v>
      </c>
      <c r="F3773" t="s">
        <v>3870</v>
      </c>
    </row>
    <row r="3774" spans="1:6" x14ac:dyDescent="0.25">
      <c r="A3774" t="s">
        <v>4034</v>
      </c>
      <c r="B3774" t="s">
        <v>411</v>
      </c>
      <c r="C3774" t="s">
        <v>412</v>
      </c>
      <c r="D3774" t="str">
        <f>HYPERLINK("http://service.sap.com/sap/support/notes/1585831","1585831")</f>
        <v>1585831</v>
      </c>
      <c r="E3774">
        <v>2</v>
      </c>
      <c r="F3774" t="s">
        <v>3871</v>
      </c>
    </row>
    <row r="3775" spans="1:6" x14ac:dyDescent="0.25">
      <c r="A3775" t="s">
        <v>4034</v>
      </c>
      <c r="B3775" t="s">
        <v>411</v>
      </c>
      <c r="C3775" t="s">
        <v>412</v>
      </c>
      <c r="D3775" t="str">
        <f>HYPERLINK("http://service.sap.com/sap/support/notes/1588154","1588154")</f>
        <v>1588154</v>
      </c>
      <c r="E3775">
        <v>2</v>
      </c>
      <c r="F3775" t="s">
        <v>3872</v>
      </c>
    </row>
    <row r="3776" spans="1:6" x14ac:dyDescent="0.25">
      <c r="A3776" t="s">
        <v>4034</v>
      </c>
      <c r="B3776" t="s">
        <v>411</v>
      </c>
      <c r="C3776" t="s">
        <v>412</v>
      </c>
      <c r="D3776" t="str">
        <f>HYPERLINK("http://service.sap.com/sap/support/notes/1588797","1588797")</f>
        <v>1588797</v>
      </c>
      <c r="E3776">
        <v>2</v>
      </c>
      <c r="F3776" t="s">
        <v>3873</v>
      </c>
    </row>
    <row r="3777" spans="1:6" x14ac:dyDescent="0.25">
      <c r="A3777" t="s">
        <v>4034</v>
      </c>
      <c r="B3777" t="s">
        <v>411</v>
      </c>
      <c r="C3777" t="s">
        <v>412</v>
      </c>
      <c r="D3777" t="str">
        <f>HYPERLINK("http://service.sap.com/sap/support/notes/1588931","1588931")</f>
        <v>1588931</v>
      </c>
      <c r="E3777">
        <v>1</v>
      </c>
      <c r="F3777" t="s">
        <v>3874</v>
      </c>
    </row>
    <row r="3778" spans="1:6" x14ac:dyDescent="0.25">
      <c r="A3778" t="s">
        <v>4034</v>
      </c>
      <c r="B3778" t="s">
        <v>411</v>
      </c>
      <c r="C3778" t="s">
        <v>412</v>
      </c>
      <c r="D3778" t="str">
        <f>HYPERLINK("http://service.sap.com/sap/support/notes/1588939","1588939")</f>
        <v>1588939</v>
      </c>
      <c r="E3778">
        <v>2</v>
      </c>
      <c r="F3778" t="s">
        <v>3875</v>
      </c>
    </row>
    <row r="3779" spans="1:6" x14ac:dyDescent="0.25">
      <c r="A3779" t="s">
        <v>4034</v>
      </c>
      <c r="B3779" t="s">
        <v>411</v>
      </c>
      <c r="C3779" t="s">
        <v>412</v>
      </c>
      <c r="D3779" t="str">
        <f>HYPERLINK("http://service.sap.com/sap/support/notes/1589642","1589642")</f>
        <v>1589642</v>
      </c>
      <c r="E3779">
        <v>2</v>
      </c>
      <c r="F3779" t="s">
        <v>3876</v>
      </c>
    </row>
    <row r="3780" spans="1:6" x14ac:dyDescent="0.25">
      <c r="A3780" t="s">
        <v>4034</v>
      </c>
      <c r="B3780" t="s">
        <v>411</v>
      </c>
      <c r="C3780" t="s">
        <v>412</v>
      </c>
      <c r="D3780" t="str">
        <f>HYPERLINK("http://service.sap.com/sap/support/notes/1589843","1589843")</f>
        <v>1589843</v>
      </c>
      <c r="E3780">
        <v>2</v>
      </c>
      <c r="F3780" t="s">
        <v>3877</v>
      </c>
    </row>
    <row r="3781" spans="1:6" x14ac:dyDescent="0.25">
      <c r="A3781" t="s">
        <v>4034</v>
      </c>
      <c r="B3781" t="s">
        <v>411</v>
      </c>
      <c r="C3781" t="s">
        <v>412</v>
      </c>
      <c r="D3781" t="str">
        <f>HYPERLINK("http://service.sap.com/sap/support/notes/1591230","1591230")</f>
        <v>1591230</v>
      </c>
      <c r="E3781">
        <v>1</v>
      </c>
      <c r="F3781" t="s">
        <v>3878</v>
      </c>
    </row>
    <row r="3782" spans="1:6" x14ac:dyDescent="0.25">
      <c r="A3782" t="s">
        <v>4034</v>
      </c>
      <c r="B3782" t="s">
        <v>415</v>
      </c>
      <c r="C3782" t="s">
        <v>416</v>
      </c>
      <c r="D3782" t="str">
        <f>HYPERLINK("http://service.sap.com/sap/support/notes/1362992","1362992")</f>
        <v>1362992</v>
      </c>
      <c r="E3782">
        <v>2</v>
      </c>
      <c r="F3782" t="s">
        <v>3879</v>
      </c>
    </row>
    <row r="3783" spans="1:6" x14ac:dyDescent="0.25">
      <c r="A3783" t="s">
        <v>4034</v>
      </c>
      <c r="B3783" t="s">
        <v>415</v>
      </c>
      <c r="C3783" t="s">
        <v>416</v>
      </c>
      <c r="D3783" t="str">
        <f>HYPERLINK("http://service.sap.com/sap/support/notes/1577848","1577848")</f>
        <v>1577848</v>
      </c>
      <c r="E3783">
        <v>1</v>
      </c>
      <c r="F3783" t="s">
        <v>3880</v>
      </c>
    </row>
    <row r="3784" spans="1:6" x14ac:dyDescent="0.25">
      <c r="A3784" t="s">
        <v>4034</v>
      </c>
      <c r="B3784" t="s">
        <v>415</v>
      </c>
      <c r="C3784" t="s">
        <v>416</v>
      </c>
      <c r="D3784" t="str">
        <f>HYPERLINK("http://service.sap.com/sap/support/notes/1584504","1584504")</f>
        <v>1584504</v>
      </c>
      <c r="E3784">
        <v>1</v>
      </c>
      <c r="F3784" t="s">
        <v>3881</v>
      </c>
    </row>
    <row r="3785" spans="1:6" x14ac:dyDescent="0.25">
      <c r="A3785" t="s">
        <v>4034</v>
      </c>
      <c r="B3785" t="s">
        <v>415</v>
      </c>
      <c r="C3785" t="s">
        <v>416</v>
      </c>
      <c r="D3785" t="str">
        <f>HYPERLINK("http://service.sap.com/sap/support/notes/1584710","1584710")</f>
        <v>1584710</v>
      </c>
      <c r="E3785">
        <v>2</v>
      </c>
      <c r="F3785" t="s">
        <v>3882</v>
      </c>
    </row>
    <row r="3786" spans="1:6" x14ac:dyDescent="0.25">
      <c r="A3786" t="s">
        <v>4034</v>
      </c>
      <c r="B3786" t="s">
        <v>415</v>
      </c>
      <c r="C3786" t="s">
        <v>416</v>
      </c>
      <c r="D3786" t="str">
        <f>HYPERLINK("http://service.sap.com/sap/support/notes/1586853","1586853")</f>
        <v>1586853</v>
      </c>
      <c r="E3786">
        <v>1</v>
      </c>
      <c r="F3786" t="s">
        <v>3883</v>
      </c>
    </row>
    <row r="3787" spans="1:6" x14ac:dyDescent="0.25">
      <c r="A3787" t="s">
        <v>4034</v>
      </c>
      <c r="B3787" t="s">
        <v>415</v>
      </c>
      <c r="C3787" t="s">
        <v>416</v>
      </c>
      <c r="D3787" t="str">
        <f>HYPERLINK("http://service.sap.com/sap/support/notes/1588846","1588846")</f>
        <v>1588846</v>
      </c>
      <c r="E3787">
        <v>1</v>
      </c>
      <c r="F3787" t="s">
        <v>3884</v>
      </c>
    </row>
    <row r="3788" spans="1:6" x14ac:dyDescent="0.25">
      <c r="A3788" t="s">
        <v>4034</v>
      </c>
      <c r="B3788" t="s">
        <v>415</v>
      </c>
      <c r="C3788" t="s">
        <v>416</v>
      </c>
      <c r="D3788" t="str">
        <f>HYPERLINK("http://service.sap.com/sap/support/notes/1590298","1590298")</f>
        <v>1590298</v>
      </c>
      <c r="E3788">
        <v>1</v>
      </c>
      <c r="F3788" t="s">
        <v>3885</v>
      </c>
    </row>
    <row r="3789" spans="1:6" x14ac:dyDescent="0.25">
      <c r="A3789" t="s">
        <v>4034</v>
      </c>
      <c r="B3789" t="s">
        <v>425</v>
      </c>
      <c r="C3789" t="s">
        <v>1230</v>
      </c>
      <c r="D3789" t="str">
        <f>HYPERLINK("http://service.sap.com/sap/support/notes/1313980","1313980")</f>
        <v>1313980</v>
      </c>
      <c r="E3789">
        <v>3</v>
      </c>
      <c r="F3789" t="s">
        <v>3886</v>
      </c>
    </row>
    <row r="3790" spans="1:6" x14ac:dyDescent="0.25">
      <c r="A3790" t="s">
        <v>4034</v>
      </c>
      <c r="B3790" t="s">
        <v>425</v>
      </c>
      <c r="C3790" t="s">
        <v>1230</v>
      </c>
      <c r="D3790" t="str">
        <f>HYPERLINK("http://service.sap.com/sap/support/notes/1542629","1542629")</f>
        <v>1542629</v>
      </c>
      <c r="E3790">
        <v>1</v>
      </c>
      <c r="F3790" t="s">
        <v>3887</v>
      </c>
    </row>
    <row r="3791" spans="1:6" x14ac:dyDescent="0.25">
      <c r="A3791" t="s">
        <v>4034</v>
      </c>
      <c r="B3791" t="s">
        <v>425</v>
      </c>
      <c r="C3791" t="s">
        <v>1230</v>
      </c>
      <c r="D3791" t="str">
        <f>HYPERLINK("http://service.sap.com/sap/support/notes/1558060","1558060")</f>
        <v>1558060</v>
      </c>
      <c r="E3791">
        <v>3</v>
      </c>
      <c r="F3791" t="s">
        <v>3888</v>
      </c>
    </row>
    <row r="3792" spans="1:6" x14ac:dyDescent="0.25">
      <c r="A3792" t="s">
        <v>4034</v>
      </c>
      <c r="B3792" t="s">
        <v>425</v>
      </c>
      <c r="C3792" t="s">
        <v>1230</v>
      </c>
      <c r="D3792" t="str">
        <f>HYPERLINK("http://service.sap.com/sap/support/notes/1560033","1560033")</f>
        <v>1560033</v>
      </c>
      <c r="E3792">
        <v>1</v>
      </c>
      <c r="F3792" t="s">
        <v>3889</v>
      </c>
    </row>
    <row r="3793" spans="1:6" x14ac:dyDescent="0.25">
      <c r="A3793" t="s">
        <v>4034</v>
      </c>
      <c r="B3793" t="s">
        <v>425</v>
      </c>
      <c r="C3793" t="s">
        <v>1230</v>
      </c>
      <c r="D3793" t="str">
        <f>HYPERLINK("http://service.sap.com/sap/support/notes/1590691","1590691")</f>
        <v>1590691</v>
      </c>
      <c r="E3793">
        <v>3</v>
      </c>
      <c r="F3793" t="s">
        <v>3890</v>
      </c>
    </row>
    <row r="3794" spans="1:6" x14ac:dyDescent="0.25">
      <c r="A3794" t="s">
        <v>4034</v>
      </c>
      <c r="B3794" t="s">
        <v>431</v>
      </c>
      <c r="C3794" t="s">
        <v>432</v>
      </c>
      <c r="D3794" t="str">
        <f>HYPERLINK("http://service.sap.com/sap/support/notes/808408","808408")</f>
        <v>808408</v>
      </c>
      <c r="E3794">
        <v>1</v>
      </c>
      <c r="F3794" t="s">
        <v>3891</v>
      </c>
    </row>
    <row r="3795" spans="1:6" x14ac:dyDescent="0.25">
      <c r="A3795" t="s">
        <v>4034</v>
      </c>
      <c r="B3795" t="s">
        <v>431</v>
      </c>
      <c r="C3795" t="s">
        <v>432</v>
      </c>
      <c r="D3795" t="str">
        <f>HYPERLINK("http://service.sap.com/sap/support/notes/1502044","1502044")</f>
        <v>1502044</v>
      </c>
      <c r="E3795">
        <v>1</v>
      </c>
      <c r="F3795" t="s">
        <v>3892</v>
      </c>
    </row>
    <row r="3796" spans="1:6" x14ac:dyDescent="0.25">
      <c r="A3796" t="s">
        <v>4034</v>
      </c>
      <c r="B3796" t="s">
        <v>431</v>
      </c>
      <c r="C3796" t="s">
        <v>432</v>
      </c>
      <c r="D3796" t="str">
        <f>HYPERLINK("http://service.sap.com/sap/support/notes/1574672","1574672")</f>
        <v>1574672</v>
      </c>
      <c r="E3796">
        <v>1</v>
      </c>
      <c r="F3796" t="s">
        <v>3893</v>
      </c>
    </row>
    <row r="3797" spans="1:6" x14ac:dyDescent="0.25">
      <c r="A3797" t="s">
        <v>4034</v>
      </c>
      <c r="B3797" t="s">
        <v>431</v>
      </c>
      <c r="C3797" t="s">
        <v>432</v>
      </c>
      <c r="D3797" t="str">
        <f>HYPERLINK("http://service.sap.com/sap/support/notes/1576242","1576242")</f>
        <v>1576242</v>
      </c>
      <c r="E3797">
        <v>3</v>
      </c>
      <c r="F3797" t="s">
        <v>3894</v>
      </c>
    </row>
    <row r="3798" spans="1:6" x14ac:dyDescent="0.25">
      <c r="A3798" t="s">
        <v>4034</v>
      </c>
      <c r="B3798" t="s">
        <v>431</v>
      </c>
      <c r="C3798" t="s">
        <v>432</v>
      </c>
      <c r="D3798" t="str">
        <f>HYPERLINK("http://service.sap.com/sap/support/notes/1578448","1578448")</f>
        <v>1578448</v>
      </c>
      <c r="E3798">
        <v>1</v>
      </c>
      <c r="F3798" t="s">
        <v>3895</v>
      </c>
    </row>
    <row r="3799" spans="1:6" x14ac:dyDescent="0.25">
      <c r="A3799" t="s">
        <v>4034</v>
      </c>
      <c r="B3799" t="s">
        <v>431</v>
      </c>
      <c r="C3799" t="s">
        <v>432</v>
      </c>
      <c r="D3799" t="str">
        <f>HYPERLINK("http://service.sap.com/sap/support/notes/1581928","1581928")</f>
        <v>1581928</v>
      </c>
      <c r="E3799">
        <v>2</v>
      </c>
      <c r="F3799" t="s">
        <v>3896</v>
      </c>
    </row>
    <row r="3800" spans="1:6" x14ac:dyDescent="0.25">
      <c r="A3800" t="s">
        <v>4034</v>
      </c>
      <c r="B3800" t="s">
        <v>431</v>
      </c>
      <c r="C3800" t="s">
        <v>432</v>
      </c>
      <c r="D3800" t="str">
        <f>HYPERLINK("http://service.sap.com/sap/support/notes/1582602","1582602")</f>
        <v>1582602</v>
      </c>
      <c r="E3800">
        <v>1</v>
      </c>
      <c r="F3800" t="s">
        <v>3897</v>
      </c>
    </row>
    <row r="3801" spans="1:6" x14ac:dyDescent="0.25">
      <c r="A3801" t="s">
        <v>4034</v>
      </c>
      <c r="B3801" t="s">
        <v>431</v>
      </c>
      <c r="C3801" t="s">
        <v>432</v>
      </c>
      <c r="D3801" t="str">
        <f>HYPERLINK("http://service.sap.com/sap/support/notes/1585596","1585596")</f>
        <v>1585596</v>
      </c>
      <c r="E3801">
        <v>1</v>
      </c>
      <c r="F3801" t="s">
        <v>3898</v>
      </c>
    </row>
    <row r="3802" spans="1:6" x14ac:dyDescent="0.25">
      <c r="A3802" t="s">
        <v>4034</v>
      </c>
      <c r="B3802" t="s">
        <v>431</v>
      </c>
      <c r="C3802" t="s">
        <v>432</v>
      </c>
      <c r="D3802" t="str">
        <f>HYPERLINK("http://service.sap.com/sap/support/notes/1585597","1585597")</f>
        <v>1585597</v>
      </c>
      <c r="E3802">
        <v>1</v>
      </c>
      <c r="F3802" t="s">
        <v>3899</v>
      </c>
    </row>
    <row r="3803" spans="1:6" x14ac:dyDescent="0.25">
      <c r="A3803" t="s">
        <v>4034</v>
      </c>
      <c r="B3803" t="s">
        <v>431</v>
      </c>
      <c r="C3803" t="s">
        <v>432</v>
      </c>
      <c r="D3803" t="str">
        <f>HYPERLINK("http://service.sap.com/sap/support/notes/1587202","1587202")</f>
        <v>1587202</v>
      </c>
      <c r="E3803">
        <v>2</v>
      </c>
      <c r="F3803" t="s">
        <v>3900</v>
      </c>
    </row>
    <row r="3804" spans="1:6" x14ac:dyDescent="0.25">
      <c r="A3804" t="s">
        <v>4034</v>
      </c>
      <c r="B3804" t="s">
        <v>436</v>
      </c>
      <c r="C3804" t="s">
        <v>437</v>
      </c>
      <c r="D3804" t="str">
        <f>HYPERLINK("http://service.sap.com/sap/support/notes/1566813","1566813")</f>
        <v>1566813</v>
      </c>
      <c r="E3804">
        <v>1</v>
      </c>
      <c r="F3804" t="s">
        <v>3901</v>
      </c>
    </row>
    <row r="3805" spans="1:6" x14ac:dyDescent="0.25">
      <c r="A3805" t="s">
        <v>4034</v>
      </c>
      <c r="B3805" t="s">
        <v>436</v>
      </c>
      <c r="C3805" t="s">
        <v>437</v>
      </c>
      <c r="D3805" t="str">
        <f>HYPERLINK("http://service.sap.com/sap/support/notes/1584125","1584125")</f>
        <v>1584125</v>
      </c>
      <c r="E3805">
        <v>1</v>
      </c>
      <c r="F3805" t="s">
        <v>3902</v>
      </c>
    </row>
    <row r="3806" spans="1:6" x14ac:dyDescent="0.25">
      <c r="A3806" t="s">
        <v>4034</v>
      </c>
      <c r="B3806" t="s">
        <v>440</v>
      </c>
      <c r="C3806" t="s">
        <v>441</v>
      </c>
      <c r="D3806" t="str">
        <f>HYPERLINK("http://service.sap.com/sap/support/notes/1060820","1060820")</f>
        <v>1060820</v>
      </c>
      <c r="E3806">
        <v>1</v>
      </c>
      <c r="F3806" t="s">
        <v>2104</v>
      </c>
    </row>
    <row r="3807" spans="1:6" x14ac:dyDescent="0.25">
      <c r="A3807" t="s">
        <v>4034</v>
      </c>
      <c r="B3807" t="s">
        <v>440</v>
      </c>
      <c r="C3807" t="s">
        <v>441</v>
      </c>
      <c r="D3807" t="str">
        <f>HYPERLINK("http://service.sap.com/sap/support/notes/1578665","1578665")</f>
        <v>1578665</v>
      </c>
      <c r="E3807">
        <v>2</v>
      </c>
      <c r="F3807" t="s">
        <v>3903</v>
      </c>
    </row>
    <row r="3808" spans="1:6" x14ac:dyDescent="0.25">
      <c r="A3808" t="s">
        <v>4034</v>
      </c>
      <c r="B3808" t="s">
        <v>440</v>
      </c>
      <c r="C3808" t="s">
        <v>441</v>
      </c>
      <c r="D3808" t="str">
        <f>HYPERLINK("http://service.sap.com/sap/support/notes/1580318","1580318")</f>
        <v>1580318</v>
      </c>
      <c r="E3808">
        <v>4</v>
      </c>
      <c r="F3808" t="s">
        <v>3904</v>
      </c>
    </row>
    <row r="3809" spans="1:6" x14ac:dyDescent="0.25">
      <c r="A3809" t="s">
        <v>4034</v>
      </c>
      <c r="B3809" t="s">
        <v>440</v>
      </c>
      <c r="C3809" t="s">
        <v>441</v>
      </c>
      <c r="D3809" t="str">
        <f>HYPERLINK("http://service.sap.com/sap/support/notes/1581812","1581812")</f>
        <v>1581812</v>
      </c>
      <c r="E3809">
        <v>5</v>
      </c>
      <c r="F3809" t="s">
        <v>3905</v>
      </c>
    </row>
    <row r="3810" spans="1:6" x14ac:dyDescent="0.25">
      <c r="A3810" t="s">
        <v>4034</v>
      </c>
      <c r="B3810" t="s">
        <v>440</v>
      </c>
      <c r="C3810" t="s">
        <v>441</v>
      </c>
      <c r="D3810" t="str">
        <f>HYPERLINK("http://service.sap.com/sap/support/notes/1582561","1582561")</f>
        <v>1582561</v>
      </c>
      <c r="E3810">
        <v>1</v>
      </c>
      <c r="F3810" t="s">
        <v>3906</v>
      </c>
    </row>
    <row r="3811" spans="1:6" x14ac:dyDescent="0.25">
      <c r="A3811" t="s">
        <v>4034</v>
      </c>
      <c r="B3811" t="s">
        <v>440</v>
      </c>
      <c r="C3811" t="s">
        <v>441</v>
      </c>
      <c r="D3811" t="str">
        <f>HYPERLINK("http://service.sap.com/sap/support/notes/1582626","1582626")</f>
        <v>1582626</v>
      </c>
      <c r="E3811">
        <v>2</v>
      </c>
      <c r="F3811" t="s">
        <v>3318</v>
      </c>
    </row>
    <row r="3812" spans="1:6" x14ac:dyDescent="0.25">
      <c r="A3812" t="s">
        <v>4034</v>
      </c>
      <c r="B3812" t="s">
        <v>440</v>
      </c>
      <c r="C3812" t="s">
        <v>441</v>
      </c>
      <c r="D3812" t="str">
        <f>HYPERLINK("http://service.sap.com/sap/support/notes/1585952","1585952")</f>
        <v>1585952</v>
      </c>
      <c r="E3812">
        <v>3</v>
      </c>
      <c r="F3812" t="s">
        <v>3907</v>
      </c>
    </row>
    <row r="3813" spans="1:6" x14ac:dyDescent="0.25">
      <c r="A3813" t="s">
        <v>4034</v>
      </c>
      <c r="B3813" t="s">
        <v>440</v>
      </c>
      <c r="C3813" t="s">
        <v>441</v>
      </c>
      <c r="D3813" t="str">
        <f>HYPERLINK("http://service.sap.com/sap/support/notes/1587305","1587305")</f>
        <v>1587305</v>
      </c>
      <c r="E3813">
        <v>2</v>
      </c>
      <c r="F3813" t="s">
        <v>3908</v>
      </c>
    </row>
    <row r="3814" spans="1:6" x14ac:dyDescent="0.25">
      <c r="A3814" t="s">
        <v>4034</v>
      </c>
      <c r="B3814" t="s">
        <v>440</v>
      </c>
      <c r="C3814" t="s">
        <v>441</v>
      </c>
      <c r="D3814" t="str">
        <f>HYPERLINK("http://service.sap.com/sap/support/notes/1588549","1588549")</f>
        <v>1588549</v>
      </c>
      <c r="E3814">
        <v>3</v>
      </c>
      <c r="F3814" t="s">
        <v>3909</v>
      </c>
    </row>
    <row r="3815" spans="1:6" x14ac:dyDescent="0.25">
      <c r="A3815" t="s">
        <v>4034</v>
      </c>
      <c r="B3815" t="s">
        <v>440</v>
      </c>
      <c r="C3815" t="s">
        <v>441</v>
      </c>
      <c r="D3815" t="str">
        <f>HYPERLINK("http://service.sap.com/sap/support/notes/1589411","1589411")</f>
        <v>1589411</v>
      </c>
      <c r="E3815">
        <v>1</v>
      </c>
      <c r="F3815" t="s">
        <v>3910</v>
      </c>
    </row>
    <row r="3816" spans="1:6" x14ac:dyDescent="0.25">
      <c r="A3816" t="s">
        <v>4034</v>
      </c>
      <c r="B3816" t="s">
        <v>440</v>
      </c>
      <c r="C3816" t="s">
        <v>441</v>
      </c>
      <c r="D3816" t="str">
        <f>HYPERLINK("http://service.sap.com/sap/support/notes/1589487","1589487")</f>
        <v>1589487</v>
      </c>
      <c r="E3816">
        <v>1</v>
      </c>
      <c r="F3816" t="s">
        <v>3911</v>
      </c>
    </row>
    <row r="3817" spans="1:6" x14ac:dyDescent="0.25">
      <c r="A3817" t="s">
        <v>4034</v>
      </c>
      <c r="B3817" t="s">
        <v>440</v>
      </c>
      <c r="C3817" t="s">
        <v>441</v>
      </c>
      <c r="D3817" t="str">
        <f>HYPERLINK("http://service.sap.com/sap/support/notes/1590589","1590589")</f>
        <v>1590589</v>
      </c>
      <c r="E3817">
        <v>1</v>
      </c>
      <c r="F3817" t="s">
        <v>3912</v>
      </c>
    </row>
    <row r="3818" spans="1:6" x14ac:dyDescent="0.25">
      <c r="A3818" t="s">
        <v>4034</v>
      </c>
      <c r="B3818" t="s">
        <v>440</v>
      </c>
      <c r="C3818" t="s">
        <v>441</v>
      </c>
      <c r="D3818" t="str">
        <f>HYPERLINK("http://service.sap.com/sap/support/notes/1591041","1591041")</f>
        <v>1591041</v>
      </c>
      <c r="E3818">
        <v>2</v>
      </c>
      <c r="F3818" t="s">
        <v>3913</v>
      </c>
    </row>
    <row r="3819" spans="1:6" x14ac:dyDescent="0.25">
      <c r="A3819" t="s">
        <v>4034</v>
      </c>
      <c r="B3819" t="s">
        <v>440</v>
      </c>
      <c r="C3819" t="s">
        <v>441</v>
      </c>
      <c r="D3819" t="str">
        <f>HYPERLINK("http://service.sap.com/sap/support/notes/1591094","1591094")</f>
        <v>1591094</v>
      </c>
      <c r="E3819">
        <v>1</v>
      </c>
      <c r="F3819" t="s">
        <v>3914</v>
      </c>
    </row>
    <row r="3820" spans="1:6" x14ac:dyDescent="0.25">
      <c r="A3820" t="s">
        <v>4034</v>
      </c>
      <c r="B3820" t="s">
        <v>440</v>
      </c>
      <c r="C3820" t="s">
        <v>441</v>
      </c>
      <c r="D3820" t="str">
        <f>HYPERLINK("http://service.sap.com/sap/support/notes/1591099","1591099")</f>
        <v>1591099</v>
      </c>
      <c r="E3820">
        <v>1</v>
      </c>
      <c r="F3820" t="s">
        <v>3915</v>
      </c>
    </row>
    <row r="3821" spans="1:6" x14ac:dyDescent="0.25">
      <c r="A3821" t="s">
        <v>4034</v>
      </c>
      <c r="B3821" t="s">
        <v>440</v>
      </c>
      <c r="C3821" t="s">
        <v>441</v>
      </c>
      <c r="D3821" t="str">
        <f>HYPERLINK("http://service.sap.com/sap/support/notes/1591518","1591518")</f>
        <v>1591518</v>
      </c>
      <c r="E3821">
        <v>2</v>
      </c>
      <c r="F3821" t="s">
        <v>3916</v>
      </c>
    </row>
    <row r="3822" spans="1:6" x14ac:dyDescent="0.25">
      <c r="A3822" t="s">
        <v>4034</v>
      </c>
      <c r="B3822" t="s">
        <v>440</v>
      </c>
      <c r="C3822" t="s">
        <v>441</v>
      </c>
      <c r="D3822" t="str">
        <f>HYPERLINK("http://service.sap.com/sap/support/notes/1591530","1591530")</f>
        <v>1591530</v>
      </c>
      <c r="E3822">
        <v>1</v>
      </c>
      <c r="F3822" t="s">
        <v>3917</v>
      </c>
    </row>
    <row r="3823" spans="1:6" x14ac:dyDescent="0.25">
      <c r="A3823" t="s">
        <v>4034</v>
      </c>
      <c r="B3823" t="s">
        <v>449</v>
      </c>
      <c r="C3823" t="s">
        <v>1241</v>
      </c>
      <c r="D3823" t="str">
        <f>HYPERLINK("http://service.sap.com/sap/support/notes/1578186","1578186")</f>
        <v>1578186</v>
      </c>
      <c r="E3823">
        <v>3</v>
      </c>
      <c r="F3823" t="s">
        <v>3918</v>
      </c>
    </row>
    <row r="3824" spans="1:6" x14ac:dyDescent="0.25">
      <c r="A3824" t="s">
        <v>4034</v>
      </c>
      <c r="B3824" t="s">
        <v>460</v>
      </c>
      <c r="C3824" t="s">
        <v>1246</v>
      </c>
      <c r="D3824" t="str">
        <f>HYPERLINK("http://service.sap.com/sap/support/notes/1578204","1578204")</f>
        <v>1578204</v>
      </c>
      <c r="E3824">
        <v>4</v>
      </c>
      <c r="F3824" t="s">
        <v>3919</v>
      </c>
    </row>
    <row r="3825" spans="1:6" x14ac:dyDescent="0.25">
      <c r="A3825" t="s">
        <v>4034</v>
      </c>
      <c r="B3825" t="s">
        <v>472</v>
      </c>
      <c r="C3825" t="s">
        <v>473</v>
      </c>
      <c r="D3825" t="str">
        <f>HYPERLINK("http://service.sap.com/sap/support/notes/1174708","1174708")</f>
        <v>1174708</v>
      </c>
      <c r="E3825">
        <v>1</v>
      </c>
      <c r="F3825" t="s">
        <v>1256</v>
      </c>
    </row>
    <row r="3826" spans="1:6" x14ac:dyDescent="0.25">
      <c r="A3826" t="s">
        <v>4034</v>
      </c>
      <c r="B3826" t="s">
        <v>472</v>
      </c>
      <c r="C3826" t="s">
        <v>473</v>
      </c>
      <c r="D3826" t="str">
        <f>HYPERLINK("http://service.sap.com/sap/support/notes/1374916","1374916")</f>
        <v>1374916</v>
      </c>
      <c r="E3826">
        <v>1</v>
      </c>
      <c r="F3826" t="s">
        <v>3920</v>
      </c>
    </row>
    <row r="3827" spans="1:6" x14ac:dyDescent="0.25">
      <c r="A3827" t="s">
        <v>4034</v>
      </c>
      <c r="B3827" t="s">
        <v>472</v>
      </c>
      <c r="C3827" t="s">
        <v>473</v>
      </c>
      <c r="D3827" t="str">
        <f>HYPERLINK("http://service.sap.com/sap/support/notes/1512740","1512740")</f>
        <v>1512740</v>
      </c>
      <c r="E3827">
        <v>3</v>
      </c>
      <c r="F3827" t="s">
        <v>3921</v>
      </c>
    </row>
    <row r="3828" spans="1:6" x14ac:dyDescent="0.25">
      <c r="A3828" t="s">
        <v>4034</v>
      </c>
      <c r="B3828" t="s">
        <v>472</v>
      </c>
      <c r="C3828" t="s">
        <v>473</v>
      </c>
      <c r="D3828" t="str">
        <f>HYPERLINK("http://service.sap.com/sap/support/notes/1564961","1564961")</f>
        <v>1564961</v>
      </c>
      <c r="E3828">
        <v>2</v>
      </c>
      <c r="F3828" t="s">
        <v>3922</v>
      </c>
    </row>
    <row r="3829" spans="1:6" x14ac:dyDescent="0.25">
      <c r="A3829" t="s">
        <v>4034</v>
      </c>
      <c r="B3829" t="s">
        <v>472</v>
      </c>
      <c r="C3829" t="s">
        <v>473</v>
      </c>
      <c r="D3829" t="str">
        <f>HYPERLINK("http://service.sap.com/sap/support/notes/1565896","1565896")</f>
        <v>1565896</v>
      </c>
      <c r="E3829">
        <v>1</v>
      </c>
      <c r="F3829" t="s">
        <v>3923</v>
      </c>
    </row>
    <row r="3830" spans="1:6" x14ac:dyDescent="0.25">
      <c r="A3830" t="s">
        <v>4034</v>
      </c>
      <c r="B3830" t="s">
        <v>472</v>
      </c>
      <c r="C3830" t="s">
        <v>473</v>
      </c>
      <c r="D3830" t="str">
        <f>HYPERLINK("http://service.sap.com/sap/support/notes/1565953","1565953")</f>
        <v>1565953</v>
      </c>
      <c r="E3830">
        <v>2</v>
      </c>
      <c r="F3830" t="s">
        <v>3924</v>
      </c>
    </row>
    <row r="3831" spans="1:6" x14ac:dyDescent="0.25">
      <c r="A3831" t="s">
        <v>4034</v>
      </c>
      <c r="B3831" t="s">
        <v>472</v>
      </c>
      <c r="C3831" t="s">
        <v>473</v>
      </c>
      <c r="D3831" t="str">
        <f>HYPERLINK("http://service.sap.com/sap/support/notes/1566768","1566768")</f>
        <v>1566768</v>
      </c>
      <c r="E3831">
        <v>2</v>
      </c>
      <c r="F3831" t="s">
        <v>3925</v>
      </c>
    </row>
    <row r="3832" spans="1:6" x14ac:dyDescent="0.25">
      <c r="A3832" t="s">
        <v>4034</v>
      </c>
      <c r="B3832" t="s">
        <v>472</v>
      </c>
      <c r="C3832" t="s">
        <v>473</v>
      </c>
      <c r="D3832" t="str">
        <f>HYPERLINK("http://service.sap.com/sap/support/notes/1569185","1569185")</f>
        <v>1569185</v>
      </c>
      <c r="E3832">
        <v>1</v>
      </c>
      <c r="F3832" t="s">
        <v>2902</v>
      </c>
    </row>
    <row r="3833" spans="1:6" x14ac:dyDescent="0.25">
      <c r="A3833" t="s">
        <v>4034</v>
      </c>
      <c r="B3833" t="s">
        <v>472</v>
      </c>
      <c r="C3833" t="s">
        <v>473</v>
      </c>
      <c r="D3833" t="str">
        <f>HYPERLINK("http://service.sap.com/sap/support/notes/1581635","1581635")</f>
        <v>1581635</v>
      </c>
      <c r="E3833">
        <v>1</v>
      </c>
      <c r="F3833" t="s">
        <v>3926</v>
      </c>
    </row>
    <row r="3834" spans="1:6" x14ac:dyDescent="0.25">
      <c r="A3834" t="s">
        <v>4034</v>
      </c>
      <c r="B3834" t="s">
        <v>472</v>
      </c>
      <c r="C3834" t="s">
        <v>473</v>
      </c>
      <c r="D3834" t="str">
        <f>HYPERLINK("http://service.sap.com/sap/support/notes/1585283","1585283")</f>
        <v>1585283</v>
      </c>
      <c r="E3834">
        <v>2</v>
      </c>
      <c r="F3834" t="s">
        <v>3927</v>
      </c>
    </row>
    <row r="3835" spans="1:6" x14ac:dyDescent="0.25">
      <c r="A3835" t="s">
        <v>4034</v>
      </c>
      <c r="B3835" t="s">
        <v>479</v>
      </c>
      <c r="C3835" t="s">
        <v>480</v>
      </c>
      <c r="D3835" t="str">
        <f>HYPERLINK("http://service.sap.com/sap/support/notes/1250329","1250329")</f>
        <v>1250329</v>
      </c>
      <c r="E3835">
        <v>1</v>
      </c>
      <c r="F3835" t="s">
        <v>3928</v>
      </c>
    </row>
    <row r="3836" spans="1:6" x14ac:dyDescent="0.25">
      <c r="A3836" t="s">
        <v>4034</v>
      </c>
      <c r="B3836" t="s">
        <v>487</v>
      </c>
      <c r="C3836" t="s">
        <v>153</v>
      </c>
      <c r="D3836" t="str">
        <f>HYPERLINK("http://service.sap.com/sap/support/notes/1568838","1568838")</f>
        <v>1568838</v>
      </c>
      <c r="E3836">
        <v>6</v>
      </c>
      <c r="F3836" t="s">
        <v>3929</v>
      </c>
    </row>
    <row r="3837" spans="1:6" x14ac:dyDescent="0.25">
      <c r="A3837" t="s">
        <v>4034</v>
      </c>
      <c r="B3837" t="s">
        <v>487</v>
      </c>
      <c r="C3837" t="s">
        <v>153</v>
      </c>
      <c r="D3837" t="str">
        <f>HYPERLINK("http://service.sap.com/sap/support/notes/1579040","1579040")</f>
        <v>1579040</v>
      </c>
      <c r="E3837">
        <v>1</v>
      </c>
      <c r="F3837" t="s">
        <v>3930</v>
      </c>
    </row>
    <row r="3838" spans="1:6" x14ac:dyDescent="0.25">
      <c r="A3838" t="s">
        <v>4034</v>
      </c>
      <c r="B3838" t="s">
        <v>487</v>
      </c>
      <c r="C3838" t="s">
        <v>153</v>
      </c>
      <c r="D3838" t="str">
        <f>HYPERLINK("http://service.sap.com/sap/support/notes/1582644","1582644")</f>
        <v>1582644</v>
      </c>
      <c r="E3838">
        <v>1</v>
      </c>
      <c r="F3838" t="s">
        <v>3931</v>
      </c>
    </row>
    <row r="3839" spans="1:6" x14ac:dyDescent="0.25">
      <c r="A3839" t="s">
        <v>4034</v>
      </c>
      <c r="B3839" t="s">
        <v>487</v>
      </c>
      <c r="C3839" t="s">
        <v>153</v>
      </c>
      <c r="D3839" t="str">
        <f>HYPERLINK("http://service.sap.com/sap/support/notes/1585701","1585701")</f>
        <v>1585701</v>
      </c>
      <c r="E3839">
        <v>1</v>
      </c>
      <c r="F3839" t="s">
        <v>3932</v>
      </c>
    </row>
    <row r="3840" spans="1:6" x14ac:dyDescent="0.25">
      <c r="A3840" t="s">
        <v>4034</v>
      </c>
      <c r="B3840" t="s">
        <v>487</v>
      </c>
      <c r="C3840" t="s">
        <v>153</v>
      </c>
      <c r="D3840" t="str">
        <f>HYPERLINK("http://service.sap.com/sap/support/notes/1590129","1590129")</f>
        <v>1590129</v>
      </c>
      <c r="E3840">
        <v>1</v>
      </c>
      <c r="F3840" t="s">
        <v>3933</v>
      </c>
    </row>
    <row r="3841" spans="1:6" x14ac:dyDescent="0.25">
      <c r="A3841" t="s">
        <v>4034</v>
      </c>
      <c r="B3841" t="s">
        <v>489</v>
      </c>
      <c r="C3841" t="s">
        <v>104</v>
      </c>
      <c r="D3841" t="str">
        <f>HYPERLINK("http://service.sap.com/sap/support/notes/1550476","1550476")</f>
        <v>1550476</v>
      </c>
      <c r="E3841">
        <v>2</v>
      </c>
      <c r="F3841" t="s">
        <v>3934</v>
      </c>
    </row>
    <row r="3842" spans="1:6" x14ac:dyDescent="0.25">
      <c r="A3842" t="s">
        <v>4034</v>
      </c>
      <c r="B3842" t="s">
        <v>489</v>
      </c>
      <c r="C3842" t="s">
        <v>104</v>
      </c>
      <c r="D3842" t="str">
        <f>HYPERLINK("http://service.sap.com/sap/support/notes/1576077","1576077")</f>
        <v>1576077</v>
      </c>
      <c r="E3842">
        <v>1</v>
      </c>
      <c r="F3842" t="s">
        <v>3935</v>
      </c>
    </row>
    <row r="3843" spans="1:6" x14ac:dyDescent="0.25">
      <c r="A3843" t="s">
        <v>4034</v>
      </c>
      <c r="B3843" t="s">
        <v>489</v>
      </c>
      <c r="C3843" t="s">
        <v>104</v>
      </c>
      <c r="D3843" t="str">
        <f>HYPERLINK("http://service.sap.com/sap/support/notes/1586449","1586449")</f>
        <v>1586449</v>
      </c>
      <c r="E3843">
        <v>1</v>
      </c>
      <c r="F3843" t="s">
        <v>3936</v>
      </c>
    </row>
    <row r="3844" spans="1:6" x14ac:dyDescent="0.25">
      <c r="A3844" t="s">
        <v>4034</v>
      </c>
      <c r="B3844" t="s">
        <v>489</v>
      </c>
      <c r="C3844" t="s">
        <v>104</v>
      </c>
      <c r="D3844" t="str">
        <f>HYPERLINK("http://service.sap.com/sap/support/notes/1588532","1588532")</f>
        <v>1588532</v>
      </c>
      <c r="E3844">
        <v>1</v>
      </c>
      <c r="F3844" t="s">
        <v>3937</v>
      </c>
    </row>
    <row r="3845" spans="1:6" x14ac:dyDescent="0.25">
      <c r="A3845" t="s">
        <v>4034</v>
      </c>
      <c r="B3845" t="s">
        <v>495</v>
      </c>
      <c r="C3845" t="s">
        <v>496</v>
      </c>
      <c r="D3845" t="str">
        <f>HYPERLINK("http://service.sap.com/sap/support/notes/1548104","1548104")</f>
        <v>1548104</v>
      </c>
      <c r="E3845">
        <v>1</v>
      </c>
      <c r="F3845" t="s">
        <v>3938</v>
      </c>
    </row>
    <row r="3846" spans="1:6" x14ac:dyDescent="0.25">
      <c r="A3846" t="s">
        <v>4034</v>
      </c>
      <c r="B3846" t="s">
        <v>495</v>
      </c>
      <c r="C3846" t="s">
        <v>496</v>
      </c>
      <c r="D3846" t="str">
        <f>HYPERLINK("http://service.sap.com/sap/support/notes/1567353","1567353")</f>
        <v>1567353</v>
      </c>
      <c r="E3846">
        <v>2</v>
      </c>
      <c r="F3846" t="s">
        <v>3939</v>
      </c>
    </row>
    <row r="3847" spans="1:6" x14ac:dyDescent="0.25">
      <c r="A3847" t="s">
        <v>4034</v>
      </c>
      <c r="B3847" t="s">
        <v>495</v>
      </c>
      <c r="C3847" t="s">
        <v>496</v>
      </c>
      <c r="D3847" t="str">
        <f>HYPERLINK("http://service.sap.com/sap/support/notes/1583252","1583252")</f>
        <v>1583252</v>
      </c>
      <c r="E3847">
        <v>2</v>
      </c>
      <c r="F3847" t="s">
        <v>3940</v>
      </c>
    </row>
    <row r="3848" spans="1:6" x14ac:dyDescent="0.25">
      <c r="A3848" t="s">
        <v>4034</v>
      </c>
      <c r="B3848" t="s">
        <v>499</v>
      </c>
      <c r="C3848" t="s">
        <v>108</v>
      </c>
      <c r="D3848" t="str">
        <f>HYPERLINK("http://service.sap.com/sap/support/notes/1502351","1502351")</f>
        <v>1502351</v>
      </c>
      <c r="E3848">
        <v>4</v>
      </c>
      <c r="F3848" t="s">
        <v>3941</v>
      </c>
    </row>
    <row r="3849" spans="1:6" x14ac:dyDescent="0.25">
      <c r="A3849" t="s">
        <v>4034</v>
      </c>
      <c r="B3849" t="s">
        <v>499</v>
      </c>
      <c r="C3849" t="s">
        <v>108</v>
      </c>
      <c r="D3849" t="str">
        <f>HYPERLINK("http://service.sap.com/sap/support/notes/1516105","1516105")</f>
        <v>1516105</v>
      </c>
      <c r="E3849">
        <v>1</v>
      </c>
      <c r="F3849" t="s">
        <v>500</v>
      </c>
    </row>
    <row r="3850" spans="1:6" x14ac:dyDescent="0.25">
      <c r="A3850" t="s">
        <v>4034</v>
      </c>
      <c r="B3850" t="s">
        <v>1269</v>
      </c>
      <c r="C3850" t="s">
        <v>1270</v>
      </c>
      <c r="D3850" t="str">
        <f>HYPERLINK("http://service.sap.com/sap/support/notes/1526391","1526391")</f>
        <v>1526391</v>
      </c>
      <c r="E3850">
        <v>3</v>
      </c>
      <c r="F3850" t="s">
        <v>3942</v>
      </c>
    </row>
    <row r="3851" spans="1:6" x14ac:dyDescent="0.25">
      <c r="A3851" t="s">
        <v>4034</v>
      </c>
      <c r="B3851" t="s">
        <v>1269</v>
      </c>
      <c r="C3851" t="s">
        <v>1270</v>
      </c>
      <c r="D3851" t="str">
        <f>HYPERLINK("http://service.sap.com/sap/support/notes/1548027","1548027")</f>
        <v>1548027</v>
      </c>
      <c r="E3851">
        <v>4</v>
      </c>
      <c r="F3851" t="s">
        <v>3943</v>
      </c>
    </row>
    <row r="3852" spans="1:6" x14ac:dyDescent="0.25">
      <c r="A3852" t="s">
        <v>4034</v>
      </c>
      <c r="B3852" t="s">
        <v>1269</v>
      </c>
      <c r="C3852" t="s">
        <v>1270</v>
      </c>
      <c r="D3852" t="str">
        <f>HYPERLINK("http://service.sap.com/sap/support/notes/1571815","1571815")</f>
        <v>1571815</v>
      </c>
      <c r="E3852">
        <v>2</v>
      </c>
      <c r="F3852" t="s">
        <v>3944</v>
      </c>
    </row>
    <row r="3853" spans="1:6" x14ac:dyDescent="0.25">
      <c r="A3853" t="s">
        <v>4034</v>
      </c>
      <c r="B3853" t="s">
        <v>2540</v>
      </c>
    </row>
    <row r="3854" spans="1:6" x14ac:dyDescent="0.25">
      <c r="A3854" t="s">
        <v>4034</v>
      </c>
      <c r="B3854" t="s">
        <v>2541</v>
      </c>
      <c r="C3854" t="s">
        <v>2542</v>
      </c>
      <c r="D3854" t="str">
        <f>HYPERLINK("http://service.sap.com/sap/support/notes/1559694","1559694")</f>
        <v>1559694</v>
      </c>
      <c r="E3854">
        <v>2</v>
      </c>
      <c r="F3854" t="s">
        <v>3945</v>
      </c>
    </row>
    <row r="3855" spans="1:6" x14ac:dyDescent="0.25">
      <c r="A3855" t="s">
        <v>4034</v>
      </c>
      <c r="B3855" t="s">
        <v>501</v>
      </c>
      <c r="C3855" t="s">
        <v>153</v>
      </c>
      <c r="D3855" t="str">
        <f>HYPERLINK("http://service.sap.com/sap/support/notes/1534333","1534333")</f>
        <v>1534333</v>
      </c>
      <c r="E3855">
        <v>3</v>
      </c>
      <c r="F3855" t="s">
        <v>3946</v>
      </c>
    </row>
    <row r="3856" spans="1:6" x14ac:dyDescent="0.25">
      <c r="A3856" t="s">
        <v>4034</v>
      </c>
      <c r="B3856" t="s">
        <v>505</v>
      </c>
      <c r="C3856" t="s">
        <v>299</v>
      </c>
      <c r="D3856" t="str">
        <f>HYPERLINK("http://service.sap.com/sap/support/notes/1509083","1509083")</f>
        <v>1509083</v>
      </c>
      <c r="E3856">
        <v>3</v>
      </c>
      <c r="F3856" t="s">
        <v>3947</v>
      </c>
    </row>
    <row r="3857" spans="1:6" x14ac:dyDescent="0.25">
      <c r="A3857" t="s">
        <v>4034</v>
      </c>
      <c r="B3857" t="s">
        <v>505</v>
      </c>
      <c r="C3857" t="s">
        <v>299</v>
      </c>
      <c r="D3857" t="str">
        <f>HYPERLINK("http://service.sap.com/sap/support/notes/1550542","1550542")</f>
        <v>1550542</v>
      </c>
      <c r="E3857">
        <v>4</v>
      </c>
      <c r="F3857" t="s">
        <v>3948</v>
      </c>
    </row>
    <row r="3858" spans="1:6" x14ac:dyDescent="0.25">
      <c r="A3858" t="s">
        <v>4034</v>
      </c>
      <c r="B3858" t="s">
        <v>1280</v>
      </c>
      <c r="C3858" t="s">
        <v>967</v>
      </c>
      <c r="D3858" t="str">
        <f>HYPERLINK("http://service.sap.com/sap/support/notes/1518627","1518627")</f>
        <v>1518627</v>
      </c>
      <c r="E3858">
        <v>4</v>
      </c>
      <c r="F3858" t="s">
        <v>3949</v>
      </c>
    </row>
    <row r="3859" spans="1:6" x14ac:dyDescent="0.25">
      <c r="A3859" t="s">
        <v>4034</v>
      </c>
      <c r="B3859" t="s">
        <v>1280</v>
      </c>
      <c r="C3859" t="s">
        <v>967</v>
      </c>
      <c r="D3859" t="str">
        <f>HYPERLINK("http://service.sap.com/sap/support/notes/1523855","1523855")</f>
        <v>1523855</v>
      </c>
      <c r="E3859">
        <v>3</v>
      </c>
      <c r="F3859" t="s">
        <v>3950</v>
      </c>
    </row>
    <row r="3860" spans="1:6" x14ac:dyDescent="0.25">
      <c r="A3860" t="s">
        <v>4034</v>
      </c>
      <c r="B3860" t="s">
        <v>1280</v>
      </c>
      <c r="C3860" t="s">
        <v>967</v>
      </c>
      <c r="D3860" t="str">
        <f>HYPERLINK("http://service.sap.com/sap/support/notes/1531007","1531007")</f>
        <v>1531007</v>
      </c>
      <c r="E3860">
        <v>2</v>
      </c>
      <c r="F3860" t="s">
        <v>3951</v>
      </c>
    </row>
    <row r="3861" spans="1:6" x14ac:dyDescent="0.25">
      <c r="A3861" t="s">
        <v>4034</v>
      </c>
      <c r="B3861" t="s">
        <v>1280</v>
      </c>
      <c r="C3861" t="s">
        <v>967</v>
      </c>
      <c r="D3861" t="str">
        <f>HYPERLINK("http://service.sap.com/sap/support/notes/1538315","1538315")</f>
        <v>1538315</v>
      </c>
      <c r="E3861">
        <v>2</v>
      </c>
      <c r="F3861" t="s">
        <v>3952</v>
      </c>
    </row>
    <row r="3862" spans="1:6" x14ac:dyDescent="0.25">
      <c r="A3862" t="s">
        <v>4034</v>
      </c>
      <c r="B3862" t="s">
        <v>1280</v>
      </c>
      <c r="C3862" t="s">
        <v>967</v>
      </c>
      <c r="D3862" t="str">
        <f>HYPERLINK("http://service.sap.com/sap/support/notes/1541806","1541806")</f>
        <v>1541806</v>
      </c>
      <c r="E3862">
        <v>3</v>
      </c>
      <c r="F3862" t="s">
        <v>3953</v>
      </c>
    </row>
    <row r="3863" spans="1:6" x14ac:dyDescent="0.25">
      <c r="A3863" t="s">
        <v>4034</v>
      </c>
      <c r="B3863" t="s">
        <v>1280</v>
      </c>
      <c r="C3863" t="s">
        <v>967</v>
      </c>
      <c r="D3863" t="str">
        <f>HYPERLINK("http://service.sap.com/sap/support/notes/1547042","1547042")</f>
        <v>1547042</v>
      </c>
      <c r="F3863" t="s">
        <v>3954</v>
      </c>
    </row>
    <row r="3864" spans="1:6" x14ac:dyDescent="0.25">
      <c r="A3864" t="s">
        <v>4034</v>
      </c>
      <c r="B3864" t="s">
        <v>508</v>
      </c>
      <c r="C3864" t="s">
        <v>509</v>
      </c>
      <c r="D3864" t="str">
        <f>HYPERLINK("http://service.sap.com/sap/support/notes/1548472","1548472")</f>
        <v>1548472</v>
      </c>
      <c r="E3864">
        <v>1</v>
      </c>
      <c r="F3864" t="s">
        <v>1725</v>
      </c>
    </row>
    <row r="3865" spans="1:6" x14ac:dyDescent="0.25">
      <c r="A3865" t="s">
        <v>4034</v>
      </c>
      <c r="B3865" t="s">
        <v>508</v>
      </c>
      <c r="C3865" t="s">
        <v>509</v>
      </c>
      <c r="D3865" t="str">
        <f>HYPERLINK("http://service.sap.com/sap/support/notes/1581361","1581361")</f>
        <v>1581361</v>
      </c>
      <c r="E3865">
        <v>2</v>
      </c>
      <c r="F3865" t="s">
        <v>3955</v>
      </c>
    </row>
    <row r="3866" spans="1:6" x14ac:dyDescent="0.25">
      <c r="A3866" t="s">
        <v>4034</v>
      </c>
      <c r="B3866" t="s">
        <v>508</v>
      </c>
      <c r="C3866" t="s">
        <v>509</v>
      </c>
      <c r="D3866" t="str">
        <f>HYPERLINK("http://service.sap.com/sap/support/notes/1582705","1582705")</f>
        <v>1582705</v>
      </c>
      <c r="E3866">
        <v>2</v>
      </c>
      <c r="F3866" t="s">
        <v>3956</v>
      </c>
    </row>
    <row r="3867" spans="1:6" x14ac:dyDescent="0.25">
      <c r="A3867" t="s">
        <v>4034</v>
      </c>
      <c r="B3867" t="s">
        <v>525</v>
      </c>
      <c r="C3867" t="s">
        <v>526</v>
      </c>
      <c r="D3867" t="str">
        <f>HYPERLINK("http://service.sap.com/sap/support/notes/1522806","1522806")</f>
        <v>1522806</v>
      </c>
      <c r="E3867">
        <v>3</v>
      </c>
      <c r="F3867" t="s">
        <v>3957</v>
      </c>
    </row>
    <row r="3868" spans="1:6" x14ac:dyDescent="0.25">
      <c r="A3868" t="s">
        <v>4034</v>
      </c>
      <c r="B3868" t="s">
        <v>525</v>
      </c>
      <c r="C3868" t="s">
        <v>526</v>
      </c>
      <c r="D3868" t="str">
        <f>HYPERLINK("http://service.sap.com/sap/support/notes/1534649","1534649")</f>
        <v>1534649</v>
      </c>
      <c r="E3868">
        <v>3</v>
      </c>
      <c r="F3868" t="s">
        <v>3958</v>
      </c>
    </row>
    <row r="3869" spans="1:6" x14ac:dyDescent="0.25">
      <c r="A3869" t="s">
        <v>4034</v>
      </c>
      <c r="B3869" t="s">
        <v>525</v>
      </c>
      <c r="C3869" t="s">
        <v>526</v>
      </c>
      <c r="D3869" t="str">
        <f>HYPERLINK("http://service.sap.com/sap/support/notes/1554680","1554680")</f>
        <v>1554680</v>
      </c>
      <c r="E3869">
        <v>4</v>
      </c>
      <c r="F3869" t="s">
        <v>3959</v>
      </c>
    </row>
    <row r="3870" spans="1:6" x14ac:dyDescent="0.25">
      <c r="A3870" t="s">
        <v>4034</v>
      </c>
      <c r="B3870" t="s">
        <v>525</v>
      </c>
      <c r="C3870" t="s">
        <v>526</v>
      </c>
      <c r="D3870" t="str">
        <f>HYPERLINK("http://service.sap.com/sap/support/notes/1580292","1580292")</f>
        <v>1580292</v>
      </c>
      <c r="E3870">
        <v>3</v>
      </c>
      <c r="F3870" t="s">
        <v>3960</v>
      </c>
    </row>
    <row r="3871" spans="1:6" x14ac:dyDescent="0.25">
      <c r="A3871" t="s">
        <v>4034</v>
      </c>
      <c r="B3871" t="s">
        <v>528</v>
      </c>
      <c r="C3871" t="s">
        <v>529</v>
      </c>
      <c r="D3871" t="str">
        <f>HYPERLINK("http://service.sap.com/sap/support/notes/1572468","1572468")</f>
        <v>1572468</v>
      </c>
      <c r="E3871">
        <v>1</v>
      </c>
      <c r="F3871" t="s">
        <v>3961</v>
      </c>
    </row>
    <row r="3872" spans="1:6" x14ac:dyDescent="0.25">
      <c r="A3872" t="s">
        <v>4034</v>
      </c>
      <c r="B3872" t="s">
        <v>531</v>
      </c>
      <c r="C3872" t="s">
        <v>725</v>
      </c>
      <c r="D3872" t="str">
        <f>HYPERLINK("http://service.sap.com/sap/support/notes/1512747","1512747")</f>
        <v>1512747</v>
      </c>
      <c r="E3872">
        <v>2</v>
      </c>
      <c r="F3872" t="s">
        <v>3962</v>
      </c>
    </row>
    <row r="3873" spans="1:6" x14ac:dyDescent="0.25">
      <c r="A3873" t="s">
        <v>4034</v>
      </c>
      <c r="B3873" t="s">
        <v>531</v>
      </c>
      <c r="C3873" t="s">
        <v>725</v>
      </c>
      <c r="D3873" t="str">
        <f>HYPERLINK("http://service.sap.com/sap/support/notes/1549743","1549743")</f>
        <v>1549743</v>
      </c>
      <c r="E3873">
        <v>1</v>
      </c>
      <c r="F3873" t="s">
        <v>3963</v>
      </c>
    </row>
    <row r="3874" spans="1:6" x14ac:dyDescent="0.25">
      <c r="A3874" t="s">
        <v>4034</v>
      </c>
      <c r="B3874" t="s">
        <v>531</v>
      </c>
      <c r="C3874" t="s">
        <v>725</v>
      </c>
      <c r="D3874" t="str">
        <f>HYPERLINK("http://service.sap.com/sap/support/notes/1551938","1551938")</f>
        <v>1551938</v>
      </c>
      <c r="E3874">
        <v>1</v>
      </c>
      <c r="F3874" t="s">
        <v>3964</v>
      </c>
    </row>
    <row r="3875" spans="1:6" x14ac:dyDescent="0.25">
      <c r="A3875" t="s">
        <v>4034</v>
      </c>
      <c r="B3875" t="s">
        <v>531</v>
      </c>
      <c r="C3875" t="s">
        <v>725</v>
      </c>
      <c r="D3875" t="str">
        <f>HYPERLINK("http://service.sap.com/sap/support/notes/1557026","1557026")</f>
        <v>1557026</v>
      </c>
      <c r="E3875">
        <v>2</v>
      </c>
      <c r="F3875" t="s">
        <v>3965</v>
      </c>
    </row>
    <row r="3876" spans="1:6" x14ac:dyDescent="0.25">
      <c r="A3876" t="s">
        <v>4034</v>
      </c>
      <c r="B3876" t="s">
        <v>531</v>
      </c>
      <c r="C3876" t="s">
        <v>725</v>
      </c>
      <c r="D3876" t="str">
        <f>HYPERLINK("http://service.sap.com/sap/support/notes/1557737","1557737")</f>
        <v>1557737</v>
      </c>
      <c r="E3876">
        <v>1</v>
      </c>
      <c r="F3876" t="s">
        <v>3966</v>
      </c>
    </row>
    <row r="3877" spans="1:6" x14ac:dyDescent="0.25">
      <c r="A3877" t="s">
        <v>4034</v>
      </c>
      <c r="B3877" t="s">
        <v>531</v>
      </c>
      <c r="C3877" t="s">
        <v>725</v>
      </c>
      <c r="D3877" t="str">
        <f>HYPERLINK("http://service.sap.com/sap/support/notes/1589700","1589700")</f>
        <v>1589700</v>
      </c>
      <c r="E3877">
        <v>1</v>
      </c>
      <c r="F3877" t="s">
        <v>3967</v>
      </c>
    </row>
    <row r="3878" spans="1:6" x14ac:dyDescent="0.25">
      <c r="A3878" t="s">
        <v>4034</v>
      </c>
      <c r="B3878" t="s">
        <v>1305</v>
      </c>
      <c r="C3878" t="s">
        <v>653</v>
      </c>
      <c r="D3878" t="str">
        <f>HYPERLINK("http://service.sap.com/sap/support/notes/1495462","1495462")</f>
        <v>1495462</v>
      </c>
      <c r="E3878">
        <v>1</v>
      </c>
      <c r="F3878" t="s">
        <v>1312</v>
      </c>
    </row>
    <row r="3879" spans="1:6" x14ac:dyDescent="0.25">
      <c r="A3879" t="s">
        <v>4034</v>
      </c>
      <c r="B3879" t="s">
        <v>1305</v>
      </c>
      <c r="C3879" t="s">
        <v>653</v>
      </c>
      <c r="D3879" t="str">
        <f>HYPERLINK("http://service.sap.com/sap/support/notes/1539419","1539419")</f>
        <v>1539419</v>
      </c>
      <c r="E3879">
        <v>3</v>
      </c>
      <c r="F3879" t="s">
        <v>3968</v>
      </c>
    </row>
    <row r="3880" spans="1:6" x14ac:dyDescent="0.25">
      <c r="A3880" t="s">
        <v>4034</v>
      </c>
      <c r="B3880" t="s">
        <v>1305</v>
      </c>
      <c r="C3880" t="s">
        <v>653</v>
      </c>
      <c r="D3880" t="str">
        <f>HYPERLINK("http://service.sap.com/sap/support/notes/1553388","1553388")</f>
        <v>1553388</v>
      </c>
      <c r="E3880">
        <v>2</v>
      </c>
      <c r="F3880" t="s">
        <v>3969</v>
      </c>
    </row>
    <row r="3881" spans="1:6" x14ac:dyDescent="0.25">
      <c r="A3881" t="s">
        <v>4034</v>
      </c>
      <c r="B3881" t="s">
        <v>1305</v>
      </c>
      <c r="C3881" t="s">
        <v>653</v>
      </c>
      <c r="D3881" t="str">
        <f>HYPERLINK("http://service.sap.com/sap/support/notes/1553629","1553629")</f>
        <v>1553629</v>
      </c>
      <c r="E3881">
        <v>3</v>
      </c>
      <c r="F3881" t="s">
        <v>3970</v>
      </c>
    </row>
    <row r="3882" spans="1:6" x14ac:dyDescent="0.25">
      <c r="A3882" t="s">
        <v>4034</v>
      </c>
      <c r="B3882" t="s">
        <v>1305</v>
      </c>
      <c r="C3882" t="s">
        <v>653</v>
      </c>
      <c r="D3882" t="str">
        <f>HYPERLINK("http://service.sap.com/sap/support/notes/1564822","1564822")</f>
        <v>1564822</v>
      </c>
      <c r="E3882">
        <v>2</v>
      </c>
      <c r="F3882" t="s">
        <v>3971</v>
      </c>
    </row>
    <row r="3883" spans="1:6" x14ac:dyDescent="0.25">
      <c r="A3883" t="s">
        <v>4034</v>
      </c>
      <c r="B3883" t="s">
        <v>1305</v>
      </c>
      <c r="C3883" t="s">
        <v>653</v>
      </c>
      <c r="D3883" t="str">
        <f>HYPERLINK("http://service.sap.com/sap/support/notes/1572755","1572755")</f>
        <v>1572755</v>
      </c>
      <c r="E3883">
        <v>3</v>
      </c>
      <c r="F3883" t="s">
        <v>3972</v>
      </c>
    </row>
    <row r="3884" spans="1:6" x14ac:dyDescent="0.25">
      <c r="A3884" t="s">
        <v>4034</v>
      </c>
      <c r="B3884" t="s">
        <v>1305</v>
      </c>
      <c r="C3884" t="s">
        <v>653</v>
      </c>
      <c r="D3884" t="str">
        <f>HYPERLINK("http://service.sap.com/sap/support/notes/1574446","1574446")</f>
        <v>1574446</v>
      </c>
      <c r="E3884">
        <v>4</v>
      </c>
      <c r="F3884" t="s">
        <v>3973</v>
      </c>
    </row>
    <row r="3885" spans="1:6" x14ac:dyDescent="0.25">
      <c r="A3885" t="s">
        <v>4034</v>
      </c>
      <c r="B3885" t="s">
        <v>1317</v>
      </c>
      <c r="C3885" t="s">
        <v>1318</v>
      </c>
      <c r="D3885" t="str">
        <f>HYPERLINK("http://service.sap.com/sap/support/notes/1537486","1537486")</f>
        <v>1537486</v>
      </c>
      <c r="E3885">
        <v>1</v>
      </c>
      <c r="F3885" t="s">
        <v>3974</v>
      </c>
    </row>
    <row r="3886" spans="1:6" x14ac:dyDescent="0.25">
      <c r="A3886" t="s">
        <v>4034</v>
      </c>
      <c r="B3886" t="s">
        <v>1320</v>
      </c>
      <c r="C3886" t="s">
        <v>1321</v>
      </c>
      <c r="D3886" t="str">
        <f>HYPERLINK("http://service.sap.com/sap/support/notes/1536343","1536343")</f>
        <v>1536343</v>
      </c>
      <c r="E3886">
        <v>2</v>
      </c>
      <c r="F3886" t="s">
        <v>3975</v>
      </c>
    </row>
    <row r="3887" spans="1:6" x14ac:dyDescent="0.25">
      <c r="A3887" t="s">
        <v>4034</v>
      </c>
      <c r="B3887" t="s">
        <v>1320</v>
      </c>
      <c r="C3887" t="s">
        <v>1321</v>
      </c>
      <c r="D3887" t="str">
        <f>HYPERLINK("http://service.sap.com/sap/support/notes/1537601","1537601")</f>
        <v>1537601</v>
      </c>
      <c r="E3887">
        <v>1</v>
      </c>
      <c r="F3887" t="s">
        <v>3976</v>
      </c>
    </row>
    <row r="3888" spans="1:6" x14ac:dyDescent="0.25">
      <c r="A3888" t="s">
        <v>4034</v>
      </c>
      <c r="B3888" t="s">
        <v>1320</v>
      </c>
      <c r="C3888" t="s">
        <v>1321</v>
      </c>
      <c r="D3888" t="str">
        <f>HYPERLINK("http://service.sap.com/sap/support/notes/1549981","1549981")</f>
        <v>1549981</v>
      </c>
      <c r="E3888">
        <v>1</v>
      </c>
      <c r="F3888" t="s">
        <v>3977</v>
      </c>
    </row>
    <row r="3889" spans="1:6" x14ac:dyDescent="0.25">
      <c r="A3889" t="s">
        <v>4034</v>
      </c>
      <c r="B3889" t="s">
        <v>1320</v>
      </c>
      <c r="C3889" t="s">
        <v>1321</v>
      </c>
      <c r="D3889" t="str">
        <f>HYPERLINK("http://service.sap.com/sap/support/notes/1552178","1552178")</f>
        <v>1552178</v>
      </c>
      <c r="E3889">
        <v>1</v>
      </c>
      <c r="F3889" t="s">
        <v>3978</v>
      </c>
    </row>
    <row r="3890" spans="1:6" x14ac:dyDescent="0.25">
      <c r="A3890" t="s">
        <v>4034</v>
      </c>
      <c r="B3890" t="s">
        <v>1320</v>
      </c>
      <c r="C3890" t="s">
        <v>1321</v>
      </c>
      <c r="D3890" t="str">
        <f>HYPERLINK("http://service.sap.com/sap/support/notes/1554125","1554125")</f>
        <v>1554125</v>
      </c>
      <c r="E3890">
        <v>1</v>
      </c>
      <c r="F3890" t="s">
        <v>3979</v>
      </c>
    </row>
    <row r="3891" spans="1:6" x14ac:dyDescent="0.25">
      <c r="A3891" t="s">
        <v>4034</v>
      </c>
      <c r="B3891" t="s">
        <v>1320</v>
      </c>
      <c r="C3891" t="s">
        <v>1321</v>
      </c>
      <c r="D3891" t="str">
        <f>HYPERLINK("http://service.sap.com/sap/support/notes/1558797","1558797")</f>
        <v>1558797</v>
      </c>
      <c r="E3891">
        <v>1</v>
      </c>
      <c r="F3891" t="s">
        <v>3980</v>
      </c>
    </row>
    <row r="3892" spans="1:6" x14ac:dyDescent="0.25">
      <c r="A3892" t="s">
        <v>4034</v>
      </c>
      <c r="B3892" t="s">
        <v>1320</v>
      </c>
      <c r="C3892" t="s">
        <v>1321</v>
      </c>
      <c r="D3892" t="str">
        <f>HYPERLINK("http://service.sap.com/sap/support/notes/1569423","1569423")</f>
        <v>1569423</v>
      </c>
      <c r="E3892">
        <v>1</v>
      </c>
      <c r="F3892" t="s">
        <v>3981</v>
      </c>
    </row>
    <row r="3893" spans="1:6" x14ac:dyDescent="0.25">
      <c r="A3893" t="s">
        <v>4034</v>
      </c>
      <c r="B3893" t="s">
        <v>1320</v>
      </c>
      <c r="C3893" t="s">
        <v>1321</v>
      </c>
      <c r="D3893" t="str">
        <f>HYPERLINK("http://service.sap.com/sap/support/notes/1572111","1572111")</f>
        <v>1572111</v>
      </c>
      <c r="E3893">
        <v>2</v>
      </c>
      <c r="F3893" t="s">
        <v>3982</v>
      </c>
    </row>
    <row r="3894" spans="1:6" x14ac:dyDescent="0.25">
      <c r="A3894" t="s">
        <v>4034</v>
      </c>
      <c r="B3894" t="s">
        <v>1320</v>
      </c>
      <c r="C3894" t="s">
        <v>1321</v>
      </c>
      <c r="D3894" t="str">
        <f>HYPERLINK("http://service.sap.com/sap/support/notes/1573926","1573926")</f>
        <v>1573926</v>
      </c>
      <c r="E3894">
        <v>2</v>
      </c>
      <c r="F3894" t="s">
        <v>3983</v>
      </c>
    </row>
    <row r="3895" spans="1:6" x14ac:dyDescent="0.25">
      <c r="A3895" t="s">
        <v>4034</v>
      </c>
      <c r="B3895" t="s">
        <v>1320</v>
      </c>
      <c r="C3895" t="s">
        <v>1321</v>
      </c>
      <c r="D3895" t="str">
        <f>HYPERLINK("http://service.sap.com/sap/support/notes/1575743","1575743")</f>
        <v>1575743</v>
      </c>
      <c r="E3895">
        <v>2</v>
      </c>
      <c r="F3895" t="s">
        <v>3984</v>
      </c>
    </row>
    <row r="3896" spans="1:6" x14ac:dyDescent="0.25">
      <c r="A3896" t="s">
        <v>4034</v>
      </c>
      <c r="B3896" t="s">
        <v>1320</v>
      </c>
      <c r="C3896" t="s">
        <v>1321</v>
      </c>
      <c r="D3896" t="str">
        <f>HYPERLINK("http://service.sap.com/sap/support/notes/1576967","1576967")</f>
        <v>1576967</v>
      </c>
      <c r="E3896">
        <v>1</v>
      </c>
      <c r="F3896" t="s">
        <v>3985</v>
      </c>
    </row>
    <row r="3897" spans="1:6" x14ac:dyDescent="0.25">
      <c r="A3897" t="s">
        <v>4034</v>
      </c>
      <c r="B3897" t="s">
        <v>1320</v>
      </c>
      <c r="C3897" t="s">
        <v>1321</v>
      </c>
      <c r="D3897" t="str">
        <f>HYPERLINK("http://service.sap.com/sap/support/notes/1589752","1589752")</f>
        <v>1589752</v>
      </c>
      <c r="E3897">
        <v>3</v>
      </c>
      <c r="F3897" t="s">
        <v>3986</v>
      </c>
    </row>
    <row r="3898" spans="1:6" x14ac:dyDescent="0.25">
      <c r="A3898" t="s">
        <v>4034</v>
      </c>
      <c r="B3898" t="s">
        <v>1320</v>
      </c>
      <c r="C3898" t="s">
        <v>1321</v>
      </c>
      <c r="D3898" t="str">
        <f>HYPERLINK("http://service.sap.com/sap/support/notes/1590172","1590172")</f>
        <v>1590172</v>
      </c>
      <c r="E3898">
        <v>1</v>
      </c>
      <c r="F3898" t="s">
        <v>3987</v>
      </c>
    </row>
    <row r="3899" spans="1:6" x14ac:dyDescent="0.25">
      <c r="A3899" t="s">
        <v>4034</v>
      </c>
      <c r="B3899" t="s">
        <v>3988</v>
      </c>
      <c r="C3899" t="s">
        <v>3989</v>
      </c>
      <c r="D3899" t="str">
        <f>HYPERLINK("http://service.sap.com/sap/support/notes/1581520","1581520")</f>
        <v>1581520</v>
      </c>
      <c r="E3899">
        <v>2</v>
      </c>
      <c r="F3899" t="s">
        <v>3990</v>
      </c>
    </row>
    <row r="3900" spans="1:6" x14ac:dyDescent="0.25">
      <c r="A3900" t="s">
        <v>4034</v>
      </c>
      <c r="B3900" t="s">
        <v>1342</v>
      </c>
      <c r="C3900" t="s">
        <v>1343</v>
      </c>
      <c r="D3900" t="str">
        <f>HYPERLINK("http://service.sap.com/sap/support/notes/1536481","1536481")</f>
        <v>1536481</v>
      </c>
      <c r="E3900">
        <v>1</v>
      </c>
      <c r="F3900" t="s">
        <v>3991</v>
      </c>
    </row>
    <row r="3901" spans="1:6" x14ac:dyDescent="0.25">
      <c r="A3901" t="s">
        <v>4034</v>
      </c>
      <c r="B3901" t="s">
        <v>1342</v>
      </c>
      <c r="C3901" t="s">
        <v>1343</v>
      </c>
      <c r="D3901" t="str">
        <f>HYPERLINK("http://service.sap.com/sap/support/notes/1583076","1583076")</f>
        <v>1583076</v>
      </c>
      <c r="E3901">
        <v>1</v>
      </c>
      <c r="F3901" t="s">
        <v>3992</v>
      </c>
    </row>
    <row r="3902" spans="1:6" x14ac:dyDescent="0.25">
      <c r="A3902" t="s">
        <v>4034</v>
      </c>
      <c r="B3902" t="s">
        <v>1349</v>
      </c>
      <c r="C3902" t="s">
        <v>1350</v>
      </c>
      <c r="D3902" t="str">
        <f>HYPERLINK("http://service.sap.com/sap/support/notes/1543887","1543887")</f>
        <v>1543887</v>
      </c>
      <c r="E3902">
        <v>4</v>
      </c>
      <c r="F3902" t="s">
        <v>3993</v>
      </c>
    </row>
    <row r="3903" spans="1:6" x14ac:dyDescent="0.25">
      <c r="A3903" t="s">
        <v>4034</v>
      </c>
      <c r="B3903" t="s">
        <v>1352</v>
      </c>
      <c r="C3903" t="s">
        <v>1218</v>
      </c>
      <c r="D3903" t="str">
        <f>HYPERLINK("http://service.sap.com/sap/support/notes/1591557","1591557")</f>
        <v>1591557</v>
      </c>
      <c r="E3903">
        <v>1</v>
      </c>
      <c r="F3903" t="s">
        <v>3994</v>
      </c>
    </row>
    <row r="3904" spans="1:6" x14ac:dyDescent="0.25">
      <c r="A3904" t="s">
        <v>4034</v>
      </c>
      <c r="B3904" t="s">
        <v>1361</v>
      </c>
      <c r="C3904" t="s">
        <v>1362</v>
      </c>
      <c r="D3904" t="str">
        <f>HYPERLINK("http://service.sap.com/sap/support/notes/1535465","1535465")</f>
        <v>1535465</v>
      </c>
      <c r="E3904">
        <v>1</v>
      </c>
      <c r="F3904" t="s">
        <v>3995</v>
      </c>
    </row>
    <row r="3905" spans="1:6" x14ac:dyDescent="0.25">
      <c r="A3905" t="s">
        <v>4034</v>
      </c>
      <c r="B3905" t="s">
        <v>1361</v>
      </c>
      <c r="C3905" t="s">
        <v>1362</v>
      </c>
      <c r="D3905" t="str">
        <f>HYPERLINK("http://service.sap.com/sap/support/notes/1546145","1546145")</f>
        <v>1546145</v>
      </c>
      <c r="E3905">
        <v>1</v>
      </c>
      <c r="F3905" t="s">
        <v>3996</v>
      </c>
    </row>
    <row r="3906" spans="1:6" x14ac:dyDescent="0.25">
      <c r="A3906" t="s">
        <v>4034</v>
      </c>
      <c r="B3906" t="s">
        <v>1368</v>
      </c>
      <c r="C3906" t="s">
        <v>1369</v>
      </c>
      <c r="D3906" t="str">
        <f>HYPERLINK("http://service.sap.com/sap/support/notes/1532930","1532930")</f>
        <v>1532930</v>
      </c>
      <c r="E3906">
        <v>2</v>
      </c>
      <c r="F3906" t="s">
        <v>3997</v>
      </c>
    </row>
    <row r="3907" spans="1:6" x14ac:dyDescent="0.25">
      <c r="A3907" t="s">
        <v>4034</v>
      </c>
      <c r="B3907" t="s">
        <v>1368</v>
      </c>
      <c r="C3907" t="s">
        <v>1369</v>
      </c>
      <c r="D3907" t="str">
        <f>HYPERLINK("http://service.sap.com/sap/support/notes/1534731","1534731")</f>
        <v>1534731</v>
      </c>
      <c r="E3907">
        <v>2</v>
      </c>
      <c r="F3907" t="s">
        <v>3998</v>
      </c>
    </row>
    <row r="3908" spans="1:6" x14ac:dyDescent="0.25">
      <c r="A3908" t="s">
        <v>4034</v>
      </c>
      <c r="B3908" t="s">
        <v>1368</v>
      </c>
      <c r="C3908" t="s">
        <v>1369</v>
      </c>
      <c r="D3908" t="str">
        <f>HYPERLINK("http://service.sap.com/sap/support/notes/1560242","1560242")</f>
        <v>1560242</v>
      </c>
      <c r="E3908">
        <v>5</v>
      </c>
      <c r="F3908" t="s">
        <v>3999</v>
      </c>
    </row>
    <row r="3909" spans="1:6" x14ac:dyDescent="0.25">
      <c r="A3909" t="s">
        <v>4034</v>
      </c>
      <c r="B3909" t="s">
        <v>1368</v>
      </c>
      <c r="C3909" t="s">
        <v>1369</v>
      </c>
      <c r="D3909" t="str">
        <f>HYPERLINK("http://service.sap.com/sap/support/notes/1569743","1569743")</f>
        <v>1569743</v>
      </c>
      <c r="E3909">
        <v>4</v>
      </c>
      <c r="F3909" t="s">
        <v>4000</v>
      </c>
    </row>
    <row r="3910" spans="1:6" x14ac:dyDescent="0.25">
      <c r="A3910" t="s">
        <v>4034</v>
      </c>
      <c r="B3910" t="s">
        <v>1380</v>
      </c>
      <c r="C3910" t="s">
        <v>1381</v>
      </c>
      <c r="D3910" t="str">
        <f>HYPERLINK("http://service.sap.com/sap/support/notes/1537967","1537967")</f>
        <v>1537967</v>
      </c>
      <c r="E3910">
        <v>1</v>
      </c>
      <c r="F3910" t="s">
        <v>4001</v>
      </c>
    </row>
    <row r="3911" spans="1:6" x14ac:dyDescent="0.25">
      <c r="A3911" t="s">
        <v>4034</v>
      </c>
      <c r="B3911" t="s">
        <v>1380</v>
      </c>
      <c r="C3911" t="s">
        <v>1381</v>
      </c>
      <c r="D3911" t="str">
        <f>HYPERLINK("http://service.sap.com/sap/support/notes/1547366","1547366")</f>
        <v>1547366</v>
      </c>
      <c r="E3911">
        <v>1</v>
      </c>
      <c r="F3911" t="s">
        <v>4002</v>
      </c>
    </row>
    <row r="3912" spans="1:6" x14ac:dyDescent="0.25">
      <c r="A3912" t="s">
        <v>4034</v>
      </c>
      <c r="B3912" t="s">
        <v>1380</v>
      </c>
      <c r="C3912" t="s">
        <v>1381</v>
      </c>
      <c r="D3912" t="str">
        <f>HYPERLINK("http://service.sap.com/sap/support/notes/1548850","1548850")</f>
        <v>1548850</v>
      </c>
      <c r="E3912">
        <v>1</v>
      </c>
      <c r="F3912" t="s">
        <v>4003</v>
      </c>
    </row>
    <row r="3913" spans="1:6" x14ac:dyDescent="0.25">
      <c r="A3913" t="s">
        <v>4034</v>
      </c>
      <c r="B3913" t="s">
        <v>1380</v>
      </c>
      <c r="C3913" t="s">
        <v>1381</v>
      </c>
      <c r="D3913" t="str">
        <f>HYPERLINK("http://service.sap.com/sap/support/notes/1549075","1549075")</f>
        <v>1549075</v>
      </c>
      <c r="E3913">
        <v>2</v>
      </c>
      <c r="F3913" t="s">
        <v>4004</v>
      </c>
    </row>
    <row r="3914" spans="1:6" x14ac:dyDescent="0.25">
      <c r="A3914" t="s">
        <v>4034</v>
      </c>
      <c r="B3914" t="s">
        <v>1380</v>
      </c>
      <c r="C3914" t="s">
        <v>1381</v>
      </c>
      <c r="D3914" t="str">
        <f>HYPERLINK("http://service.sap.com/sap/support/notes/1557847","1557847")</f>
        <v>1557847</v>
      </c>
      <c r="E3914">
        <v>2</v>
      </c>
      <c r="F3914" t="s">
        <v>4005</v>
      </c>
    </row>
    <row r="3915" spans="1:6" x14ac:dyDescent="0.25">
      <c r="A3915" t="s">
        <v>4034</v>
      </c>
      <c r="B3915" t="s">
        <v>1380</v>
      </c>
      <c r="C3915" t="s">
        <v>1381</v>
      </c>
      <c r="D3915" t="str">
        <f>HYPERLINK("http://service.sap.com/sap/support/notes/1559637","1559637")</f>
        <v>1559637</v>
      </c>
      <c r="E3915">
        <v>1</v>
      </c>
      <c r="F3915" t="s">
        <v>4006</v>
      </c>
    </row>
    <row r="3916" spans="1:6" x14ac:dyDescent="0.25">
      <c r="A3916" t="s">
        <v>4034</v>
      </c>
      <c r="B3916" t="s">
        <v>1380</v>
      </c>
      <c r="C3916" t="s">
        <v>1381</v>
      </c>
      <c r="D3916" t="str">
        <f>HYPERLINK("http://service.sap.com/sap/support/notes/1581215","1581215")</f>
        <v>1581215</v>
      </c>
      <c r="E3916">
        <v>3</v>
      </c>
      <c r="F3916" t="s">
        <v>4007</v>
      </c>
    </row>
    <row r="3917" spans="1:6" x14ac:dyDescent="0.25">
      <c r="A3917" t="s">
        <v>4034</v>
      </c>
      <c r="B3917" t="s">
        <v>1380</v>
      </c>
      <c r="C3917" t="s">
        <v>1381</v>
      </c>
      <c r="D3917" t="str">
        <f>HYPERLINK("http://service.sap.com/sap/support/notes/1582413","1582413")</f>
        <v>1582413</v>
      </c>
      <c r="E3917">
        <v>1</v>
      </c>
      <c r="F3917" t="s">
        <v>4008</v>
      </c>
    </row>
    <row r="3918" spans="1:6" x14ac:dyDescent="0.25">
      <c r="A3918" t="s">
        <v>4034</v>
      </c>
      <c r="B3918" t="s">
        <v>1380</v>
      </c>
      <c r="C3918" t="s">
        <v>1381</v>
      </c>
      <c r="D3918" t="str">
        <f>HYPERLINK("http://service.sap.com/sap/support/notes/1584249","1584249")</f>
        <v>1584249</v>
      </c>
      <c r="E3918">
        <v>2</v>
      </c>
      <c r="F3918" t="s">
        <v>4009</v>
      </c>
    </row>
    <row r="3919" spans="1:6" x14ac:dyDescent="0.25">
      <c r="A3919" t="s">
        <v>4034</v>
      </c>
      <c r="B3919" t="s">
        <v>1380</v>
      </c>
      <c r="C3919" t="s">
        <v>1381</v>
      </c>
      <c r="D3919" t="str">
        <f>HYPERLINK("http://service.sap.com/sap/support/notes/1585525","1585525")</f>
        <v>1585525</v>
      </c>
      <c r="E3919">
        <v>1</v>
      </c>
      <c r="F3919" t="s">
        <v>4010</v>
      </c>
    </row>
    <row r="3920" spans="1:6" x14ac:dyDescent="0.25">
      <c r="A3920" t="s">
        <v>4034</v>
      </c>
      <c r="B3920" t="s">
        <v>1380</v>
      </c>
      <c r="C3920" t="s">
        <v>1381</v>
      </c>
      <c r="D3920" t="str">
        <f>HYPERLINK("http://service.sap.com/sap/support/notes/1585955","1585955")</f>
        <v>1585955</v>
      </c>
      <c r="E3920">
        <v>1</v>
      </c>
      <c r="F3920" t="s">
        <v>4011</v>
      </c>
    </row>
    <row r="3921" spans="1:6" x14ac:dyDescent="0.25">
      <c r="A3921" t="s">
        <v>4034</v>
      </c>
      <c r="B3921" t="s">
        <v>1380</v>
      </c>
      <c r="C3921" t="s">
        <v>1381</v>
      </c>
      <c r="D3921" t="str">
        <f>HYPERLINK("http://service.sap.com/sap/support/notes/1590055","1590055")</f>
        <v>1590055</v>
      </c>
      <c r="E3921">
        <v>1</v>
      </c>
      <c r="F3921" t="s">
        <v>4012</v>
      </c>
    </row>
    <row r="3922" spans="1:6" x14ac:dyDescent="0.25">
      <c r="A3922" t="s">
        <v>4034</v>
      </c>
      <c r="B3922" t="s">
        <v>1380</v>
      </c>
      <c r="C3922" t="s">
        <v>1381</v>
      </c>
      <c r="D3922" t="str">
        <f>HYPERLINK("http://service.sap.com/sap/support/notes/1591871","1591871")</f>
        <v>1591871</v>
      </c>
      <c r="E3922">
        <v>1</v>
      </c>
      <c r="F3922" t="s">
        <v>4013</v>
      </c>
    </row>
    <row r="3923" spans="1:6" x14ac:dyDescent="0.25">
      <c r="A3923" t="s">
        <v>4034</v>
      </c>
      <c r="B3923" t="s">
        <v>1394</v>
      </c>
      <c r="C3923" t="s">
        <v>1395</v>
      </c>
      <c r="D3923" t="str">
        <f>HYPERLINK("http://service.sap.com/sap/support/notes/1546487","1546487")</f>
        <v>1546487</v>
      </c>
      <c r="E3923">
        <v>2</v>
      </c>
      <c r="F3923" t="s">
        <v>4014</v>
      </c>
    </row>
    <row r="3924" spans="1:6" x14ac:dyDescent="0.25">
      <c r="A3924" t="s">
        <v>4034</v>
      </c>
      <c r="B3924" t="s">
        <v>1394</v>
      </c>
      <c r="C3924" t="s">
        <v>1395</v>
      </c>
      <c r="D3924" t="str">
        <f>HYPERLINK("http://service.sap.com/sap/support/notes/1558768","1558768")</f>
        <v>1558768</v>
      </c>
      <c r="E3924">
        <v>2</v>
      </c>
      <c r="F3924" t="s">
        <v>4015</v>
      </c>
    </row>
    <row r="3925" spans="1:6" x14ac:dyDescent="0.25">
      <c r="A3925" t="s">
        <v>4034</v>
      </c>
      <c r="B3925" t="s">
        <v>1394</v>
      </c>
      <c r="C3925" t="s">
        <v>1395</v>
      </c>
      <c r="D3925" t="str">
        <f>HYPERLINK("http://service.sap.com/sap/support/notes/1559749","1559749")</f>
        <v>1559749</v>
      </c>
      <c r="E3925">
        <v>1</v>
      </c>
      <c r="F3925" t="s">
        <v>4016</v>
      </c>
    </row>
    <row r="3926" spans="1:6" x14ac:dyDescent="0.25">
      <c r="A3926" t="s">
        <v>4034</v>
      </c>
      <c r="B3926" t="s">
        <v>1394</v>
      </c>
      <c r="C3926" t="s">
        <v>1395</v>
      </c>
      <c r="D3926" t="str">
        <f>HYPERLINK("http://service.sap.com/sap/support/notes/1571371","1571371")</f>
        <v>1571371</v>
      </c>
      <c r="E3926">
        <v>1</v>
      </c>
      <c r="F3926" t="s">
        <v>4017</v>
      </c>
    </row>
    <row r="3927" spans="1:6" x14ac:dyDescent="0.25">
      <c r="A3927" t="s">
        <v>4034</v>
      </c>
      <c r="B3927" t="s">
        <v>1394</v>
      </c>
      <c r="C3927" t="s">
        <v>1395</v>
      </c>
      <c r="D3927" t="str">
        <f>HYPERLINK("http://service.sap.com/sap/support/notes/1578730","1578730")</f>
        <v>1578730</v>
      </c>
      <c r="E3927">
        <v>1</v>
      </c>
      <c r="F3927" t="s">
        <v>4018</v>
      </c>
    </row>
    <row r="3928" spans="1:6" x14ac:dyDescent="0.25">
      <c r="A3928" t="s">
        <v>4034</v>
      </c>
      <c r="B3928" t="s">
        <v>534</v>
      </c>
      <c r="C3928" t="s">
        <v>535</v>
      </c>
      <c r="D3928" t="str">
        <f>HYPERLINK("http://service.sap.com/sap/support/notes/1566313","1566313")</f>
        <v>1566313</v>
      </c>
      <c r="E3928">
        <v>2</v>
      </c>
      <c r="F3928" t="s">
        <v>4019</v>
      </c>
    </row>
    <row r="3929" spans="1:6" x14ac:dyDescent="0.25">
      <c r="A3929" t="s">
        <v>4034</v>
      </c>
      <c r="B3929" t="s">
        <v>534</v>
      </c>
      <c r="C3929" t="s">
        <v>535</v>
      </c>
      <c r="D3929" t="str">
        <f>HYPERLINK("http://service.sap.com/sap/support/notes/1570314","1570314")</f>
        <v>1570314</v>
      </c>
      <c r="E3929">
        <v>1</v>
      </c>
      <c r="F3929" t="s">
        <v>4020</v>
      </c>
    </row>
    <row r="3930" spans="1:6" x14ac:dyDescent="0.25">
      <c r="A3930" t="s">
        <v>4034</v>
      </c>
      <c r="B3930" t="s">
        <v>534</v>
      </c>
      <c r="C3930" t="s">
        <v>535</v>
      </c>
      <c r="D3930" t="str">
        <f>HYPERLINK("http://service.sap.com/sap/support/notes/1574624","1574624")</f>
        <v>1574624</v>
      </c>
      <c r="E3930">
        <v>3</v>
      </c>
      <c r="F3930" t="s">
        <v>4021</v>
      </c>
    </row>
    <row r="3931" spans="1:6" x14ac:dyDescent="0.25">
      <c r="A3931" t="s">
        <v>4034</v>
      </c>
      <c r="B3931" t="s">
        <v>534</v>
      </c>
      <c r="C3931" t="s">
        <v>535</v>
      </c>
      <c r="D3931" t="str">
        <f>HYPERLINK("http://service.sap.com/sap/support/notes/1577389","1577389")</f>
        <v>1577389</v>
      </c>
      <c r="E3931">
        <v>1</v>
      </c>
      <c r="F3931" t="s">
        <v>4022</v>
      </c>
    </row>
    <row r="3932" spans="1:6" x14ac:dyDescent="0.25">
      <c r="A3932" t="s">
        <v>4034</v>
      </c>
      <c r="B3932" t="s">
        <v>534</v>
      </c>
      <c r="C3932" t="s">
        <v>535</v>
      </c>
      <c r="D3932" t="str">
        <f>HYPERLINK("http://service.sap.com/sap/support/notes/1581909","1581909")</f>
        <v>1581909</v>
      </c>
      <c r="E3932">
        <v>2</v>
      </c>
      <c r="F3932" t="s">
        <v>4023</v>
      </c>
    </row>
    <row r="3933" spans="1:6" x14ac:dyDescent="0.25">
      <c r="A3933" t="s">
        <v>4034</v>
      </c>
      <c r="B3933" t="s">
        <v>4024</v>
      </c>
    </row>
    <row r="3934" spans="1:6" x14ac:dyDescent="0.25">
      <c r="A3934" t="s">
        <v>4034</v>
      </c>
      <c r="B3934" t="s">
        <v>4025</v>
      </c>
    </row>
    <row r="3935" spans="1:6" x14ac:dyDescent="0.25">
      <c r="A3935" t="s">
        <v>4034</v>
      </c>
      <c r="B3935" t="s">
        <v>4026</v>
      </c>
    </row>
    <row r="3936" spans="1:6" x14ac:dyDescent="0.25">
      <c r="A3936" t="s">
        <v>4034</v>
      </c>
      <c r="B3936" t="s">
        <v>4027</v>
      </c>
      <c r="C3936" t="s">
        <v>108</v>
      </c>
      <c r="D3936" t="str">
        <f>HYPERLINK("http://service.sap.com/sap/support/notes/1581870","1581870")</f>
        <v>1581870</v>
      </c>
      <c r="E3936">
        <v>1</v>
      </c>
      <c r="F3936" t="s">
        <v>4028</v>
      </c>
    </row>
    <row r="3937" spans="1:6" x14ac:dyDescent="0.25">
      <c r="A3937" t="s">
        <v>4034</v>
      </c>
      <c r="B3937" t="s">
        <v>543</v>
      </c>
    </row>
    <row r="3938" spans="1:6" x14ac:dyDescent="0.25">
      <c r="A3938" t="s">
        <v>4034</v>
      </c>
      <c r="B3938" t="s">
        <v>545</v>
      </c>
    </row>
    <row r="3939" spans="1:6" x14ac:dyDescent="0.25">
      <c r="A3939" t="s">
        <v>4034</v>
      </c>
      <c r="B3939" t="s">
        <v>547</v>
      </c>
    </row>
    <row r="3940" spans="1:6" x14ac:dyDescent="0.25">
      <c r="A3940" t="s">
        <v>4034</v>
      </c>
      <c r="B3940" t="s">
        <v>549</v>
      </c>
      <c r="C3940" t="s">
        <v>550</v>
      </c>
      <c r="D3940" t="str">
        <f>HYPERLINK("http://service.sap.com/sap/support/notes/1509804","1509804")</f>
        <v>1509804</v>
      </c>
      <c r="E3940">
        <v>1</v>
      </c>
      <c r="F3940" t="s">
        <v>551</v>
      </c>
    </row>
    <row r="3941" spans="1:6" x14ac:dyDescent="0.25">
      <c r="A3941" t="s">
        <v>4034</v>
      </c>
      <c r="B3941" t="s">
        <v>2560</v>
      </c>
    </row>
    <row r="3942" spans="1:6" x14ac:dyDescent="0.25">
      <c r="A3942" t="s">
        <v>4034</v>
      </c>
      <c r="B3942" t="s">
        <v>4029</v>
      </c>
      <c r="C3942" t="s">
        <v>4030</v>
      </c>
      <c r="D3942" t="str">
        <f>HYPERLINK("http://service.sap.com/sap/support/notes/1547890","1547890")</f>
        <v>1547890</v>
      </c>
      <c r="E3942">
        <v>3</v>
      </c>
      <c r="F3942" t="s">
        <v>4031</v>
      </c>
    </row>
    <row r="3943" spans="1:6" x14ac:dyDescent="0.25">
      <c r="A3943" t="s">
        <v>4034</v>
      </c>
      <c r="B3943" t="s">
        <v>2562</v>
      </c>
      <c r="C3943" t="s">
        <v>4032</v>
      </c>
      <c r="D3943" t="str">
        <f>HYPERLINK("http://service.sap.com/sap/support/notes/1526690","1526690")</f>
        <v>1526690</v>
      </c>
      <c r="E3943">
        <v>2</v>
      </c>
      <c r="F3943" t="s">
        <v>4033</v>
      </c>
    </row>
    <row r="3944" spans="1:6" x14ac:dyDescent="0.25">
      <c r="A3944" t="s">
        <v>4782</v>
      </c>
      <c r="B3944" t="s">
        <v>5</v>
      </c>
      <c r="C3944" t="s">
        <v>6</v>
      </c>
    </row>
    <row r="3945" spans="1:6" x14ac:dyDescent="0.25">
      <c r="A3945" t="s">
        <v>4782</v>
      </c>
      <c r="B3945" t="s">
        <v>7</v>
      </c>
      <c r="C3945" t="s">
        <v>8</v>
      </c>
    </row>
    <row r="3946" spans="1:6" x14ac:dyDescent="0.25">
      <c r="A3946" t="s">
        <v>4782</v>
      </c>
      <c r="B3946" t="s">
        <v>17</v>
      </c>
      <c r="C3946" t="s">
        <v>18</v>
      </c>
      <c r="D3946" t="str">
        <f>HYPERLINK("http://service.sap.com/sap/support/notes/1595648","1595648")</f>
        <v>1595648</v>
      </c>
      <c r="E3946">
        <v>1</v>
      </c>
      <c r="F3946" t="s">
        <v>4470</v>
      </c>
    </row>
    <row r="3947" spans="1:6" x14ac:dyDescent="0.25">
      <c r="A3947" t="s">
        <v>4782</v>
      </c>
      <c r="B3947" t="s">
        <v>585</v>
      </c>
      <c r="C3947" t="s">
        <v>1443</v>
      </c>
    </row>
    <row r="3948" spans="1:6" x14ac:dyDescent="0.25">
      <c r="A3948" t="s">
        <v>4782</v>
      </c>
      <c r="B3948" t="s">
        <v>586</v>
      </c>
      <c r="C3948" t="s">
        <v>1444</v>
      </c>
    </row>
    <row r="3949" spans="1:6" x14ac:dyDescent="0.25">
      <c r="A3949" t="s">
        <v>4782</v>
      </c>
      <c r="B3949" t="s">
        <v>587</v>
      </c>
      <c r="C3949" t="s">
        <v>1445</v>
      </c>
    </row>
    <row r="3950" spans="1:6" x14ac:dyDescent="0.25">
      <c r="A3950" t="s">
        <v>4782</v>
      </c>
      <c r="B3950" t="s">
        <v>588</v>
      </c>
      <c r="C3950" t="s">
        <v>1446</v>
      </c>
      <c r="D3950" t="str">
        <f>HYPERLINK("http://service.sap.com/sap/support/notes/1595281","1595281")</f>
        <v>1595281</v>
      </c>
      <c r="E3950">
        <v>1</v>
      </c>
      <c r="F3950" t="s">
        <v>4471</v>
      </c>
    </row>
    <row r="3951" spans="1:6" x14ac:dyDescent="0.25">
      <c r="A3951" t="s">
        <v>4782</v>
      </c>
      <c r="B3951" t="s">
        <v>27</v>
      </c>
      <c r="C3951" t="s">
        <v>13</v>
      </c>
    </row>
    <row r="3952" spans="1:6" x14ac:dyDescent="0.25">
      <c r="A3952" t="s">
        <v>4782</v>
      </c>
      <c r="B3952" t="s">
        <v>38</v>
      </c>
      <c r="C3952" t="s">
        <v>39</v>
      </c>
    </row>
    <row r="3953" spans="1:6" x14ac:dyDescent="0.25">
      <c r="A3953" t="s">
        <v>4782</v>
      </c>
      <c r="B3953" t="s">
        <v>40</v>
      </c>
      <c r="C3953" t="s">
        <v>41</v>
      </c>
      <c r="D3953" t="str">
        <f>HYPERLINK("http://service.sap.com/sap/support/notes/1597828","1597828")</f>
        <v>1597828</v>
      </c>
      <c r="E3953">
        <v>2</v>
      </c>
      <c r="F3953" t="s">
        <v>4472</v>
      </c>
    </row>
    <row r="3954" spans="1:6" x14ac:dyDescent="0.25">
      <c r="A3954" t="s">
        <v>4782</v>
      </c>
      <c r="B3954" t="s">
        <v>40</v>
      </c>
      <c r="C3954" t="s">
        <v>41</v>
      </c>
      <c r="D3954" t="str">
        <f>HYPERLINK("http://service.sap.com/sap/support/notes/1601320","1601320")</f>
        <v>1601320</v>
      </c>
      <c r="E3954">
        <v>1</v>
      </c>
      <c r="F3954" t="s">
        <v>4473</v>
      </c>
    </row>
    <row r="3955" spans="1:6" x14ac:dyDescent="0.25">
      <c r="A3955" t="s">
        <v>4782</v>
      </c>
      <c r="B3955" t="s">
        <v>44</v>
      </c>
      <c r="C3955" t="s">
        <v>45</v>
      </c>
      <c r="D3955" t="str">
        <f>HYPERLINK("http://service.sap.com/sap/support/notes/1562054","1562054")</f>
        <v>1562054</v>
      </c>
      <c r="E3955">
        <v>2</v>
      </c>
      <c r="F3955" t="s">
        <v>3425</v>
      </c>
    </row>
    <row r="3956" spans="1:6" x14ac:dyDescent="0.25">
      <c r="A3956" t="s">
        <v>4782</v>
      </c>
      <c r="B3956" t="s">
        <v>44</v>
      </c>
      <c r="C3956" t="s">
        <v>45</v>
      </c>
      <c r="D3956" t="str">
        <f>HYPERLINK("http://service.sap.com/sap/support/notes/1591212","1591212")</f>
        <v>1591212</v>
      </c>
      <c r="E3956">
        <v>1</v>
      </c>
      <c r="F3956" t="s">
        <v>4116</v>
      </c>
    </row>
    <row r="3957" spans="1:6" x14ac:dyDescent="0.25">
      <c r="A3957" t="s">
        <v>4782</v>
      </c>
      <c r="B3957" t="s">
        <v>44</v>
      </c>
      <c r="C3957" t="s">
        <v>45</v>
      </c>
      <c r="D3957" t="str">
        <f>HYPERLINK("http://service.sap.com/sap/support/notes/1593569","1593569")</f>
        <v>1593569</v>
      </c>
      <c r="E3957">
        <v>1</v>
      </c>
      <c r="F3957" t="s">
        <v>4474</v>
      </c>
    </row>
    <row r="3958" spans="1:6" x14ac:dyDescent="0.25">
      <c r="A3958" t="s">
        <v>4782</v>
      </c>
      <c r="B3958" t="s">
        <v>44</v>
      </c>
      <c r="C3958" t="s">
        <v>45</v>
      </c>
      <c r="D3958" t="str">
        <f>HYPERLINK("http://service.sap.com/sap/support/notes/1595235","1595235")</f>
        <v>1595235</v>
      </c>
      <c r="E3958">
        <v>1</v>
      </c>
      <c r="F3958" t="s">
        <v>4475</v>
      </c>
    </row>
    <row r="3959" spans="1:6" x14ac:dyDescent="0.25">
      <c r="A3959" t="s">
        <v>4782</v>
      </c>
      <c r="B3959" t="s">
        <v>44</v>
      </c>
      <c r="C3959" t="s">
        <v>45</v>
      </c>
      <c r="D3959" t="str">
        <f>HYPERLINK("http://service.sap.com/sap/support/notes/1598204","1598204")</f>
        <v>1598204</v>
      </c>
      <c r="E3959">
        <v>2</v>
      </c>
      <c r="F3959" t="s">
        <v>4476</v>
      </c>
    </row>
    <row r="3960" spans="1:6" x14ac:dyDescent="0.25">
      <c r="A3960" t="s">
        <v>4782</v>
      </c>
      <c r="B3960" t="s">
        <v>48</v>
      </c>
      <c r="C3960" t="s">
        <v>49</v>
      </c>
      <c r="D3960" t="str">
        <f>HYPERLINK("http://service.sap.com/sap/support/notes/1595624","1595624")</f>
        <v>1595624</v>
      </c>
      <c r="E3960">
        <v>1</v>
      </c>
      <c r="F3960" t="s">
        <v>4477</v>
      </c>
    </row>
    <row r="3961" spans="1:6" x14ac:dyDescent="0.25">
      <c r="A3961" t="s">
        <v>4782</v>
      </c>
      <c r="B3961" t="s">
        <v>48</v>
      </c>
      <c r="C3961" t="s">
        <v>49</v>
      </c>
      <c r="D3961" t="str">
        <f>HYPERLINK("http://service.sap.com/sap/support/notes/1596748","1596748")</f>
        <v>1596748</v>
      </c>
      <c r="E3961">
        <v>2</v>
      </c>
      <c r="F3961" t="s">
        <v>4478</v>
      </c>
    </row>
    <row r="3962" spans="1:6" x14ac:dyDescent="0.25">
      <c r="A3962" t="s">
        <v>4782</v>
      </c>
      <c r="B3962" t="s">
        <v>51</v>
      </c>
      <c r="C3962" t="s">
        <v>52</v>
      </c>
      <c r="D3962" t="str">
        <f>HYPERLINK("http://service.sap.com/sap/support/notes/1593259","1593259")</f>
        <v>1593259</v>
      </c>
      <c r="E3962">
        <v>2</v>
      </c>
      <c r="F3962" t="s">
        <v>4479</v>
      </c>
    </row>
    <row r="3963" spans="1:6" x14ac:dyDescent="0.25">
      <c r="A3963" t="s">
        <v>4782</v>
      </c>
      <c r="B3963" t="s">
        <v>51</v>
      </c>
      <c r="C3963" t="s">
        <v>52</v>
      </c>
      <c r="D3963" t="str">
        <f>HYPERLINK("http://service.sap.com/sap/support/notes/1593568","1593568")</f>
        <v>1593568</v>
      </c>
      <c r="E3963">
        <v>1</v>
      </c>
      <c r="F3963" t="s">
        <v>4480</v>
      </c>
    </row>
    <row r="3964" spans="1:6" x14ac:dyDescent="0.25">
      <c r="A3964" t="s">
        <v>4782</v>
      </c>
      <c r="B3964" t="s">
        <v>57</v>
      </c>
      <c r="C3964" t="s">
        <v>58</v>
      </c>
    </row>
    <row r="3965" spans="1:6" x14ac:dyDescent="0.25">
      <c r="A3965" t="s">
        <v>4782</v>
      </c>
      <c r="B3965" t="s">
        <v>59</v>
      </c>
      <c r="C3965" t="s">
        <v>60</v>
      </c>
      <c r="D3965" t="str">
        <f>HYPERLINK("http://service.sap.com/sap/support/notes/1580054","1580054")</f>
        <v>1580054</v>
      </c>
      <c r="E3965">
        <v>4</v>
      </c>
      <c r="F3965" t="s">
        <v>4481</v>
      </c>
    </row>
    <row r="3966" spans="1:6" x14ac:dyDescent="0.25">
      <c r="A3966" t="s">
        <v>4782</v>
      </c>
      <c r="B3966" t="s">
        <v>59</v>
      </c>
      <c r="C3966" t="s">
        <v>60</v>
      </c>
      <c r="D3966" t="str">
        <f>HYPERLINK("http://service.sap.com/sap/support/notes/1580798","1580798")</f>
        <v>1580798</v>
      </c>
      <c r="E3966">
        <v>1</v>
      </c>
      <c r="F3966" t="s">
        <v>4118</v>
      </c>
    </row>
    <row r="3967" spans="1:6" x14ac:dyDescent="0.25">
      <c r="A3967" t="s">
        <v>4782</v>
      </c>
      <c r="B3967" t="s">
        <v>59</v>
      </c>
      <c r="C3967" t="s">
        <v>60</v>
      </c>
      <c r="D3967" t="str">
        <f>HYPERLINK("http://service.sap.com/sap/support/notes/1584276","1584276")</f>
        <v>1584276</v>
      </c>
      <c r="E3967">
        <v>3</v>
      </c>
      <c r="F3967" t="s">
        <v>4482</v>
      </c>
    </row>
    <row r="3968" spans="1:6" x14ac:dyDescent="0.25">
      <c r="A3968" t="s">
        <v>4782</v>
      </c>
      <c r="B3968" t="s">
        <v>73</v>
      </c>
      <c r="C3968" t="s">
        <v>74</v>
      </c>
      <c r="D3968" t="str">
        <f>HYPERLINK("http://service.sap.com/sap/support/notes/1246386","1246386")</f>
        <v>1246386</v>
      </c>
      <c r="E3968">
        <v>1</v>
      </c>
      <c r="F3968" t="s">
        <v>697</v>
      </c>
    </row>
    <row r="3969" spans="1:6" x14ac:dyDescent="0.25">
      <c r="A3969" t="s">
        <v>4782</v>
      </c>
      <c r="B3969" t="s">
        <v>79</v>
      </c>
      <c r="C3969" t="s">
        <v>80</v>
      </c>
      <c r="D3969" t="str">
        <f>HYPERLINK("http://service.sap.com/sap/support/notes/1317045","1317045")</f>
        <v>1317045</v>
      </c>
      <c r="E3969">
        <v>1</v>
      </c>
      <c r="F3969" t="s">
        <v>4483</v>
      </c>
    </row>
    <row r="3970" spans="1:6" x14ac:dyDescent="0.25">
      <c r="A3970" t="s">
        <v>4782</v>
      </c>
      <c r="B3970" t="s">
        <v>79</v>
      </c>
      <c r="C3970" t="s">
        <v>80</v>
      </c>
      <c r="D3970" t="str">
        <f>HYPERLINK("http://service.sap.com/sap/support/notes/1590673","1590673")</f>
        <v>1590673</v>
      </c>
      <c r="E3970">
        <v>2</v>
      </c>
      <c r="F3970" t="s">
        <v>4484</v>
      </c>
    </row>
    <row r="3971" spans="1:6" x14ac:dyDescent="0.25">
      <c r="A3971" t="s">
        <v>4782</v>
      </c>
      <c r="B3971" t="s">
        <v>79</v>
      </c>
      <c r="C3971" t="s">
        <v>80</v>
      </c>
      <c r="D3971" t="str">
        <f>HYPERLINK("http://service.sap.com/sap/support/notes/1593129","1593129")</f>
        <v>1593129</v>
      </c>
      <c r="E3971">
        <v>1</v>
      </c>
      <c r="F3971" t="s">
        <v>4485</v>
      </c>
    </row>
    <row r="3972" spans="1:6" x14ac:dyDescent="0.25">
      <c r="A3972" t="s">
        <v>4782</v>
      </c>
      <c r="B3972" t="s">
        <v>79</v>
      </c>
      <c r="C3972" t="s">
        <v>80</v>
      </c>
      <c r="D3972" t="str">
        <f>HYPERLINK("http://service.sap.com/sap/support/notes/1595329","1595329")</f>
        <v>1595329</v>
      </c>
      <c r="E3972">
        <v>1</v>
      </c>
      <c r="F3972" t="s">
        <v>4486</v>
      </c>
    </row>
    <row r="3973" spans="1:6" x14ac:dyDescent="0.25">
      <c r="A3973" t="s">
        <v>4782</v>
      </c>
      <c r="B3973" t="s">
        <v>79</v>
      </c>
      <c r="C3973" t="s">
        <v>80</v>
      </c>
      <c r="D3973" t="str">
        <f>HYPERLINK("http://service.sap.com/sap/support/notes/1596653","1596653")</f>
        <v>1596653</v>
      </c>
      <c r="E3973">
        <v>3</v>
      </c>
      <c r="F3973" t="s">
        <v>4487</v>
      </c>
    </row>
    <row r="3974" spans="1:6" x14ac:dyDescent="0.25">
      <c r="A3974" t="s">
        <v>4782</v>
      </c>
      <c r="B3974" t="s">
        <v>79</v>
      </c>
      <c r="C3974" t="s">
        <v>80</v>
      </c>
      <c r="D3974" t="str">
        <f>HYPERLINK("http://service.sap.com/sap/support/notes/1598028","1598028")</f>
        <v>1598028</v>
      </c>
      <c r="E3974">
        <v>1</v>
      </c>
      <c r="F3974" t="s">
        <v>4488</v>
      </c>
    </row>
    <row r="3975" spans="1:6" x14ac:dyDescent="0.25">
      <c r="A3975" t="s">
        <v>4782</v>
      </c>
      <c r="B3975" t="s">
        <v>79</v>
      </c>
      <c r="C3975" t="s">
        <v>80</v>
      </c>
      <c r="D3975" t="str">
        <f>HYPERLINK("http://service.sap.com/sap/support/notes/1599816","1599816")</f>
        <v>1599816</v>
      </c>
      <c r="E3975">
        <v>1</v>
      </c>
      <c r="F3975" t="s">
        <v>4489</v>
      </c>
    </row>
    <row r="3976" spans="1:6" x14ac:dyDescent="0.25">
      <c r="A3976" t="s">
        <v>4782</v>
      </c>
      <c r="B3976" t="s">
        <v>79</v>
      </c>
      <c r="C3976" t="s">
        <v>80</v>
      </c>
      <c r="D3976" t="str">
        <f>HYPERLINK("http://service.sap.com/sap/support/notes/1600856","1600856")</f>
        <v>1600856</v>
      </c>
      <c r="E3976">
        <v>1</v>
      </c>
      <c r="F3976" t="s">
        <v>4490</v>
      </c>
    </row>
    <row r="3977" spans="1:6" x14ac:dyDescent="0.25">
      <c r="A3977" t="s">
        <v>4782</v>
      </c>
      <c r="B3977" t="s">
        <v>1461</v>
      </c>
      <c r="C3977" t="s">
        <v>441</v>
      </c>
      <c r="D3977" t="str">
        <f>HYPERLINK("http://service.sap.com/sap/support/notes/1591543","1591543")</f>
        <v>1591543</v>
      </c>
      <c r="E3977">
        <v>2</v>
      </c>
      <c r="F3977" t="s">
        <v>4491</v>
      </c>
    </row>
    <row r="3978" spans="1:6" x14ac:dyDescent="0.25">
      <c r="A3978" t="s">
        <v>4782</v>
      </c>
      <c r="B3978" t="s">
        <v>1461</v>
      </c>
      <c r="C3978" t="s">
        <v>441</v>
      </c>
      <c r="D3978" t="str">
        <f>HYPERLINK("http://service.sap.com/sap/support/notes/1596309","1596309")</f>
        <v>1596309</v>
      </c>
      <c r="E3978">
        <v>2</v>
      </c>
      <c r="F3978" t="s">
        <v>4492</v>
      </c>
    </row>
    <row r="3979" spans="1:6" x14ac:dyDescent="0.25">
      <c r="A3979" t="s">
        <v>4782</v>
      </c>
      <c r="B3979" t="s">
        <v>1461</v>
      </c>
      <c r="C3979" t="s">
        <v>441</v>
      </c>
      <c r="D3979" t="str">
        <f>HYPERLINK("http://service.sap.com/sap/support/notes/1597290","1597290")</f>
        <v>1597290</v>
      </c>
      <c r="E3979">
        <v>1</v>
      </c>
      <c r="F3979" t="s">
        <v>4493</v>
      </c>
    </row>
    <row r="3980" spans="1:6" x14ac:dyDescent="0.25">
      <c r="A3980" t="s">
        <v>4782</v>
      </c>
      <c r="B3980" t="s">
        <v>92</v>
      </c>
      <c r="C3980" t="s">
        <v>93</v>
      </c>
      <c r="D3980" t="str">
        <f>HYPERLINK("http://service.sap.com/sap/support/notes/1591680","1591680")</f>
        <v>1591680</v>
      </c>
      <c r="E3980">
        <v>2</v>
      </c>
      <c r="F3980" t="s">
        <v>4120</v>
      </c>
    </row>
    <row r="3981" spans="1:6" x14ac:dyDescent="0.25">
      <c r="A3981" t="s">
        <v>4782</v>
      </c>
      <c r="B3981" t="s">
        <v>92</v>
      </c>
      <c r="C3981" t="s">
        <v>93</v>
      </c>
      <c r="D3981" t="str">
        <f>HYPERLINK("http://service.sap.com/sap/support/notes/1592676","1592676")</f>
        <v>1592676</v>
      </c>
      <c r="E3981">
        <v>1</v>
      </c>
      <c r="F3981" t="s">
        <v>4384</v>
      </c>
    </row>
    <row r="3982" spans="1:6" x14ac:dyDescent="0.25">
      <c r="A3982" t="s">
        <v>4782</v>
      </c>
      <c r="B3982" t="s">
        <v>92</v>
      </c>
      <c r="C3982" t="s">
        <v>93</v>
      </c>
      <c r="D3982" t="str">
        <f>HYPERLINK("http://service.sap.com/sap/support/notes/1593407","1593407")</f>
        <v>1593407</v>
      </c>
      <c r="E3982">
        <v>2</v>
      </c>
      <c r="F3982" t="s">
        <v>4494</v>
      </c>
    </row>
    <row r="3983" spans="1:6" x14ac:dyDescent="0.25">
      <c r="A3983" t="s">
        <v>4782</v>
      </c>
      <c r="B3983" t="s">
        <v>92</v>
      </c>
      <c r="C3983" t="s">
        <v>93</v>
      </c>
      <c r="D3983" t="str">
        <f>HYPERLINK("http://service.sap.com/sap/support/notes/1594248","1594248")</f>
        <v>1594248</v>
      </c>
      <c r="E3983">
        <v>2</v>
      </c>
      <c r="F3983" t="s">
        <v>4495</v>
      </c>
    </row>
    <row r="3984" spans="1:6" x14ac:dyDescent="0.25">
      <c r="A3984" t="s">
        <v>4782</v>
      </c>
      <c r="B3984" t="s">
        <v>92</v>
      </c>
      <c r="C3984" t="s">
        <v>93</v>
      </c>
      <c r="D3984" t="str">
        <f>HYPERLINK("http://service.sap.com/sap/support/notes/1601031","1601031")</f>
        <v>1601031</v>
      </c>
      <c r="E3984">
        <v>3</v>
      </c>
      <c r="F3984" t="s">
        <v>4496</v>
      </c>
    </row>
    <row r="3985" spans="1:6" x14ac:dyDescent="0.25">
      <c r="A3985" t="s">
        <v>4782</v>
      </c>
      <c r="B3985" t="s">
        <v>713</v>
      </c>
      <c r="C3985" t="s">
        <v>480</v>
      </c>
      <c r="D3985" t="str">
        <f>HYPERLINK("http://service.sap.com/sap/support/notes/1592291","1592291")</f>
        <v>1592291</v>
      </c>
      <c r="E3985">
        <v>1</v>
      </c>
      <c r="F3985" t="s">
        <v>4497</v>
      </c>
    </row>
    <row r="3986" spans="1:6" x14ac:dyDescent="0.25">
      <c r="A3986" t="s">
        <v>4782</v>
      </c>
      <c r="B3986" t="s">
        <v>713</v>
      </c>
      <c r="C3986" t="s">
        <v>480</v>
      </c>
      <c r="D3986" t="str">
        <f>HYPERLINK("http://service.sap.com/sap/support/notes/1593671","1593671")</f>
        <v>1593671</v>
      </c>
      <c r="E3986">
        <v>1</v>
      </c>
      <c r="F3986" t="s">
        <v>4498</v>
      </c>
    </row>
    <row r="3987" spans="1:6" x14ac:dyDescent="0.25">
      <c r="A3987" t="s">
        <v>4782</v>
      </c>
      <c r="B3987" t="s">
        <v>713</v>
      </c>
      <c r="C3987" t="s">
        <v>480</v>
      </c>
      <c r="D3987" t="str">
        <f>HYPERLINK("http://service.sap.com/sap/support/notes/1596143","1596143")</f>
        <v>1596143</v>
      </c>
      <c r="E3987">
        <v>1</v>
      </c>
      <c r="F3987" t="s">
        <v>4499</v>
      </c>
    </row>
    <row r="3988" spans="1:6" x14ac:dyDescent="0.25">
      <c r="A3988" t="s">
        <v>4782</v>
      </c>
      <c r="B3988" t="s">
        <v>717</v>
      </c>
      <c r="C3988" t="s">
        <v>496</v>
      </c>
      <c r="D3988" t="str">
        <f>HYPERLINK("http://service.sap.com/sap/support/notes/1586616","1586616")</f>
        <v>1586616</v>
      </c>
      <c r="E3988">
        <v>1</v>
      </c>
      <c r="F3988" t="s">
        <v>4500</v>
      </c>
    </row>
    <row r="3989" spans="1:6" x14ac:dyDescent="0.25">
      <c r="A3989" t="s">
        <v>4782</v>
      </c>
      <c r="B3989" t="s">
        <v>107</v>
      </c>
      <c r="C3989" t="s">
        <v>108</v>
      </c>
      <c r="D3989" t="str">
        <f>HYPERLINK("http://service.sap.com/sap/support/notes/1555555","1555555")</f>
        <v>1555555</v>
      </c>
      <c r="E3989">
        <v>3</v>
      </c>
      <c r="F3989" t="s">
        <v>4123</v>
      </c>
    </row>
    <row r="3990" spans="1:6" x14ac:dyDescent="0.25">
      <c r="A3990" t="s">
        <v>4782</v>
      </c>
      <c r="B3990" t="s">
        <v>107</v>
      </c>
      <c r="C3990" t="s">
        <v>108</v>
      </c>
      <c r="D3990" t="str">
        <f>HYPERLINK("http://service.sap.com/sap/support/notes/1580327","1580327")</f>
        <v>1580327</v>
      </c>
      <c r="E3990">
        <v>1</v>
      </c>
      <c r="F3990" t="s">
        <v>4124</v>
      </c>
    </row>
    <row r="3991" spans="1:6" x14ac:dyDescent="0.25">
      <c r="A3991" t="s">
        <v>4782</v>
      </c>
      <c r="B3991" t="s">
        <v>118</v>
      </c>
      <c r="C3991" t="s">
        <v>119</v>
      </c>
    </row>
    <row r="3992" spans="1:6" x14ac:dyDescent="0.25">
      <c r="A3992" t="s">
        <v>4782</v>
      </c>
      <c r="B3992" t="s">
        <v>123</v>
      </c>
      <c r="C3992" t="s">
        <v>124</v>
      </c>
      <c r="D3992" t="str">
        <f>HYPERLINK("http://service.sap.com/sap/support/notes/1556451","1556451")</f>
        <v>1556451</v>
      </c>
      <c r="E3992">
        <v>1</v>
      </c>
      <c r="F3992" t="s">
        <v>4501</v>
      </c>
    </row>
    <row r="3993" spans="1:6" x14ac:dyDescent="0.25">
      <c r="A3993" t="s">
        <v>4782</v>
      </c>
      <c r="B3993" t="s">
        <v>123</v>
      </c>
      <c r="C3993" t="s">
        <v>124</v>
      </c>
      <c r="D3993" t="str">
        <f>HYPERLINK("http://service.sap.com/sap/support/notes/1580522","1580522")</f>
        <v>1580522</v>
      </c>
      <c r="E3993">
        <v>3</v>
      </c>
      <c r="F3993" t="s">
        <v>4502</v>
      </c>
    </row>
    <row r="3994" spans="1:6" x14ac:dyDescent="0.25">
      <c r="A3994" t="s">
        <v>4782</v>
      </c>
      <c r="B3994" t="s">
        <v>123</v>
      </c>
      <c r="C3994" t="s">
        <v>124</v>
      </c>
      <c r="D3994" t="str">
        <f>HYPERLINK("http://service.sap.com/sap/support/notes/1588590","1588590")</f>
        <v>1588590</v>
      </c>
      <c r="E3994">
        <v>2</v>
      </c>
      <c r="F3994" t="s">
        <v>4503</v>
      </c>
    </row>
    <row r="3995" spans="1:6" x14ac:dyDescent="0.25">
      <c r="A3995" t="s">
        <v>4782</v>
      </c>
      <c r="B3995" t="s">
        <v>123</v>
      </c>
      <c r="C3995" t="s">
        <v>124</v>
      </c>
      <c r="D3995" t="str">
        <f>HYPERLINK("http://service.sap.com/sap/support/notes/1593830","1593830")</f>
        <v>1593830</v>
      </c>
      <c r="E3995">
        <v>4</v>
      </c>
      <c r="F3995" t="s">
        <v>4504</v>
      </c>
    </row>
    <row r="3996" spans="1:6" x14ac:dyDescent="0.25">
      <c r="A3996" t="s">
        <v>4782</v>
      </c>
      <c r="B3996" t="s">
        <v>123</v>
      </c>
      <c r="C3996" t="s">
        <v>124</v>
      </c>
      <c r="D3996" t="str">
        <f>HYPERLINK("http://service.sap.com/sap/support/notes/1595747","1595747")</f>
        <v>1595747</v>
      </c>
      <c r="E3996">
        <v>3</v>
      </c>
      <c r="F3996" t="s">
        <v>4505</v>
      </c>
    </row>
    <row r="3997" spans="1:6" x14ac:dyDescent="0.25">
      <c r="A3997" t="s">
        <v>4782</v>
      </c>
      <c r="B3997" t="s">
        <v>123</v>
      </c>
      <c r="C3997" t="s">
        <v>124</v>
      </c>
      <c r="D3997" t="str">
        <f>HYPERLINK("http://service.sap.com/sap/support/notes/1599471","1599471")</f>
        <v>1599471</v>
      </c>
      <c r="E3997">
        <v>1</v>
      </c>
      <c r="F3997" t="s">
        <v>4506</v>
      </c>
    </row>
    <row r="3998" spans="1:6" x14ac:dyDescent="0.25">
      <c r="A3998" t="s">
        <v>4782</v>
      </c>
      <c r="B3998" t="s">
        <v>831</v>
      </c>
      <c r="C3998" t="s">
        <v>2598</v>
      </c>
    </row>
    <row r="3999" spans="1:6" x14ac:dyDescent="0.25">
      <c r="A3999" t="s">
        <v>4782</v>
      </c>
      <c r="B3999" t="s">
        <v>849</v>
      </c>
      <c r="C3999" t="s">
        <v>4450</v>
      </c>
      <c r="D3999" t="str">
        <f>HYPERLINK("http://service.sap.com/sap/support/notes/1595555","1595555")</f>
        <v>1595555</v>
      </c>
      <c r="E3999">
        <v>3</v>
      </c>
      <c r="F3999" t="s">
        <v>4507</v>
      </c>
    </row>
    <row r="4000" spans="1:6" x14ac:dyDescent="0.25">
      <c r="A4000" t="s">
        <v>4782</v>
      </c>
      <c r="B4000" t="s">
        <v>871</v>
      </c>
      <c r="C4000" t="s">
        <v>872</v>
      </c>
      <c r="D4000" t="str">
        <f>HYPERLINK("http://service.sap.com/sap/support/notes/1594660","1594660")</f>
        <v>1594660</v>
      </c>
      <c r="E4000">
        <v>1</v>
      </c>
      <c r="F4000" t="s">
        <v>4508</v>
      </c>
    </row>
    <row r="4001" spans="1:6" x14ac:dyDescent="0.25">
      <c r="A4001" t="s">
        <v>4782</v>
      </c>
      <c r="B4001" t="s">
        <v>4509</v>
      </c>
      <c r="C4001" t="s">
        <v>1395</v>
      </c>
      <c r="D4001" t="str">
        <f>HYPERLINK("http://service.sap.com/sap/support/notes/1599094","1599094")</f>
        <v>1599094</v>
      </c>
      <c r="E4001">
        <v>3</v>
      </c>
      <c r="F4001" t="s">
        <v>4510</v>
      </c>
    </row>
    <row r="4002" spans="1:6" x14ac:dyDescent="0.25">
      <c r="A4002" t="s">
        <v>4782</v>
      </c>
      <c r="B4002" t="s">
        <v>874</v>
      </c>
      <c r="C4002" t="s">
        <v>875</v>
      </c>
      <c r="D4002" t="str">
        <f>HYPERLINK("http://service.sap.com/sap/support/notes/1545510","1545510")</f>
        <v>1545510</v>
      </c>
      <c r="E4002">
        <v>2</v>
      </c>
      <c r="F4002" t="s">
        <v>3599</v>
      </c>
    </row>
    <row r="4003" spans="1:6" x14ac:dyDescent="0.25">
      <c r="A4003" t="s">
        <v>4782</v>
      </c>
      <c r="B4003" t="s">
        <v>131</v>
      </c>
      <c r="C4003" t="s">
        <v>132</v>
      </c>
    </row>
    <row r="4004" spans="1:6" x14ac:dyDescent="0.25">
      <c r="A4004" t="s">
        <v>4782</v>
      </c>
      <c r="B4004" t="s">
        <v>133</v>
      </c>
      <c r="C4004" t="s">
        <v>134</v>
      </c>
      <c r="D4004" t="str">
        <f>HYPERLINK("http://service.sap.com/sap/support/notes/1546513","1546513")</f>
        <v>1546513</v>
      </c>
      <c r="E4004">
        <v>8</v>
      </c>
      <c r="F4004" t="s">
        <v>4511</v>
      </c>
    </row>
    <row r="4005" spans="1:6" x14ac:dyDescent="0.25">
      <c r="A4005" t="s">
        <v>4782</v>
      </c>
      <c r="B4005" t="s">
        <v>133</v>
      </c>
      <c r="C4005" t="s">
        <v>134</v>
      </c>
      <c r="D4005" t="str">
        <f>HYPERLINK("http://service.sap.com/sap/support/notes/1567739","1567739")</f>
        <v>1567739</v>
      </c>
      <c r="E4005">
        <v>4</v>
      </c>
      <c r="F4005" t="s">
        <v>4512</v>
      </c>
    </row>
    <row r="4006" spans="1:6" x14ac:dyDescent="0.25">
      <c r="A4006" t="s">
        <v>4782</v>
      </c>
      <c r="B4006" t="s">
        <v>141</v>
      </c>
      <c r="C4006" t="s">
        <v>41</v>
      </c>
      <c r="D4006" t="str">
        <f>HYPERLINK("http://service.sap.com/sap/support/notes/1343631","1343631")</f>
        <v>1343631</v>
      </c>
      <c r="E4006">
        <v>1</v>
      </c>
      <c r="F4006" t="s">
        <v>1480</v>
      </c>
    </row>
    <row r="4007" spans="1:6" x14ac:dyDescent="0.25">
      <c r="A4007" t="s">
        <v>4782</v>
      </c>
      <c r="B4007" t="s">
        <v>141</v>
      </c>
      <c r="C4007" t="s">
        <v>41</v>
      </c>
      <c r="D4007" t="str">
        <f>HYPERLINK("http://service.sap.com/sap/support/notes/1363131","1363131")</f>
        <v>1363131</v>
      </c>
      <c r="E4007">
        <v>1</v>
      </c>
      <c r="F4007" t="s">
        <v>3604</v>
      </c>
    </row>
    <row r="4008" spans="1:6" x14ac:dyDescent="0.25">
      <c r="A4008" t="s">
        <v>4782</v>
      </c>
      <c r="B4008" t="s">
        <v>141</v>
      </c>
      <c r="C4008" t="s">
        <v>41</v>
      </c>
      <c r="D4008" t="str">
        <f>HYPERLINK("http://service.sap.com/sap/support/notes/1547506","1547506")</f>
        <v>1547506</v>
      </c>
      <c r="E4008">
        <v>13</v>
      </c>
      <c r="F4008" t="s">
        <v>4513</v>
      </c>
    </row>
    <row r="4009" spans="1:6" x14ac:dyDescent="0.25">
      <c r="A4009" t="s">
        <v>4782</v>
      </c>
      <c r="B4009" t="s">
        <v>141</v>
      </c>
      <c r="C4009" t="s">
        <v>41</v>
      </c>
      <c r="D4009" t="str">
        <f>HYPERLINK("http://service.sap.com/sap/support/notes/1570791","1570791")</f>
        <v>1570791</v>
      </c>
      <c r="E4009">
        <v>4</v>
      </c>
      <c r="F4009" t="s">
        <v>4514</v>
      </c>
    </row>
    <row r="4010" spans="1:6" x14ac:dyDescent="0.25">
      <c r="A4010" t="s">
        <v>4782</v>
      </c>
      <c r="B4010" t="s">
        <v>141</v>
      </c>
      <c r="C4010" t="s">
        <v>41</v>
      </c>
      <c r="D4010" t="str">
        <f>HYPERLINK("http://service.sap.com/sap/support/notes/1573193","1573193")</f>
        <v>1573193</v>
      </c>
      <c r="E4010">
        <v>3</v>
      </c>
      <c r="F4010" t="s">
        <v>4515</v>
      </c>
    </row>
    <row r="4011" spans="1:6" x14ac:dyDescent="0.25">
      <c r="A4011" t="s">
        <v>4782</v>
      </c>
      <c r="B4011" t="s">
        <v>141</v>
      </c>
      <c r="C4011" t="s">
        <v>41</v>
      </c>
      <c r="D4011" t="str">
        <f>HYPERLINK("http://service.sap.com/sap/support/notes/1573790","1573790")</f>
        <v>1573790</v>
      </c>
      <c r="E4011">
        <v>2</v>
      </c>
      <c r="F4011" t="s">
        <v>3031</v>
      </c>
    </row>
    <row r="4012" spans="1:6" x14ac:dyDescent="0.25">
      <c r="A4012" t="s">
        <v>4782</v>
      </c>
      <c r="B4012" t="s">
        <v>141</v>
      </c>
      <c r="C4012" t="s">
        <v>41</v>
      </c>
      <c r="D4012" t="str">
        <f>HYPERLINK("http://service.sap.com/sap/support/notes/1579128","1579128")</f>
        <v>1579128</v>
      </c>
      <c r="E4012">
        <v>7</v>
      </c>
      <c r="F4012" t="s">
        <v>4516</v>
      </c>
    </row>
    <row r="4013" spans="1:6" x14ac:dyDescent="0.25">
      <c r="A4013" t="s">
        <v>4782</v>
      </c>
      <c r="B4013" t="s">
        <v>141</v>
      </c>
      <c r="C4013" t="s">
        <v>41</v>
      </c>
      <c r="D4013" t="str">
        <f>HYPERLINK("http://service.sap.com/sap/support/notes/1587456","1587456")</f>
        <v>1587456</v>
      </c>
      <c r="E4013">
        <v>3</v>
      </c>
      <c r="F4013" t="s">
        <v>4517</v>
      </c>
    </row>
    <row r="4014" spans="1:6" x14ac:dyDescent="0.25">
      <c r="A4014" t="s">
        <v>4782</v>
      </c>
      <c r="B4014" t="s">
        <v>141</v>
      </c>
      <c r="C4014" t="s">
        <v>41</v>
      </c>
      <c r="D4014" t="str">
        <f>HYPERLINK("http://service.sap.com/sap/support/notes/1588782","1588782")</f>
        <v>1588782</v>
      </c>
      <c r="E4014">
        <v>4</v>
      </c>
      <c r="F4014" t="s">
        <v>4518</v>
      </c>
    </row>
    <row r="4015" spans="1:6" x14ac:dyDescent="0.25">
      <c r="A4015" t="s">
        <v>4782</v>
      </c>
      <c r="B4015" t="s">
        <v>141</v>
      </c>
      <c r="C4015" t="s">
        <v>41</v>
      </c>
      <c r="D4015" t="str">
        <f>HYPERLINK("http://service.sap.com/sap/support/notes/1597103","1597103")</f>
        <v>1597103</v>
      </c>
      <c r="E4015">
        <v>1</v>
      </c>
      <c r="F4015" t="s">
        <v>4519</v>
      </c>
    </row>
    <row r="4016" spans="1:6" x14ac:dyDescent="0.25">
      <c r="A4016" t="s">
        <v>4782</v>
      </c>
      <c r="B4016" t="s">
        <v>141</v>
      </c>
      <c r="C4016" t="s">
        <v>41</v>
      </c>
      <c r="D4016" t="str">
        <f>HYPERLINK("http://service.sap.com/sap/support/notes/1598155","1598155")</f>
        <v>1598155</v>
      </c>
      <c r="E4016">
        <v>2</v>
      </c>
      <c r="F4016" t="s">
        <v>4520</v>
      </c>
    </row>
    <row r="4017" spans="1:6" x14ac:dyDescent="0.25">
      <c r="A4017" t="s">
        <v>4782</v>
      </c>
      <c r="B4017" t="s">
        <v>141</v>
      </c>
      <c r="C4017" t="s">
        <v>41</v>
      </c>
      <c r="D4017" t="str">
        <f>HYPERLINK("http://service.sap.com/sap/support/notes/1600884","1600884")</f>
        <v>1600884</v>
      </c>
      <c r="E4017">
        <v>1</v>
      </c>
      <c r="F4017" t="s">
        <v>4521</v>
      </c>
    </row>
    <row r="4018" spans="1:6" x14ac:dyDescent="0.25">
      <c r="A4018" t="s">
        <v>4782</v>
      </c>
      <c r="B4018" t="s">
        <v>152</v>
      </c>
      <c r="C4018" t="s">
        <v>153</v>
      </c>
      <c r="D4018" t="str">
        <f>HYPERLINK("http://service.sap.com/sap/support/notes/1599309","1599309")</f>
        <v>1599309</v>
      </c>
      <c r="E4018">
        <v>1</v>
      </c>
      <c r="F4018" t="s">
        <v>4522</v>
      </c>
    </row>
    <row r="4019" spans="1:6" x14ac:dyDescent="0.25">
      <c r="A4019" t="s">
        <v>4782</v>
      </c>
      <c r="B4019" t="s">
        <v>155</v>
      </c>
      <c r="C4019" t="s">
        <v>156</v>
      </c>
      <c r="D4019" t="str">
        <f>HYPERLINK("http://service.sap.com/sap/support/notes/815445","815445")</f>
        <v>815445</v>
      </c>
      <c r="E4019">
        <v>1</v>
      </c>
      <c r="F4019" t="s">
        <v>157</v>
      </c>
    </row>
    <row r="4020" spans="1:6" x14ac:dyDescent="0.25">
      <c r="A4020" t="s">
        <v>4782</v>
      </c>
      <c r="B4020" t="s">
        <v>155</v>
      </c>
      <c r="C4020" t="s">
        <v>156</v>
      </c>
      <c r="D4020" t="str">
        <f>HYPERLINK("http://service.sap.com/sap/support/notes/1533098","1533098")</f>
        <v>1533098</v>
      </c>
      <c r="E4020">
        <v>3</v>
      </c>
      <c r="F4020" t="s">
        <v>4523</v>
      </c>
    </row>
    <row r="4021" spans="1:6" x14ac:dyDescent="0.25">
      <c r="A4021" t="s">
        <v>4782</v>
      </c>
      <c r="B4021" t="s">
        <v>155</v>
      </c>
      <c r="C4021" t="s">
        <v>156</v>
      </c>
      <c r="D4021" t="str">
        <f>HYPERLINK("http://service.sap.com/sap/support/notes/1585233","1585233")</f>
        <v>1585233</v>
      </c>
      <c r="E4021">
        <v>1</v>
      </c>
      <c r="F4021" t="s">
        <v>4524</v>
      </c>
    </row>
    <row r="4022" spans="1:6" x14ac:dyDescent="0.25">
      <c r="A4022" t="s">
        <v>4782</v>
      </c>
      <c r="B4022" t="s">
        <v>155</v>
      </c>
      <c r="C4022" t="s">
        <v>156</v>
      </c>
      <c r="D4022" t="str">
        <f>HYPERLINK("http://service.sap.com/sap/support/notes/1588295","1588295")</f>
        <v>1588295</v>
      </c>
      <c r="E4022">
        <v>3</v>
      </c>
      <c r="F4022" t="s">
        <v>3623</v>
      </c>
    </row>
    <row r="4023" spans="1:6" x14ac:dyDescent="0.25">
      <c r="A4023" t="s">
        <v>4782</v>
      </c>
      <c r="B4023" t="s">
        <v>155</v>
      </c>
      <c r="C4023" t="s">
        <v>156</v>
      </c>
      <c r="D4023" t="str">
        <f>HYPERLINK("http://service.sap.com/sap/support/notes/1588613","1588613")</f>
        <v>1588613</v>
      </c>
      <c r="E4023">
        <v>4</v>
      </c>
      <c r="F4023" t="s">
        <v>4525</v>
      </c>
    </row>
    <row r="4024" spans="1:6" x14ac:dyDescent="0.25">
      <c r="A4024" t="s">
        <v>4782</v>
      </c>
      <c r="B4024" t="s">
        <v>155</v>
      </c>
      <c r="C4024" t="s">
        <v>156</v>
      </c>
      <c r="D4024" t="str">
        <f>HYPERLINK("http://service.sap.com/sap/support/notes/1593189","1593189")</f>
        <v>1593189</v>
      </c>
      <c r="E4024">
        <v>1</v>
      </c>
      <c r="F4024" t="s">
        <v>4526</v>
      </c>
    </row>
    <row r="4025" spans="1:6" x14ac:dyDescent="0.25">
      <c r="A4025" t="s">
        <v>4782</v>
      </c>
      <c r="B4025" t="s">
        <v>155</v>
      </c>
      <c r="C4025" t="s">
        <v>156</v>
      </c>
      <c r="D4025" t="str">
        <f>HYPERLINK("http://service.sap.com/sap/support/notes/1593763","1593763")</f>
        <v>1593763</v>
      </c>
      <c r="E4025">
        <v>1</v>
      </c>
      <c r="F4025" t="s">
        <v>4527</v>
      </c>
    </row>
    <row r="4026" spans="1:6" x14ac:dyDescent="0.25">
      <c r="A4026" t="s">
        <v>4782</v>
      </c>
      <c r="B4026" t="s">
        <v>155</v>
      </c>
      <c r="C4026" t="s">
        <v>156</v>
      </c>
      <c r="D4026" t="str">
        <f>HYPERLINK("http://service.sap.com/sap/support/notes/1594255","1594255")</f>
        <v>1594255</v>
      </c>
      <c r="E4026">
        <v>3</v>
      </c>
      <c r="F4026" t="s">
        <v>4166</v>
      </c>
    </row>
    <row r="4027" spans="1:6" x14ac:dyDescent="0.25">
      <c r="A4027" t="s">
        <v>4782</v>
      </c>
      <c r="B4027" t="s">
        <v>155</v>
      </c>
      <c r="C4027" t="s">
        <v>156</v>
      </c>
      <c r="D4027" t="str">
        <f>HYPERLINK("http://service.sap.com/sap/support/notes/1595021","1595021")</f>
        <v>1595021</v>
      </c>
      <c r="E4027">
        <v>1</v>
      </c>
      <c r="F4027" t="s">
        <v>4528</v>
      </c>
    </row>
    <row r="4028" spans="1:6" x14ac:dyDescent="0.25">
      <c r="A4028" t="s">
        <v>4782</v>
      </c>
      <c r="B4028" t="s">
        <v>155</v>
      </c>
      <c r="C4028" t="s">
        <v>156</v>
      </c>
      <c r="D4028" t="str">
        <f>HYPERLINK("http://service.sap.com/sap/support/notes/1597223","1597223")</f>
        <v>1597223</v>
      </c>
      <c r="E4028">
        <v>2</v>
      </c>
      <c r="F4028" t="s">
        <v>4529</v>
      </c>
    </row>
    <row r="4029" spans="1:6" x14ac:dyDescent="0.25">
      <c r="A4029" t="s">
        <v>4782</v>
      </c>
      <c r="B4029" t="s">
        <v>155</v>
      </c>
      <c r="C4029" t="s">
        <v>156</v>
      </c>
      <c r="D4029" t="str">
        <f>HYPERLINK("http://service.sap.com/sap/support/notes/1597380","1597380")</f>
        <v>1597380</v>
      </c>
      <c r="E4029">
        <v>1</v>
      </c>
      <c r="F4029" t="s">
        <v>4530</v>
      </c>
    </row>
    <row r="4030" spans="1:6" x14ac:dyDescent="0.25">
      <c r="A4030" t="s">
        <v>4782</v>
      </c>
      <c r="B4030" t="s">
        <v>155</v>
      </c>
      <c r="C4030" t="s">
        <v>156</v>
      </c>
      <c r="D4030" t="str">
        <f>HYPERLINK("http://service.sap.com/sap/support/notes/1599454","1599454")</f>
        <v>1599454</v>
      </c>
      <c r="E4030">
        <v>2</v>
      </c>
      <c r="F4030" t="s">
        <v>4167</v>
      </c>
    </row>
    <row r="4031" spans="1:6" x14ac:dyDescent="0.25">
      <c r="A4031" t="s">
        <v>4782</v>
      </c>
      <c r="B4031" t="s">
        <v>155</v>
      </c>
      <c r="C4031" t="s">
        <v>156</v>
      </c>
      <c r="D4031" t="str">
        <f>HYPERLINK("http://service.sap.com/sap/support/notes/1600216","1600216")</f>
        <v>1600216</v>
      </c>
      <c r="E4031">
        <v>1</v>
      </c>
      <c r="F4031" t="s">
        <v>4531</v>
      </c>
    </row>
    <row r="4032" spans="1:6" x14ac:dyDescent="0.25">
      <c r="A4032" t="s">
        <v>4782</v>
      </c>
      <c r="B4032" t="s">
        <v>155</v>
      </c>
      <c r="C4032" t="s">
        <v>156</v>
      </c>
      <c r="D4032" t="str">
        <f>HYPERLINK("http://service.sap.com/sap/support/notes/1600743","1600743")</f>
        <v>1600743</v>
      </c>
      <c r="E4032">
        <v>1</v>
      </c>
      <c r="F4032" t="s">
        <v>4532</v>
      </c>
    </row>
    <row r="4033" spans="1:6" x14ac:dyDescent="0.25">
      <c r="A4033" t="s">
        <v>4782</v>
      </c>
      <c r="B4033" t="s">
        <v>171</v>
      </c>
      <c r="C4033" t="s">
        <v>153</v>
      </c>
      <c r="D4033" t="str">
        <f>HYPERLINK("http://service.sap.com/sap/support/notes/1595508","1595508")</f>
        <v>1595508</v>
      </c>
      <c r="E4033">
        <v>1</v>
      </c>
      <c r="F4033" t="s">
        <v>4533</v>
      </c>
    </row>
    <row r="4034" spans="1:6" x14ac:dyDescent="0.25">
      <c r="A4034" t="s">
        <v>4782</v>
      </c>
      <c r="B4034" t="s">
        <v>171</v>
      </c>
      <c r="C4034" t="s">
        <v>153</v>
      </c>
      <c r="D4034" t="str">
        <f>HYPERLINK("http://service.sap.com/sap/support/notes/1595533","1595533")</f>
        <v>1595533</v>
      </c>
      <c r="E4034">
        <v>2</v>
      </c>
      <c r="F4034" t="s">
        <v>4534</v>
      </c>
    </row>
    <row r="4035" spans="1:6" x14ac:dyDescent="0.25">
      <c r="A4035" t="s">
        <v>4782</v>
      </c>
      <c r="B4035" t="s">
        <v>173</v>
      </c>
      <c r="C4035" t="s">
        <v>45</v>
      </c>
      <c r="D4035" t="str">
        <f>HYPERLINK("http://service.sap.com/sap/support/notes/1562590","1562590")</f>
        <v>1562590</v>
      </c>
      <c r="E4035">
        <v>1</v>
      </c>
      <c r="F4035" t="s">
        <v>4535</v>
      </c>
    </row>
    <row r="4036" spans="1:6" x14ac:dyDescent="0.25">
      <c r="A4036" t="s">
        <v>4782</v>
      </c>
      <c r="B4036" t="s">
        <v>173</v>
      </c>
      <c r="C4036" t="s">
        <v>45</v>
      </c>
      <c r="D4036" t="str">
        <f>HYPERLINK("http://service.sap.com/sap/support/notes/1563561","1563561")</f>
        <v>1563561</v>
      </c>
      <c r="E4036">
        <v>1</v>
      </c>
      <c r="F4036" t="s">
        <v>4536</v>
      </c>
    </row>
    <row r="4037" spans="1:6" x14ac:dyDescent="0.25">
      <c r="A4037" t="s">
        <v>4782</v>
      </c>
      <c r="B4037" t="s">
        <v>173</v>
      </c>
      <c r="C4037" t="s">
        <v>45</v>
      </c>
      <c r="D4037" t="str">
        <f>HYPERLINK("http://service.sap.com/sap/support/notes/1575809","1575809")</f>
        <v>1575809</v>
      </c>
      <c r="E4037">
        <v>4</v>
      </c>
      <c r="F4037" t="s">
        <v>4537</v>
      </c>
    </row>
    <row r="4038" spans="1:6" x14ac:dyDescent="0.25">
      <c r="A4038" t="s">
        <v>4782</v>
      </c>
      <c r="B4038" t="s">
        <v>173</v>
      </c>
      <c r="C4038" t="s">
        <v>45</v>
      </c>
      <c r="D4038" t="str">
        <f>HYPERLINK("http://service.sap.com/sap/support/notes/1588150","1588150")</f>
        <v>1588150</v>
      </c>
      <c r="E4038">
        <v>1</v>
      </c>
      <c r="F4038" t="s">
        <v>3633</v>
      </c>
    </row>
    <row r="4039" spans="1:6" x14ac:dyDescent="0.25">
      <c r="A4039" t="s">
        <v>4782</v>
      </c>
      <c r="B4039" t="s">
        <v>173</v>
      </c>
      <c r="C4039" t="s">
        <v>45</v>
      </c>
      <c r="D4039" t="str">
        <f>HYPERLINK("http://service.sap.com/sap/support/notes/1588441","1588441")</f>
        <v>1588441</v>
      </c>
      <c r="E4039">
        <v>3</v>
      </c>
      <c r="F4039" t="s">
        <v>4538</v>
      </c>
    </row>
    <row r="4040" spans="1:6" x14ac:dyDescent="0.25">
      <c r="A4040" t="s">
        <v>4782</v>
      </c>
      <c r="B4040" t="s">
        <v>173</v>
      </c>
      <c r="C4040" t="s">
        <v>45</v>
      </c>
      <c r="D4040" t="str">
        <f>HYPERLINK("http://service.sap.com/sap/support/notes/1589697","1589697")</f>
        <v>1589697</v>
      </c>
      <c r="E4040">
        <v>6</v>
      </c>
      <c r="F4040" t="s">
        <v>4539</v>
      </c>
    </row>
    <row r="4041" spans="1:6" x14ac:dyDescent="0.25">
      <c r="A4041" t="s">
        <v>4782</v>
      </c>
      <c r="B4041" t="s">
        <v>173</v>
      </c>
      <c r="C4041" t="s">
        <v>45</v>
      </c>
      <c r="D4041" t="str">
        <f>HYPERLINK("http://service.sap.com/sap/support/notes/1590993","1590993")</f>
        <v>1590993</v>
      </c>
      <c r="E4041">
        <v>3</v>
      </c>
      <c r="F4041" t="s">
        <v>4540</v>
      </c>
    </row>
    <row r="4042" spans="1:6" x14ac:dyDescent="0.25">
      <c r="A4042" t="s">
        <v>4782</v>
      </c>
      <c r="B4042" t="s">
        <v>173</v>
      </c>
      <c r="C4042" t="s">
        <v>45</v>
      </c>
      <c r="D4042" t="str">
        <f>HYPERLINK("http://service.sap.com/sap/support/notes/1591049","1591049")</f>
        <v>1591049</v>
      </c>
      <c r="E4042">
        <v>2</v>
      </c>
      <c r="F4042" t="s">
        <v>4541</v>
      </c>
    </row>
    <row r="4043" spans="1:6" x14ac:dyDescent="0.25">
      <c r="A4043" t="s">
        <v>4782</v>
      </c>
      <c r="B4043" t="s">
        <v>173</v>
      </c>
      <c r="C4043" t="s">
        <v>45</v>
      </c>
      <c r="D4043" t="str">
        <f>HYPERLINK("http://service.sap.com/sap/support/notes/1591548","1591548")</f>
        <v>1591548</v>
      </c>
      <c r="E4043">
        <v>5</v>
      </c>
      <c r="F4043" t="s">
        <v>4542</v>
      </c>
    </row>
    <row r="4044" spans="1:6" x14ac:dyDescent="0.25">
      <c r="A4044" t="s">
        <v>4782</v>
      </c>
      <c r="B4044" t="s">
        <v>173</v>
      </c>
      <c r="C4044" t="s">
        <v>45</v>
      </c>
      <c r="D4044" t="str">
        <f>HYPERLINK("http://service.sap.com/sap/support/notes/1591915","1591915")</f>
        <v>1591915</v>
      </c>
      <c r="E4044">
        <v>1</v>
      </c>
      <c r="F4044" t="s">
        <v>4543</v>
      </c>
    </row>
    <row r="4045" spans="1:6" x14ac:dyDescent="0.25">
      <c r="A4045" t="s">
        <v>4782</v>
      </c>
      <c r="B4045" t="s">
        <v>173</v>
      </c>
      <c r="C4045" t="s">
        <v>45</v>
      </c>
      <c r="D4045" t="str">
        <f>HYPERLINK("http://service.sap.com/sap/support/notes/1593542","1593542")</f>
        <v>1593542</v>
      </c>
      <c r="E4045">
        <v>1</v>
      </c>
      <c r="F4045" t="s">
        <v>4544</v>
      </c>
    </row>
    <row r="4046" spans="1:6" x14ac:dyDescent="0.25">
      <c r="A4046" t="s">
        <v>4782</v>
      </c>
      <c r="B4046" t="s">
        <v>173</v>
      </c>
      <c r="C4046" t="s">
        <v>45</v>
      </c>
      <c r="D4046" t="str">
        <f>HYPERLINK("http://service.sap.com/sap/support/notes/1594072","1594072")</f>
        <v>1594072</v>
      </c>
      <c r="E4046">
        <v>2</v>
      </c>
      <c r="F4046" t="s">
        <v>4545</v>
      </c>
    </row>
    <row r="4047" spans="1:6" x14ac:dyDescent="0.25">
      <c r="A4047" t="s">
        <v>4782</v>
      </c>
      <c r="B4047" t="s">
        <v>173</v>
      </c>
      <c r="C4047" t="s">
        <v>45</v>
      </c>
      <c r="D4047" t="str">
        <f>HYPERLINK("http://service.sap.com/sap/support/notes/1595614","1595614")</f>
        <v>1595614</v>
      </c>
      <c r="E4047">
        <v>1</v>
      </c>
      <c r="F4047" t="s">
        <v>4546</v>
      </c>
    </row>
    <row r="4048" spans="1:6" x14ac:dyDescent="0.25">
      <c r="A4048" t="s">
        <v>4782</v>
      </c>
      <c r="B4048" t="s">
        <v>173</v>
      </c>
      <c r="C4048" t="s">
        <v>45</v>
      </c>
      <c r="D4048" t="str">
        <f>HYPERLINK("http://service.sap.com/sap/support/notes/1595720","1595720")</f>
        <v>1595720</v>
      </c>
      <c r="E4048">
        <v>1</v>
      </c>
      <c r="F4048" t="s">
        <v>4547</v>
      </c>
    </row>
    <row r="4049" spans="1:6" x14ac:dyDescent="0.25">
      <c r="A4049" t="s">
        <v>4782</v>
      </c>
      <c r="B4049" t="s">
        <v>173</v>
      </c>
      <c r="C4049" t="s">
        <v>45</v>
      </c>
      <c r="D4049" t="str">
        <f>HYPERLINK("http://service.sap.com/sap/support/notes/1595988","1595988")</f>
        <v>1595988</v>
      </c>
      <c r="E4049">
        <v>2</v>
      </c>
      <c r="F4049" t="s">
        <v>4548</v>
      </c>
    </row>
    <row r="4050" spans="1:6" x14ac:dyDescent="0.25">
      <c r="A4050" t="s">
        <v>4782</v>
      </c>
      <c r="B4050" t="s">
        <v>173</v>
      </c>
      <c r="C4050" t="s">
        <v>45</v>
      </c>
      <c r="D4050" t="str">
        <f>HYPERLINK("http://service.sap.com/sap/support/notes/1596986","1596986")</f>
        <v>1596986</v>
      </c>
      <c r="E4050">
        <v>1</v>
      </c>
      <c r="F4050" t="s">
        <v>4549</v>
      </c>
    </row>
    <row r="4051" spans="1:6" x14ac:dyDescent="0.25">
      <c r="A4051" t="s">
        <v>4782</v>
      </c>
      <c r="B4051" t="s">
        <v>173</v>
      </c>
      <c r="C4051" t="s">
        <v>45</v>
      </c>
      <c r="D4051" t="str">
        <f>HYPERLINK("http://service.sap.com/sap/support/notes/1597087","1597087")</f>
        <v>1597087</v>
      </c>
      <c r="E4051">
        <v>3</v>
      </c>
      <c r="F4051" t="s">
        <v>4550</v>
      </c>
    </row>
    <row r="4052" spans="1:6" x14ac:dyDescent="0.25">
      <c r="A4052" t="s">
        <v>4782</v>
      </c>
      <c r="B4052" t="s">
        <v>173</v>
      </c>
      <c r="C4052" t="s">
        <v>45</v>
      </c>
      <c r="D4052" t="str">
        <f>HYPERLINK("http://service.sap.com/sap/support/notes/1597309","1597309")</f>
        <v>1597309</v>
      </c>
      <c r="E4052">
        <v>1</v>
      </c>
      <c r="F4052" t="s">
        <v>4551</v>
      </c>
    </row>
    <row r="4053" spans="1:6" x14ac:dyDescent="0.25">
      <c r="A4053" t="s">
        <v>4782</v>
      </c>
      <c r="B4053" t="s">
        <v>173</v>
      </c>
      <c r="C4053" t="s">
        <v>45</v>
      </c>
      <c r="D4053" t="str">
        <f>HYPERLINK("http://service.sap.com/sap/support/notes/1597942","1597942")</f>
        <v>1597942</v>
      </c>
      <c r="E4053">
        <v>2</v>
      </c>
      <c r="F4053" t="s">
        <v>4552</v>
      </c>
    </row>
    <row r="4054" spans="1:6" x14ac:dyDescent="0.25">
      <c r="A4054" t="s">
        <v>4782</v>
      </c>
      <c r="B4054" t="s">
        <v>173</v>
      </c>
      <c r="C4054" t="s">
        <v>45</v>
      </c>
      <c r="D4054" t="str">
        <f>HYPERLINK("http://service.sap.com/sap/support/notes/1598152","1598152")</f>
        <v>1598152</v>
      </c>
      <c r="E4054">
        <v>1</v>
      </c>
      <c r="F4054" t="s">
        <v>4553</v>
      </c>
    </row>
    <row r="4055" spans="1:6" x14ac:dyDescent="0.25">
      <c r="A4055" t="s">
        <v>4782</v>
      </c>
      <c r="B4055" t="s">
        <v>173</v>
      </c>
      <c r="C4055" t="s">
        <v>45</v>
      </c>
      <c r="D4055" t="str">
        <f>HYPERLINK("http://service.sap.com/sap/support/notes/1598285","1598285")</f>
        <v>1598285</v>
      </c>
      <c r="E4055">
        <v>1</v>
      </c>
      <c r="F4055" t="s">
        <v>4553</v>
      </c>
    </row>
    <row r="4056" spans="1:6" x14ac:dyDescent="0.25">
      <c r="A4056" t="s">
        <v>4782</v>
      </c>
      <c r="B4056" t="s">
        <v>173</v>
      </c>
      <c r="C4056" t="s">
        <v>45</v>
      </c>
      <c r="D4056" t="str">
        <f>HYPERLINK("http://service.sap.com/sap/support/notes/1598348","1598348")</f>
        <v>1598348</v>
      </c>
      <c r="E4056">
        <v>1</v>
      </c>
      <c r="F4056" t="s">
        <v>4554</v>
      </c>
    </row>
    <row r="4057" spans="1:6" x14ac:dyDescent="0.25">
      <c r="A4057" t="s">
        <v>4782</v>
      </c>
      <c r="B4057" t="s">
        <v>173</v>
      </c>
      <c r="C4057" t="s">
        <v>45</v>
      </c>
      <c r="D4057" t="str">
        <f>HYPERLINK("http://service.sap.com/sap/support/notes/1599313","1599313")</f>
        <v>1599313</v>
      </c>
      <c r="E4057">
        <v>2</v>
      </c>
      <c r="F4057" t="s">
        <v>4555</v>
      </c>
    </row>
    <row r="4058" spans="1:6" x14ac:dyDescent="0.25">
      <c r="A4058" t="s">
        <v>4782</v>
      </c>
      <c r="B4058" t="s">
        <v>189</v>
      </c>
      <c r="C4058" t="s">
        <v>153</v>
      </c>
      <c r="D4058" t="str">
        <f>HYPERLINK("http://service.sap.com/sap/support/notes/1597311","1597311")</f>
        <v>1597311</v>
      </c>
      <c r="E4058">
        <v>1</v>
      </c>
      <c r="F4058" t="s">
        <v>4556</v>
      </c>
    </row>
    <row r="4059" spans="1:6" x14ac:dyDescent="0.25">
      <c r="A4059" t="s">
        <v>4782</v>
      </c>
      <c r="B4059" t="s">
        <v>191</v>
      </c>
      <c r="C4059" t="s">
        <v>192</v>
      </c>
      <c r="D4059" t="str">
        <f>HYPERLINK("http://service.sap.com/sap/support/notes/1060819","1060819")</f>
        <v>1060819</v>
      </c>
      <c r="E4059">
        <v>1</v>
      </c>
      <c r="F4059" t="s">
        <v>193</v>
      </c>
    </row>
    <row r="4060" spans="1:6" x14ac:dyDescent="0.25">
      <c r="A4060" t="s">
        <v>4782</v>
      </c>
      <c r="B4060" t="s">
        <v>191</v>
      </c>
      <c r="C4060" t="s">
        <v>192</v>
      </c>
      <c r="D4060" t="str">
        <f>HYPERLINK("http://service.sap.com/sap/support/notes/1317393","1317393")</f>
        <v>1317393</v>
      </c>
      <c r="E4060">
        <v>6</v>
      </c>
      <c r="F4060" t="s">
        <v>4557</v>
      </c>
    </row>
    <row r="4061" spans="1:6" x14ac:dyDescent="0.25">
      <c r="A4061" t="s">
        <v>4782</v>
      </c>
      <c r="B4061" t="s">
        <v>191</v>
      </c>
      <c r="C4061" t="s">
        <v>192</v>
      </c>
      <c r="D4061" t="str">
        <f>HYPERLINK("http://service.sap.com/sap/support/notes/1563702","1563702")</f>
        <v>1563702</v>
      </c>
      <c r="E4061">
        <v>2</v>
      </c>
      <c r="F4061" t="s">
        <v>4558</v>
      </c>
    </row>
    <row r="4062" spans="1:6" x14ac:dyDescent="0.25">
      <c r="A4062" t="s">
        <v>4782</v>
      </c>
      <c r="B4062" t="s">
        <v>191</v>
      </c>
      <c r="C4062" t="s">
        <v>192</v>
      </c>
      <c r="D4062" t="str">
        <f>HYPERLINK("http://service.sap.com/sap/support/notes/1579279","1579279")</f>
        <v>1579279</v>
      </c>
      <c r="E4062">
        <v>1</v>
      </c>
      <c r="F4062" t="s">
        <v>4559</v>
      </c>
    </row>
    <row r="4063" spans="1:6" x14ac:dyDescent="0.25">
      <c r="A4063" t="s">
        <v>4782</v>
      </c>
      <c r="B4063" t="s">
        <v>191</v>
      </c>
      <c r="C4063" t="s">
        <v>192</v>
      </c>
      <c r="D4063" t="str">
        <f>HYPERLINK("http://service.sap.com/sap/support/notes/1579854","1579854")</f>
        <v>1579854</v>
      </c>
      <c r="E4063">
        <v>1</v>
      </c>
      <c r="F4063" t="s">
        <v>4560</v>
      </c>
    </row>
    <row r="4064" spans="1:6" x14ac:dyDescent="0.25">
      <c r="A4064" t="s">
        <v>4782</v>
      </c>
      <c r="B4064" t="s">
        <v>191</v>
      </c>
      <c r="C4064" t="s">
        <v>192</v>
      </c>
      <c r="D4064" t="str">
        <f>HYPERLINK("http://service.sap.com/sap/support/notes/1599444","1599444")</f>
        <v>1599444</v>
      </c>
      <c r="E4064">
        <v>1</v>
      </c>
      <c r="F4064" t="s">
        <v>4561</v>
      </c>
    </row>
    <row r="4065" spans="1:6" x14ac:dyDescent="0.25">
      <c r="A4065" t="s">
        <v>4782</v>
      </c>
      <c r="B4065" t="s">
        <v>201</v>
      </c>
      <c r="C4065" t="s">
        <v>202</v>
      </c>
      <c r="D4065" t="str">
        <f>HYPERLINK("http://service.sap.com/sap/support/notes/612934","612934")</f>
        <v>612934</v>
      </c>
      <c r="E4065">
        <v>1</v>
      </c>
      <c r="F4065" t="s">
        <v>203</v>
      </c>
    </row>
    <row r="4066" spans="1:6" x14ac:dyDescent="0.25">
      <c r="A4066" t="s">
        <v>4782</v>
      </c>
      <c r="B4066" t="s">
        <v>201</v>
      </c>
      <c r="C4066" t="s">
        <v>202</v>
      </c>
      <c r="D4066" t="str">
        <f>HYPERLINK("http://service.sap.com/sap/support/notes/1477492","1477492")</f>
        <v>1477492</v>
      </c>
      <c r="E4066">
        <v>3</v>
      </c>
      <c r="F4066" t="s">
        <v>4562</v>
      </c>
    </row>
    <row r="4067" spans="1:6" x14ac:dyDescent="0.25">
      <c r="A4067" t="s">
        <v>4782</v>
      </c>
      <c r="B4067" t="s">
        <v>201</v>
      </c>
      <c r="C4067" t="s">
        <v>202</v>
      </c>
      <c r="D4067" t="str">
        <f>HYPERLINK("http://service.sap.com/sap/support/notes/1582538","1582538")</f>
        <v>1582538</v>
      </c>
      <c r="E4067">
        <v>2</v>
      </c>
      <c r="F4067" t="s">
        <v>4563</v>
      </c>
    </row>
    <row r="4068" spans="1:6" x14ac:dyDescent="0.25">
      <c r="A4068" t="s">
        <v>4782</v>
      </c>
      <c r="B4068" t="s">
        <v>201</v>
      </c>
      <c r="C4068" t="s">
        <v>202</v>
      </c>
      <c r="D4068" t="str">
        <f>HYPERLINK("http://service.sap.com/sap/support/notes/1588596","1588596")</f>
        <v>1588596</v>
      </c>
      <c r="E4068">
        <v>1</v>
      </c>
      <c r="F4068" t="s">
        <v>4564</v>
      </c>
    </row>
    <row r="4069" spans="1:6" x14ac:dyDescent="0.25">
      <c r="A4069" t="s">
        <v>4782</v>
      </c>
      <c r="B4069" t="s">
        <v>964</v>
      </c>
      <c r="C4069" t="s">
        <v>299</v>
      </c>
      <c r="D4069" t="str">
        <f>HYPERLINK("http://service.sap.com/sap/support/notes/1505226","1505226")</f>
        <v>1505226</v>
      </c>
      <c r="E4069">
        <v>2</v>
      </c>
      <c r="F4069" t="s">
        <v>4565</v>
      </c>
    </row>
    <row r="4070" spans="1:6" x14ac:dyDescent="0.25">
      <c r="A4070" t="s">
        <v>4782</v>
      </c>
      <c r="B4070" t="s">
        <v>964</v>
      </c>
      <c r="C4070" t="s">
        <v>299</v>
      </c>
      <c r="D4070" t="str">
        <f>HYPERLINK("http://service.sap.com/sap/support/notes/1592178","1592178")</f>
        <v>1592178</v>
      </c>
      <c r="E4070">
        <v>3</v>
      </c>
      <c r="F4070" t="s">
        <v>4566</v>
      </c>
    </row>
    <row r="4071" spans="1:6" x14ac:dyDescent="0.25">
      <c r="A4071" t="s">
        <v>4782</v>
      </c>
      <c r="B4071" t="s">
        <v>964</v>
      </c>
      <c r="C4071" t="s">
        <v>299</v>
      </c>
      <c r="D4071" t="str">
        <f>HYPERLINK("http://service.sap.com/sap/support/notes/1600762","1600762")</f>
        <v>1600762</v>
      </c>
      <c r="E4071">
        <v>1</v>
      </c>
      <c r="F4071" t="s">
        <v>4171</v>
      </c>
    </row>
    <row r="4072" spans="1:6" x14ac:dyDescent="0.25">
      <c r="A4072" t="s">
        <v>4782</v>
      </c>
      <c r="B4072" t="s">
        <v>207</v>
      </c>
      <c r="C4072" t="s">
        <v>208</v>
      </c>
      <c r="D4072" t="str">
        <f>HYPERLINK("http://service.sap.com/sap/support/notes/1584533","1584533")</f>
        <v>1584533</v>
      </c>
      <c r="E4072">
        <v>1</v>
      </c>
      <c r="F4072" t="s">
        <v>4567</v>
      </c>
    </row>
    <row r="4073" spans="1:6" x14ac:dyDescent="0.25">
      <c r="A4073" t="s">
        <v>4782</v>
      </c>
      <c r="B4073" t="s">
        <v>207</v>
      </c>
      <c r="C4073" t="s">
        <v>208</v>
      </c>
      <c r="D4073" t="str">
        <f>HYPERLINK("http://service.sap.com/sap/support/notes/1597757","1597757")</f>
        <v>1597757</v>
      </c>
      <c r="E4073">
        <v>1</v>
      </c>
      <c r="F4073" t="s">
        <v>4568</v>
      </c>
    </row>
    <row r="4074" spans="1:6" x14ac:dyDescent="0.25">
      <c r="A4074" t="s">
        <v>4782</v>
      </c>
      <c r="B4074" t="s">
        <v>207</v>
      </c>
      <c r="C4074" t="s">
        <v>208</v>
      </c>
      <c r="D4074" t="str">
        <f>HYPERLINK("http://service.sap.com/sap/support/notes/1598592","1598592")</f>
        <v>1598592</v>
      </c>
      <c r="E4074">
        <v>4</v>
      </c>
      <c r="F4074" t="s">
        <v>4569</v>
      </c>
    </row>
    <row r="4075" spans="1:6" x14ac:dyDescent="0.25">
      <c r="A4075" t="s">
        <v>4782</v>
      </c>
      <c r="B4075" t="s">
        <v>207</v>
      </c>
      <c r="C4075" t="s">
        <v>208</v>
      </c>
      <c r="D4075" t="str">
        <f>HYPERLINK("http://service.sap.com/sap/support/notes/1598819","1598819")</f>
        <v>1598819</v>
      </c>
      <c r="E4075">
        <v>3</v>
      </c>
      <c r="F4075" t="s">
        <v>4570</v>
      </c>
    </row>
    <row r="4076" spans="1:6" x14ac:dyDescent="0.25">
      <c r="A4076" t="s">
        <v>4782</v>
      </c>
      <c r="B4076" t="s">
        <v>207</v>
      </c>
      <c r="C4076" t="s">
        <v>208</v>
      </c>
      <c r="D4076" t="str">
        <f>HYPERLINK("http://service.sap.com/sap/support/notes/1598885","1598885")</f>
        <v>1598885</v>
      </c>
      <c r="E4076">
        <v>1</v>
      </c>
      <c r="F4076" t="s">
        <v>4571</v>
      </c>
    </row>
    <row r="4077" spans="1:6" x14ac:dyDescent="0.25">
      <c r="A4077" t="s">
        <v>4782</v>
      </c>
      <c r="B4077" t="s">
        <v>207</v>
      </c>
      <c r="C4077" t="s">
        <v>208</v>
      </c>
      <c r="D4077" t="str">
        <f>HYPERLINK("http://service.sap.com/sap/support/notes/1599244","1599244")</f>
        <v>1599244</v>
      </c>
      <c r="E4077">
        <v>2</v>
      </c>
      <c r="F4077" t="s">
        <v>4572</v>
      </c>
    </row>
    <row r="4078" spans="1:6" x14ac:dyDescent="0.25">
      <c r="A4078" t="s">
        <v>4782</v>
      </c>
      <c r="B4078" t="s">
        <v>213</v>
      </c>
      <c r="C4078" t="s">
        <v>214</v>
      </c>
      <c r="D4078" t="str">
        <f>HYPERLINK("http://service.sap.com/sap/support/notes/1586821","1586821")</f>
        <v>1586821</v>
      </c>
      <c r="E4078">
        <v>6</v>
      </c>
      <c r="F4078" t="s">
        <v>4573</v>
      </c>
    </row>
    <row r="4079" spans="1:6" x14ac:dyDescent="0.25">
      <c r="A4079" t="s">
        <v>4782</v>
      </c>
      <c r="B4079" t="s">
        <v>213</v>
      </c>
      <c r="C4079" t="s">
        <v>214</v>
      </c>
      <c r="D4079" t="str">
        <f>HYPERLINK("http://service.sap.com/sap/support/notes/1587331","1587331")</f>
        <v>1587331</v>
      </c>
      <c r="E4079">
        <v>3</v>
      </c>
      <c r="F4079" t="s">
        <v>4574</v>
      </c>
    </row>
    <row r="4080" spans="1:6" x14ac:dyDescent="0.25">
      <c r="A4080" t="s">
        <v>4782</v>
      </c>
      <c r="B4080" t="s">
        <v>213</v>
      </c>
      <c r="C4080" t="s">
        <v>214</v>
      </c>
      <c r="D4080" t="str">
        <f>HYPERLINK("http://service.sap.com/sap/support/notes/1591125","1591125")</f>
        <v>1591125</v>
      </c>
      <c r="E4080">
        <v>2</v>
      </c>
      <c r="F4080" t="s">
        <v>4575</v>
      </c>
    </row>
    <row r="4081" spans="1:6" x14ac:dyDescent="0.25">
      <c r="A4081" t="s">
        <v>4782</v>
      </c>
      <c r="B4081" t="s">
        <v>213</v>
      </c>
      <c r="C4081" t="s">
        <v>214</v>
      </c>
      <c r="D4081" t="str">
        <f>HYPERLINK("http://service.sap.com/sap/support/notes/1595179","1595179")</f>
        <v>1595179</v>
      </c>
      <c r="E4081">
        <v>2</v>
      </c>
      <c r="F4081" t="s">
        <v>4576</v>
      </c>
    </row>
    <row r="4082" spans="1:6" x14ac:dyDescent="0.25">
      <c r="A4082" t="s">
        <v>4782</v>
      </c>
      <c r="B4082" t="s">
        <v>223</v>
      </c>
      <c r="C4082" t="s">
        <v>49</v>
      </c>
      <c r="D4082" t="str">
        <f>HYPERLINK("http://service.sap.com/sap/support/notes/1578349","1578349")</f>
        <v>1578349</v>
      </c>
      <c r="E4082">
        <v>1</v>
      </c>
      <c r="F4082" t="s">
        <v>4577</v>
      </c>
    </row>
    <row r="4083" spans="1:6" x14ac:dyDescent="0.25">
      <c r="A4083" t="s">
        <v>4782</v>
      </c>
      <c r="B4083" t="s">
        <v>223</v>
      </c>
      <c r="C4083" t="s">
        <v>49</v>
      </c>
      <c r="D4083" t="str">
        <f>HYPERLINK("http://service.sap.com/sap/support/notes/1584256","1584256")</f>
        <v>1584256</v>
      </c>
      <c r="E4083">
        <v>1</v>
      </c>
      <c r="F4083" t="s">
        <v>4578</v>
      </c>
    </row>
    <row r="4084" spans="1:6" x14ac:dyDescent="0.25">
      <c r="A4084" t="s">
        <v>4782</v>
      </c>
      <c r="B4084" t="s">
        <v>223</v>
      </c>
      <c r="C4084" t="s">
        <v>49</v>
      </c>
      <c r="D4084" t="str">
        <f>HYPERLINK("http://service.sap.com/sap/support/notes/1588236","1588236")</f>
        <v>1588236</v>
      </c>
      <c r="E4084">
        <v>2</v>
      </c>
      <c r="F4084" t="s">
        <v>4579</v>
      </c>
    </row>
    <row r="4085" spans="1:6" x14ac:dyDescent="0.25">
      <c r="A4085" t="s">
        <v>4782</v>
      </c>
      <c r="B4085" t="s">
        <v>223</v>
      </c>
      <c r="C4085" t="s">
        <v>49</v>
      </c>
      <c r="D4085" t="str">
        <f>HYPERLINK("http://service.sap.com/sap/support/notes/1594910","1594910")</f>
        <v>1594910</v>
      </c>
      <c r="E4085">
        <v>1</v>
      </c>
      <c r="F4085" t="s">
        <v>4580</v>
      </c>
    </row>
    <row r="4086" spans="1:6" x14ac:dyDescent="0.25">
      <c r="A4086" t="s">
        <v>4782</v>
      </c>
      <c r="B4086" t="s">
        <v>223</v>
      </c>
      <c r="C4086" t="s">
        <v>49</v>
      </c>
      <c r="D4086" t="str">
        <f>HYPERLINK("http://service.sap.com/sap/support/notes/1594953","1594953")</f>
        <v>1594953</v>
      </c>
      <c r="E4086">
        <v>2</v>
      </c>
      <c r="F4086" t="s">
        <v>4581</v>
      </c>
    </row>
    <row r="4087" spans="1:6" x14ac:dyDescent="0.25">
      <c r="A4087" t="s">
        <v>4782</v>
      </c>
      <c r="B4087" t="s">
        <v>226</v>
      </c>
      <c r="C4087" t="s">
        <v>52</v>
      </c>
      <c r="D4087" t="str">
        <f>HYPERLINK("http://service.sap.com/sap/support/notes/1562228","1562228")</f>
        <v>1562228</v>
      </c>
      <c r="E4087">
        <v>3</v>
      </c>
      <c r="F4087" t="s">
        <v>4582</v>
      </c>
    </row>
    <row r="4088" spans="1:6" x14ac:dyDescent="0.25">
      <c r="A4088" t="s">
        <v>4782</v>
      </c>
      <c r="B4088" t="s">
        <v>227</v>
      </c>
      <c r="C4088" t="s">
        <v>228</v>
      </c>
      <c r="D4088" t="str">
        <f>HYPERLINK("http://service.sap.com/sap/support/notes/1571668","1571668")</f>
        <v>1571668</v>
      </c>
      <c r="E4088">
        <v>1</v>
      </c>
      <c r="F4088" t="s">
        <v>4583</v>
      </c>
    </row>
    <row r="4089" spans="1:6" x14ac:dyDescent="0.25">
      <c r="A4089" t="s">
        <v>4782</v>
      </c>
      <c r="B4089" t="s">
        <v>227</v>
      </c>
      <c r="C4089" t="s">
        <v>228</v>
      </c>
      <c r="D4089" t="str">
        <f>HYPERLINK("http://service.sap.com/sap/support/notes/1583960","1583960")</f>
        <v>1583960</v>
      </c>
      <c r="E4089">
        <v>1</v>
      </c>
      <c r="F4089" t="s">
        <v>4584</v>
      </c>
    </row>
    <row r="4090" spans="1:6" x14ac:dyDescent="0.25">
      <c r="A4090" t="s">
        <v>4782</v>
      </c>
      <c r="B4090" t="s">
        <v>227</v>
      </c>
      <c r="C4090" t="s">
        <v>228</v>
      </c>
      <c r="D4090" t="str">
        <f>HYPERLINK("http://service.sap.com/sap/support/notes/1593364","1593364")</f>
        <v>1593364</v>
      </c>
      <c r="E4090">
        <v>1</v>
      </c>
      <c r="F4090" t="s">
        <v>4585</v>
      </c>
    </row>
    <row r="4091" spans="1:6" x14ac:dyDescent="0.25">
      <c r="A4091" t="s">
        <v>4782</v>
      </c>
      <c r="B4091" t="s">
        <v>227</v>
      </c>
      <c r="C4091" t="s">
        <v>228</v>
      </c>
      <c r="D4091" t="str">
        <f>HYPERLINK("http://service.sap.com/sap/support/notes/1595509","1595509")</f>
        <v>1595509</v>
      </c>
      <c r="E4091">
        <v>1</v>
      </c>
      <c r="F4091" t="s">
        <v>4586</v>
      </c>
    </row>
    <row r="4092" spans="1:6" x14ac:dyDescent="0.25">
      <c r="A4092" t="s">
        <v>4782</v>
      </c>
      <c r="B4092" t="s">
        <v>227</v>
      </c>
      <c r="C4092" t="s">
        <v>228</v>
      </c>
      <c r="D4092" t="str">
        <f>HYPERLINK("http://service.sap.com/sap/support/notes/1595785","1595785")</f>
        <v>1595785</v>
      </c>
      <c r="E4092">
        <v>1</v>
      </c>
      <c r="F4092" t="s">
        <v>4587</v>
      </c>
    </row>
    <row r="4093" spans="1:6" x14ac:dyDescent="0.25">
      <c r="A4093" t="s">
        <v>4782</v>
      </c>
      <c r="B4093" t="s">
        <v>232</v>
      </c>
      <c r="C4093" t="s">
        <v>233</v>
      </c>
      <c r="D4093" t="str">
        <f>HYPERLINK("http://service.sap.com/sap/support/notes/1569672","1569672")</f>
        <v>1569672</v>
      </c>
      <c r="E4093">
        <v>1</v>
      </c>
      <c r="F4093" t="s">
        <v>4588</v>
      </c>
    </row>
    <row r="4094" spans="1:6" x14ac:dyDescent="0.25">
      <c r="A4094" t="s">
        <v>4782</v>
      </c>
      <c r="B4094" t="s">
        <v>232</v>
      </c>
      <c r="C4094" t="s">
        <v>233</v>
      </c>
      <c r="D4094" t="str">
        <f>HYPERLINK("http://service.sap.com/sap/support/notes/1591360","1591360")</f>
        <v>1591360</v>
      </c>
      <c r="E4094">
        <v>2</v>
      </c>
      <c r="F4094" t="s">
        <v>4589</v>
      </c>
    </row>
    <row r="4095" spans="1:6" x14ac:dyDescent="0.25">
      <c r="A4095" t="s">
        <v>4782</v>
      </c>
      <c r="B4095" t="s">
        <v>235</v>
      </c>
      <c r="C4095" t="s">
        <v>236</v>
      </c>
    </row>
    <row r="4096" spans="1:6" x14ac:dyDescent="0.25">
      <c r="A4096" t="s">
        <v>4782</v>
      </c>
      <c r="B4096" t="s">
        <v>237</v>
      </c>
      <c r="C4096" t="s">
        <v>238</v>
      </c>
      <c r="D4096" t="str">
        <f>HYPERLINK("http://service.sap.com/sap/support/notes/1593621","1593621")</f>
        <v>1593621</v>
      </c>
      <c r="E4096">
        <v>2</v>
      </c>
      <c r="F4096" t="s">
        <v>4590</v>
      </c>
    </row>
    <row r="4097" spans="1:6" x14ac:dyDescent="0.25">
      <c r="A4097" t="s">
        <v>4782</v>
      </c>
      <c r="B4097" t="s">
        <v>237</v>
      </c>
      <c r="C4097" t="s">
        <v>238</v>
      </c>
      <c r="D4097" t="str">
        <f>HYPERLINK("http://service.sap.com/sap/support/notes/1595618","1595618")</f>
        <v>1595618</v>
      </c>
      <c r="E4097">
        <v>5</v>
      </c>
      <c r="F4097" t="s">
        <v>4591</v>
      </c>
    </row>
    <row r="4098" spans="1:6" x14ac:dyDescent="0.25">
      <c r="A4098" t="s">
        <v>4782</v>
      </c>
      <c r="B4098" t="s">
        <v>237</v>
      </c>
      <c r="C4098" t="s">
        <v>238</v>
      </c>
      <c r="D4098" t="str">
        <f>HYPERLINK("http://service.sap.com/sap/support/notes/1596813","1596813")</f>
        <v>1596813</v>
      </c>
      <c r="E4098">
        <v>1</v>
      </c>
      <c r="F4098" t="s">
        <v>4592</v>
      </c>
    </row>
    <row r="4099" spans="1:6" x14ac:dyDescent="0.25">
      <c r="A4099" t="s">
        <v>4782</v>
      </c>
      <c r="B4099" t="s">
        <v>242</v>
      </c>
      <c r="C4099" t="s">
        <v>243</v>
      </c>
      <c r="D4099" t="str">
        <f>HYPERLINK("http://service.sap.com/sap/support/notes/1586761","1586761")</f>
        <v>1586761</v>
      </c>
      <c r="E4099">
        <v>1</v>
      </c>
      <c r="F4099" t="s">
        <v>4593</v>
      </c>
    </row>
    <row r="4100" spans="1:6" x14ac:dyDescent="0.25">
      <c r="A4100" t="s">
        <v>4782</v>
      </c>
      <c r="B4100" t="s">
        <v>242</v>
      </c>
      <c r="C4100" t="s">
        <v>243</v>
      </c>
      <c r="D4100" t="str">
        <f>HYPERLINK("http://service.sap.com/sap/support/notes/1595214","1595214")</f>
        <v>1595214</v>
      </c>
      <c r="E4100">
        <v>2</v>
      </c>
      <c r="F4100" t="s">
        <v>4594</v>
      </c>
    </row>
    <row r="4101" spans="1:6" x14ac:dyDescent="0.25">
      <c r="A4101" t="s">
        <v>4782</v>
      </c>
      <c r="B4101" t="s">
        <v>242</v>
      </c>
      <c r="C4101" t="s">
        <v>243</v>
      </c>
      <c r="D4101" t="str">
        <f>HYPERLINK("http://service.sap.com/sap/support/notes/1597772","1597772")</f>
        <v>1597772</v>
      </c>
      <c r="E4101">
        <v>1</v>
      </c>
      <c r="F4101" t="s">
        <v>4595</v>
      </c>
    </row>
    <row r="4102" spans="1:6" x14ac:dyDescent="0.25">
      <c r="A4102" t="s">
        <v>4782</v>
      </c>
      <c r="B4102" t="s">
        <v>246</v>
      </c>
      <c r="C4102" t="s">
        <v>247</v>
      </c>
      <c r="D4102" t="str">
        <f>HYPERLINK("http://service.sap.com/sap/support/notes/1592903","1592903")</f>
        <v>1592903</v>
      </c>
      <c r="E4102">
        <v>1</v>
      </c>
      <c r="F4102" t="s">
        <v>4596</v>
      </c>
    </row>
    <row r="4103" spans="1:6" x14ac:dyDescent="0.25">
      <c r="A4103" t="s">
        <v>4782</v>
      </c>
      <c r="B4103" t="s">
        <v>246</v>
      </c>
      <c r="C4103" t="s">
        <v>247</v>
      </c>
      <c r="D4103" t="str">
        <f>HYPERLINK("http://service.sap.com/sap/support/notes/1597751","1597751")</f>
        <v>1597751</v>
      </c>
      <c r="E4103">
        <v>1</v>
      </c>
      <c r="F4103" t="s">
        <v>4597</v>
      </c>
    </row>
    <row r="4104" spans="1:6" x14ac:dyDescent="0.25">
      <c r="A4104" t="s">
        <v>4782</v>
      </c>
      <c r="B4104" t="s">
        <v>1009</v>
      </c>
      <c r="C4104" t="s">
        <v>1010</v>
      </c>
      <c r="D4104" t="str">
        <f>HYPERLINK("http://service.sap.com/sap/support/notes/1592951","1592951")</f>
        <v>1592951</v>
      </c>
      <c r="E4104">
        <v>2</v>
      </c>
      <c r="F4104" t="s">
        <v>4598</v>
      </c>
    </row>
    <row r="4105" spans="1:6" x14ac:dyDescent="0.25">
      <c r="A4105" t="s">
        <v>4782</v>
      </c>
      <c r="B4105" t="s">
        <v>1009</v>
      </c>
      <c r="C4105" t="s">
        <v>1010</v>
      </c>
      <c r="D4105" t="str">
        <f>HYPERLINK("http://service.sap.com/sap/support/notes/1596275","1596275")</f>
        <v>1596275</v>
      </c>
      <c r="E4105">
        <v>1</v>
      </c>
      <c r="F4105" t="s">
        <v>4599</v>
      </c>
    </row>
    <row r="4106" spans="1:6" x14ac:dyDescent="0.25">
      <c r="A4106" t="s">
        <v>4782</v>
      </c>
      <c r="B4106" t="s">
        <v>250</v>
      </c>
      <c r="C4106" t="s">
        <v>251</v>
      </c>
    </row>
    <row r="4107" spans="1:6" x14ac:dyDescent="0.25">
      <c r="A4107" t="s">
        <v>4782</v>
      </c>
      <c r="B4107" t="s">
        <v>252</v>
      </c>
      <c r="C4107" t="s">
        <v>253</v>
      </c>
      <c r="D4107" t="str">
        <f>HYPERLINK("http://service.sap.com/sap/support/notes/1594492","1594492")</f>
        <v>1594492</v>
      </c>
      <c r="E4107">
        <v>3</v>
      </c>
      <c r="F4107" t="s">
        <v>4600</v>
      </c>
    </row>
    <row r="4108" spans="1:6" x14ac:dyDescent="0.25">
      <c r="A4108" t="s">
        <v>4782</v>
      </c>
      <c r="B4108" t="s">
        <v>252</v>
      </c>
      <c r="C4108" t="s">
        <v>253</v>
      </c>
      <c r="D4108" t="str">
        <f>HYPERLINK("http://service.sap.com/sap/support/notes/1594564","1594564")</f>
        <v>1594564</v>
      </c>
      <c r="E4108">
        <v>1</v>
      </c>
      <c r="F4108" t="s">
        <v>4601</v>
      </c>
    </row>
    <row r="4109" spans="1:6" x14ac:dyDescent="0.25">
      <c r="A4109" t="s">
        <v>4782</v>
      </c>
      <c r="B4109" t="s">
        <v>255</v>
      </c>
      <c r="C4109" t="s">
        <v>256</v>
      </c>
      <c r="D4109" t="str">
        <f>HYPERLINK("http://service.sap.com/sap/support/notes/1595535","1595535")</f>
        <v>1595535</v>
      </c>
      <c r="E4109">
        <v>1</v>
      </c>
      <c r="F4109" t="s">
        <v>4602</v>
      </c>
    </row>
    <row r="4110" spans="1:6" x14ac:dyDescent="0.25">
      <c r="A4110" t="s">
        <v>4782</v>
      </c>
      <c r="B4110" t="s">
        <v>258</v>
      </c>
      <c r="C4110" t="s">
        <v>259</v>
      </c>
      <c r="D4110" t="str">
        <f>HYPERLINK("http://service.sap.com/sap/support/notes/1579569","1579569")</f>
        <v>1579569</v>
      </c>
      <c r="E4110">
        <v>3</v>
      </c>
      <c r="F4110" t="s">
        <v>4603</v>
      </c>
    </row>
    <row r="4111" spans="1:6" x14ac:dyDescent="0.25">
      <c r="A4111" t="s">
        <v>4782</v>
      </c>
      <c r="B4111" t="s">
        <v>258</v>
      </c>
      <c r="C4111" t="s">
        <v>259</v>
      </c>
      <c r="D4111" t="str">
        <f>HYPERLINK("http://service.sap.com/sap/support/notes/1593496","1593496")</f>
        <v>1593496</v>
      </c>
      <c r="E4111">
        <v>1</v>
      </c>
      <c r="F4111" t="s">
        <v>4604</v>
      </c>
    </row>
    <row r="4112" spans="1:6" x14ac:dyDescent="0.25">
      <c r="A4112" t="s">
        <v>4782</v>
      </c>
      <c r="B4112" t="s">
        <v>258</v>
      </c>
      <c r="C4112" t="s">
        <v>259</v>
      </c>
      <c r="D4112" t="str">
        <f>HYPERLINK("http://service.sap.com/sap/support/notes/1595255","1595255")</f>
        <v>1595255</v>
      </c>
      <c r="E4112">
        <v>3</v>
      </c>
      <c r="F4112" t="s">
        <v>4605</v>
      </c>
    </row>
    <row r="4113" spans="1:6" x14ac:dyDescent="0.25">
      <c r="A4113" t="s">
        <v>4782</v>
      </c>
      <c r="B4113" t="s">
        <v>258</v>
      </c>
      <c r="C4113" t="s">
        <v>259</v>
      </c>
      <c r="D4113" t="str">
        <f>HYPERLINK("http://service.sap.com/sap/support/notes/1600293","1600293")</f>
        <v>1600293</v>
      </c>
      <c r="E4113">
        <v>2</v>
      </c>
      <c r="F4113" t="s">
        <v>4606</v>
      </c>
    </row>
    <row r="4114" spans="1:6" x14ac:dyDescent="0.25">
      <c r="A4114" t="s">
        <v>4782</v>
      </c>
      <c r="B4114" t="s">
        <v>1027</v>
      </c>
      <c r="C4114" t="s">
        <v>4607</v>
      </c>
      <c r="D4114" t="str">
        <f>HYPERLINK("http://service.sap.com/sap/support/notes/1568870","1568870")</f>
        <v>1568870</v>
      </c>
      <c r="E4114">
        <v>3</v>
      </c>
      <c r="F4114" t="s">
        <v>4608</v>
      </c>
    </row>
    <row r="4115" spans="1:6" x14ac:dyDescent="0.25">
      <c r="A4115" t="s">
        <v>4782</v>
      </c>
      <c r="B4115" t="s">
        <v>1027</v>
      </c>
      <c r="C4115" t="s">
        <v>4607</v>
      </c>
      <c r="D4115" t="str">
        <f>HYPERLINK("http://service.sap.com/sap/support/notes/1589687","1589687")</f>
        <v>1589687</v>
      </c>
      <c r="E4115">
        <v>3</v>
      </c>
      <c r="F4115" t="s">
        <v>4609</v>
      </c>
    </row>
    <row r="4116" spans="1:6" x14ac:dyDescent="0.25">
      <c r="A4116" t="s">
        <v>4782</v>
      </c>
      <c r="B4116" t="s">
        <v>264</v>
      </c>
      <c r="C4116" t="s">
        <v>265</v>
      </c>
      <c r="D4116" t="str">
        <f>HYPERLINK("http://service.sap.com/sap/support/notes/1593790","1593790")</f>
        <v>1593790</v>
      </c>
      <c r="E4116">
        <v>1</v>
      </c>
      <c r="F4116" t="s">
        <v>4610</v>
      </c>
    </row>
    <row r="4117" spans="1:6" x14ac:dyDescent="0.25">
      <c r="A4117" t="s">
        <v>4782</v>
      </c>
      <c r="B4117" t="s">
        <v>264</v>
      </c>
      <c r="C4117" t="s">
        <v>265</v>
      </c>
      <c r="D4117" t="str">
        <f>HYPERLINK("http://service.sap.com/sap/support/notes/1594992","1594992")</f>
        <v>1594992</v>
      </c>
      <c r="E4117">
        <v>3</v>
      </c>
      <c r="F4117" t="s">
        <v>4611</v>
      </c>
    </row>
    <row r="4118" spans="1:6" x14ac:dyDescent="0.25">
      <c r="A4118" t="s">
        <v>4782</v>
      </c>
      <c r="B4118" t="s">
        <v>273</v>
      </c>
      <c r="C4118" t="s">
        <v>153</v>
      </c>
      <c r="D4118" t="str">
        <f>HYPERLINK("http://service.sap.com/sap/support/notes/1592053","1592053")</f>
        <v>1592053</v>
      </c>
      <c r="E4118">
        <v>1</v>
      </c>
      <c r="F4118" t="s">
        <v>4612</v>
      </c>
    </row>
    <row r="4119" spans="1:6" x14ac:dyDescent="0.25">
      <c r="A4119" t="s">
        <v>4782</v>
      </c>
      <c r="B4119" t="s">
        <v>273</v>
      </c>
      <c r="C4119" t="s">
        <v>153</v>
      </c>
      <c r="D4119" t="str">
        <f>HYPERLINK("http://service.sap.com/sap/support/notes/1592273","1592273")</f>
        <v>1592273</v>
      </c>
      <c r="E4119">
        <v>1</v>
      </c>
      <c r="F4119" t="s">
        <v>4613</v>
      </c>
    </row>
    <row r="4120" spans="1:6" x14ac:dyDescent="0.25">
      <c r="A4120" t="s">
        <v>4782</v>
      </c>
      <c r="B4120" t="s">
        <v>273</v>
      </c>
      <c r="C4120" t="s">
        <v>153</v>
      </c>
      <c r="D4120" t="str">
        <f>HYPERLINK("http://service.sap.com/sap/support/notes/1595162","1595162")</f>
        <v>1595162</v>
      </c>
      <c r="E4120">
        <v>2</v>
      </c>
      <c r="F4120" t="s">
        <v>4614</v>
      </c>
    </row>
    <row r="4121" spans="1:6" x14ac:dyDescent="0.25">
      <c r="A4121" t="s">
        <v>4782</v>
      </c>
      <c r="B4121" t="s">
        <v>273</v>
      </c>
      <c r="C4121" t="s">
        <v>153</v>
      </c>
      <c r="D4121" t="str">
        <f>HYPERLINK("http://service.sap.com/sap/support/notes/1595460","1595460")</f>
        <v>1595460</v>
      </c>
      <c r="E4121">
        <v>2</v>
      </c>
      <c r="F4121" t="s">
        <v>4615</v>
      </c>
    </row>
    <row r="4122" spans="1:6" x14ac:dyDescent="0.25">
      <c r="A4122" t="s">
        <v>4782</v>
      </c>
      <c r="B4122" t="s">
        <v>273</v>
      </c>
      <c r="C4122" t="s">
        <v>153</v>
      </c>
      <c r="D4122" t="str">
        <f>HYPERLINK("http://service.sap.com/sap/support/notes/1597186","1597186")</f>
        <v>1597186</v>
      </c>
      <c r="E4122">
        <v>1</v>
      </c>
      <c r="F4122" t="s">
        <v>4616</v>
      </c>
    </row>
    <row r="4123" spans="1:6" x14ac:dyDescent="0.25">
      <c r="A4123" t="s">
        <v>4782</v>
      </c>
      <c r="B4123" t="s">
        <v>273</v>
      </c>
      <c r="C4123" t="s">
        <v>153</v>
      </c>
      <c r="D4123" t="str">
        <f>HYPERLINK("http://service.sap.com/sap/support/notes/1598325","1598325")</f>
        <v>1598325</v>
      </c>
      <c r="E4123">
        <v>2</v>
      </c>
      <c r="F4123" t="s">
        <v>4617</v>
      </c>
    </row>
    <row r="4124" spans="1:6" x14ac:dyDescent="0.25">
      <c r="A4124" t="s">
        <v>4782</v>
      </c>
      <c r="B4124" t="s">
        <v>273</v>
      </c>
      <c r="C4124" t="s">
        <v>153</v>
      </c>
      <c r="D4124" t="str">
        <f>HYPERLINK("http://service.sap.com/sap/support/notes/1600522","1600522")</f>
        <v>1600522</v>
      </c>
      <c r="E4124">
        <v>1</v>
      </c>
      <c r="F4124" t="s">
        <v>4618</v>
      </c>
    </row>
    <row r="4125" spans="1:6" x14ac:dyDescent="0.25">
      <c r="A4125" t="s">
        <v>4782</v>
      </c>
      <c r="B4125" t="s">
        <v>284</v>
      </c>
      <c r="C4125" t="s">
        <v>285</v>
      </c>
      <c r="D4125" t="str">
        <f>HYPERLINK("http://service.sap.com/sap/support/notes/1590382","1590382")</f>
        <v>1590382</v>
      </c>
      <c r="E4125">
        <v>2</v>
      </c>
      <c r="F4125" t="s">
        <v>4619</v>
      </c>
    </row>
    <row r="4126" spans="1:6" x14ac:dyDescent="0.25">
      <c r="A4126" t="s">
        <v>4782</v>
      </c>
      <c r="B4126" t="s">
        <v>284</v>
      </c>
      <c r="C4126" t="s">
        <v>285</v>
      </c>
      <c r="D4126" t="str">
        <f>HYPERLINK("http://service.sap.com/sap/support/notes/1591493","1591493")</f>
        <v>1591493</v>
      </c>
      <c r="E4126">
        <v>2</v>
      </c>
      <c r="F4126" t="s">
        <v>4620</v>
      </c>
    </row>
    <row r="4127" spans="1:6" x14ac:dyDescent="0.25">
      <c r="A4127" t="s">
        <v>4782</v>
      </c>
      <c r="B4127" t="s">
        <v>284</v>
      </c>
      <c r="C4127" t="s">
        <v>285</v>
      </c>
      <c r="D4127" t="str">
        <f>HYPERLINK("http://service.sap.com/sap/support/notes/1593473","1593473")</f>
        <v>1593473</v>
      </c>
      <c r="E4127">
        <v>2</v>
      </c>
      <c r="F4127" t="s">
        <v>4621</v>
      </c>
    </row>
    <row r="4128" spans="1:6" x14ac:dyDescent="0.25">
      <c r="A4128" t="s">
        <v>4782</v>
      </c>
      <c r="B4128" t="s">
        <v>284</v>
      </c>
      <c r="C4128" t="s">
        <v>285</v>
      </c>
      <c r="D4128" t="str">
        <f>HYPERLINK("http://service.sap.com/sap/support/notes/1594445","1594445")</f>
        <v>1594445</v>
      </c>
      <c r="E4128">
        <v>1</v>
      </c>
      <c r="F4128" t="s">
        <v>4622</v>
      </c>
    </row>
    <row r="4129" spans="1:6" x14ac:dyDescent="0.25">
      <c r="A4129" t="s">
        <v>4782</v>
      </c>
      <c r="B4129" t="s">
        <v>284</v>
      </c>
      <c r="C4129" t="s">
        <v>285</v>
      </c>
      <c r="D4129" t="str">
        <f>HYPERLINK("http://service.sap.com/sap/support/notes/1595086","1595086")</f>
        <v>1595086</v>
      </c>
      <c r="E4129">
        <v>1</v>
      </c>
      <c r="F4129" t="s">
        <v>4623</v>
      </c>
    </row>
    <row r="4130" spans="1:6" x14ac:dyDescent="0.25">
      <c r="A4130" t="s">
        <v>4782</v>
      </c>
      <c r="B4130" t="s">
        <v>284</v>
      </c>
      <c r="C4130" t="s">
        <v>285</v>
      </c>
      <c r="D4130" t="str">
        <f>HYPERLINK("http://service.sap.com/sap/support/notes/1595718","1595718")</f>
        <v>1595718</v>
      </c>
      <c r="E4130">
        <v>1</v>
      </c>
      <c r="F4130" t="s">
        <v>4624</v>
      </c>
    </row>
    <row r="4131" spans="1:6" x14ac:dyDescent="0.25">
      <c r="A4131" t="s">
        <v>4782</v>
      </c>
      <c r="B4131" t="s">
        <v>293</v>
      </c>
      <c r="C4131" t="s">
        <v>294</v>
      </c>
      <c r="D4131" t="str">
        <f>HYPERLINK("http://service.sap.com/sap/support/notes/1599945","1599945")</f>
        <v>1599945</v>
      </c>
      <c r="E4131">
        <v>1</v>
      </c>
      <c r="F4131" t="s">
        <v>4625</v>
      </c>
    </row>
    <row r="4132" spans="1:6" x14ac:dyDescent="0.25">
      <c r="A4132" t="s">
        <v>4782</v>
      </c>
      <c r="B4132" t="s">
        <v>298</v>
      </c>
      <c r="C4132" t="s">
        <v>299</v>
      </c>
    </row>
    <row r="4133" spans="1:6" x14ac:dyDescent="0.25">
      <c r="A4133" t="s">
        <v>4782</v>
      </c>
      <c r="B4133" t="s">
        <v>1063</v>
      </c>
      <c r="C4133" t="s">
        <v>1565</v>
      </c>
      <c r="D4133" t="str">
        <f>HYPERLINK("http://service.sap.com/sap/support/notes/1456988","1456988")</f>
        <v>1456988</v>
      </c>
      <c r="E4133">
        <v>1</v>
      </c>
      <c r="F4133" t="s">
        <v>4626</v>
      </c>
    </row>
    <row r="4134" spans="1:6" x14ac:dyDescent="0.25">
      <c r="A4134" t="s">
        <v>4782</v>
      </c>
      <c r="B4134" t="s">
        <v>300</v>
      </c>
      <c r="C4134" t="s">
        <v>301</v>
      </c>
      <c r="D4134" t="str">
        <f>HYPERLINK("http://service.sap.com/sap/support/notes/1568770","1568770")</f>
        <v>1568770</v>
      </c>
      <c r="E4134">
        <v>3</v>
      </c>
      <c r="F4134" t="s">
        <v>4627</v>
      </c>
    </row>
    <row r="4135" spans="1:6" x14ac:dyDescent="0.25">
      <c r="A4135" t="s">
        <v>4782</v>
      </c>
      <c r="B4135" t="s">
        <v>300</v>
      </c>
      <c r="C4135" t="s">
        <v>301</v>
      </c>
      <c r="D4135" t="str">
        <f>HYPERLINK("http://service.sap.com/sap/support/notes/1586897","1586897")</f>
        <v>1586897</v>
      </c>
      <c r="E4135">
        <v>4</v>
      </c>
      <c r="F4135" t="s">
        <v>4628</v>
      </c>
    </row>
    <row r="4136" spans="1:6" x14ac:dyDescent="0.25">
      <c r="A4136" t="s">
        <v>4782</v>
      </c>
      <c r="B4136" t="s">
        <v>304</v>
      </c>
      <c r="C4136" t="s">
        <v>305</v>
      </c>
      <c r="D4136" t="str">
        <f>HYPERLINK("http://service.sap.com/sap/support/notes/1017716","1017716")</f>
        <v>1017716</v>
      </c>
      <c r="E4136">
        <v>1</v>
      </c>
      <c r="F4136" t="s">
        <v>1074</v>
      </c>
    </row>
    <row r="4137" spans="1:6" x14ac:dyDescent="0.25">
      <c r="A4137" t="s">
        <v>4782</v>
      </c>
      <c r="B4137" t="s">
        <v>304</v>
      </c>
      <c r="C4137" t="s">
        <v>305</v>
      </c>
      <c r="D4137" t="str">
        <f>HYPERLINK("http://service.sap.com/sap/support/notes/1570023","1570023")</f>
        <v>1570023</v>
      </c>
      <c r="E4137">
        <v>20</v>
      </c>
      <c r="F4137" t="s">
        <v>4629</v>
      </c>
    </row>
    <row r="4138" spans="1:6" x14ac:dyDescent="0.25">
      <c r="A4138" t="s">
        <v>4782</v>
      </c>
      <c r="B4138" t="s">
        <v>304</v>
      </c>
      <c r="C4138" t="s">
        <v>305</v>
      </c>
      <c r="D4138" t="str">
        <f>HYPERLINK("http://service.sap.com/sap/support/notes/1576346","1576346")</f>
        <v>1576346</v>
      </c>
      <c r="E4138">
        <v>6</v>
      </c>
      <c r="F4138" t="s">
        <v>4630</v>
      </c>
    </row>
    <row r="4139" spans="1:6" x14ac:dyDescent="0.25">
      <c r="A4139" t="s">
        <v>4782</v>
      </c>
      <c r="B4139" t="s">
        <v>304</v>
      </c>
      <c r="C4139" t="s">
        <v>305</v>
      </c>
      <c r="D4139" t="str">
        <f>HYPERLINK("http://service.sap.com/sap/support/notes/1579864","1579864")</f>
        <v>1579864</v>
      </c>
      <c r="E4139">
        <v>3</v>
      </c>
      <c r="F4139" t="s">
        <v>4631</v>
      </c>
    </row>
    <row r="4140" spans="1:6" x14ac:dyDescent="0.25">
      <c r="A4140" t="s">
        <v>4782</v>
      </c>
      <c r="B4140" t="s">
        <v>304</v>
      </c>
      <c r="C4140" t="s">
        <v>305</v>
      </c>
      <c r="D4140" t="str">
        <f>HYPERLINK("http://service.sap.com/sap/support/notes/1591970","1591970")</f>
        <v>1591970</v>
      </c>
      <c r="E4140">
        <v>2</v>
      </c>
      <c r="F4140" t="s">
        <v>4632</v>
      </c>
    </row>
    <row r="4141" spans="1:6" x14ac:dyDescent="0.25">
      <c r="A4141" t="s">
        <v>4782</v>
      </c>
      <c r="B4141" t="s">
        <v>304</v>
      </c>
      <c r="C4141" t="s">
        <v>305</v>
      </c>
      <c r="D4141" t="str">
        <f>HYPERLINK("http://service.sap.com/sap/support/notes/1592086","1592086")</f>
        <v>1592086</v>
      </c>
      <c r="E4141">
        <v>5</v>
      </c>
      <c r="F4141" t="s">
        <v>4633</v>
      </c>
    </row>
    <row r="4142" spans="1:6" x14ac:dyDescent="0.25">
      <c r="A4142" t="s">
        <v>4782</v>
      </c>
      <c r="B4142" t="s">
        <v>304</v>
      </c>
      <c r="C4142" t="s">
        <v>305</v>
      </c>
      <c r="D4142" t="str">
        <f>HYPERLINK("http://service.sap.com/sap/support/notes/1592614","1592614")</f>
        <v>1592614</v>
      </c>
      <c r="E4142">
        <v>16</v>
      </c>
      <c r="F4142" t="s">
        <v>4634</v>
      </c>
    </row>
    <row r="4143" spans="1:6" x14ac:dyDescent="0.25">
      <c r="A4143" t="s">
        <v>4782</v>
      </c>
      <c r="B4143" t="s">
        <v>304</v>
      </c>
      <c r="C4143" t="s">
        <v>305</v>
      </c>
      <c r="D4143" t="str">
        <f>HYPERLINK("http://service.sap.com/sap/support/notes/1592634","1592634")</f>
        <v>1592634</v>
      </c>
      <c r="E4143">
        <v>3</v>
      </c>
      <c r="F4143" t="s">
        <v>4635</v>
      </c>
    </row>
    <row r="4144" spans="1:6" x14ac:dyDescent="0.25">
      <c r="A4144" t="s">
        <v>4782</v>
      </c>
      <c r="B4144" t="s">
        <v>304</v>
      </c>
      <c r="C4144" t="s">
        <v>305</v>
      </c>
      <c r="D4144" t="str">
        <f>HYPERLINK("http://service.sap.com/sap/support/notes/1593004","1593004")</f>
        <v>1593004</v>
      </c>
      <c r="E4144">
        <v>1</v>
      </c>
      <c r="F4144" t="s">
        <v>4636</v>
      </c>
    </row>
    <row r="4145" spans="1:6" x14ac:dyDescent="0.25">
      <c r="A4145" t="s">
        <v>4782</v>
      </c>
      <c r="B4145" t="s">
        <v>304</v>
      </c>
      <c r="C4145" t="s">
        <v>305</v>
      </c>
      <c r="D4145" t="str">
        <f>HYPERLINK("http://service.sap.com/sap/support/notes/1593089","1593089")</f>
        <v>1593089</v>
      </c>
      <c r="E4145">
        <v>4</v>
      </c>
      <c r="F4145" t="s">
        <v>4637</v>
      </c>
    </row>
    <row r="4146" spans="1:6" x14ac:dyDescent="0.25">
      <c r="A4146" t="s">
        <v>4782</v>
      </c>
      <c r="B4146" t="s">
        <v>304</v>
      </c>
      <c r="C4146" t="s">
        <v>305</v>
      </c>
      <c r="D4146" t="str">
        <f>HYPERLINK("http://service.sap.com/sap/support/notes/1593705","1593705")</f>
        <v>1593705</v>
      </c>
      <c r="E4146">
        <v>2</v>
      </c>
      <c r="F4146" t="s">
        <v>4638</v>
      </c>
    </row>
    <row r="4147" spans="1:6" x14ac:dyDescent="0.25">
      <c r="A4147" t="s">
        <v>4782</v>
      </c>
      <c r="B4147" t="s">
        <v>304</v>
      </c>
      <c r="C4147" t="s">
        <v>305</v>
      </c>
      <c r="D4147" t="str">
        <f>HYPERLINK("http://service.sap.com/sap/support/notes/1594187","1594187")</f>
        <v>1594187</v>
      </c>
      <c r="E4147">
        <v>2</v>
      </c>
      <c r="F4147" t="s">
        <v>4639</v>
      </c>
    </row>
    <row r="4148" spans="1:6" x14ac:dyDescent="0.25">
      <c r="A4148" t="s">
        <v>4782</v>
      </c>
      <c r="B4148" t="s">
        <v>304</v>
      </c>
      <c r="C4148" t="s">
        <v>305</v>
      </c>
      <c r="D4148" t="str">
        <f>HYPERLINK("http://service.sap.com/sap/support/notes/1595338","1595338")</f>
        <v>1595338</v>
      </c>
      <c r="E4148">
        <v>4</v>
      </c>
      <c r="F4148" t="s">
        <v>4640</v>
      </c>
    </row>
    <row r="4149" spans="1:6" x14ac:dyDescent="0.25">
      <c r="A4149" t="s">
        <v>4782</v>
      </c>
      <c r="B4149" t="s">
        <v>304</v>
      </c>
      <c r="C4149" t="s">
        <v>305</v>
      </c>
      <c r="D4149" t="str">
        <f>HYPERLINK("http://service.sap.com/sap/support/notes/1595837","1595837")</f>
        <v>1595837</v>
      </c>
      <c r="E4149">
        <v>5</v>
      </c>
      <c r="F4149" t="s">
        <v>4641</v>
      </c>
    </row>
    <row r="4150" spans="1:6" x14ac:dyDescent="0.25">
      <c r="A4150" t="s">
        <v>4782</v>
      </c>
      <c r="B4150" t="s">
        <v>304</v>
      </c>
      <c r="C4150" t="s">
        <v>305</v>
      </c>
      <c r="D4150" t="str">
        <f>HYPERLINK("http://service.sap.com/sap/support/notes/1596603","1596603")</f>
        <v>1596603</v>
      </c>
      <c r="E4150">
        <v>2</v>
      </c>
      <c r="F4150" t="s">
        <v>4642</v>
      </c>
    </row>
    <row r="4151" spans="1:6" x14ac:dyDescent="0.25">
      <c r="A4151" t="s">
        <v>4782</v>
      </c>
      <c r="B4151" t="s">
        <v>304</v>
      </c>
      <c r="C4151" t="s">
        <v>305</v>
      </c>
      <c r="D4151" t="str">
        <f>HYPERLINK("http://service.sap.com/sap/support/notes/1599433","1599433")</f>
        <v>1599433</v>
      </c>
      <c r="E4151">
        <v>4</v>
      </c>
      <c r="F4151" t="s">
        <v>4643</v>
      </c>
    </row>
    <row r="4152" spans="1:6" x14ac:dyDescent="0.25">
      <c r="A4152" t="s">
        <v>4782</v>
      </c>
      <c r="B4152" t="s">
        <v>324</v>
      </c>
      <c r="C4152" t="s">
        <v>55</v>
      </c>
      <c r="D4152" t="str">
        <f>HYPERLINK("http://service.sap.com/sap/support/notes/1596069","1596069")</f>
        <v>1596069</v>
      </c>
      <c r="E4152">
        <v>1</v>
      </c>
      <c r="F4152" t="s">
        <v>4644</v>
      </c>
    </row>
    <row r="4153" spans="1:6" x14ac:dyDescent="0.25">
      <c r="A4153" t="s">
        <v>4782</v>
      </c>
      <c r="B4153" t="s">
        <v>324</v>
      </c>
      <c r="C4153" t="s">
        <v>55</v>
      </c>
      <c r="D4153" t="str">
        <f>HYPERLINK("http://service.sap.com/sap/support/notes/1600727","1600727")</f>
        <v>1600727</v>
      </c>
      <c r="E4153">
        <v>1</v>
      </c>
      <c r="F4153" t="s">
        <v>4645</v>
      </c>
    </row>
    <row r="4154" spans="1:6" x14ac:dyDescent="0.25">
      <c r="A4154" t="s">
        <v>4782</v>
      </c>
      <c r="B4154" t="s">
        <v>328</v>
      </c>
      <c r="C4154" t="s">
        <v>58</v>
      </c>
      <c r="D4154" t="str">
        <f>HYPERLINK("http://service.sap.com/sap/support/notes/1522894","1522894")</f>
        <v>1522894</v>
      </c>
      <c r="E4154">
        <v>1</v>
      </c>
      <c r="F4154" t="s">
        <v>1102</v>
      </c>
    </row>
    <row r="4155" spans="1:6" x14ac:dyDescent="0.25">
      <c r="A4155" t="s">
        <v>4782</v>
      </c>
      <c r="B4155" t="s">
        <v>328</v>
      </c>
      <c r="C4155" t="s">
        <v>58</v>
      </c>
      <c r="D4155" t="str">
        <f>HYPERLINK("http://service.sap.com/sap/support/notes/1564656","1564656")</f>
        <v>1564656</v>
      </c>
      <c r="E4155">
        <v>1</v>
      </c>
      <c r="F4155" t="s">
        <v>4646</v>
      </c>
    </row>
    <row r="4156" spans="1:6" x14ac:dyDescent="0.25">
      <c r="A4156" t="s">
        <v>4782</v>
      </c>
      <c r="B4156" t="s">
        <v>328</v>
      </c>
      <c r="C4156" t="s">
        <v>58</v>
      </c>
      <c r="D4156" t="str">
        <f>HYPERLINK("http://service.sap.com/sap/support/notes/1567137","1567137")</f>
        <v>1567137</v>
      </c>
      <c r="E4156">
        <v>1</v>
      </c>
      <c r="F4156" t="s">
        <v>4647</v>
      </c>
    </row>
    <row r="4157" spans="1:6" x14ac:dyDescent="0.25">
      <c r="A4157" t="s">
        <v>4782</v>
      </c>
      <c r="B4157" t="s">
        <v>328</v>
      </c>
      <c r="C4157" t="s">
        <v>58</v>
      </c>
      <c r="D4157" t="str">
        <f>HYPERLINK("http://service.sap.com/sap/support/notes/1594122","1594122")</f>
        <v>1594122</v>
      </c>
      <c r="E4157">
        <v>2</v>
      </c>
      <c r="F4157" t="s">
        <v>4648</v>
      </c>
    </row>
    <row r="4158" spans="1:6" x14ac:dyDescent="0.25">
      <c r="A4158" t="s">
        <v>4782</v>
      </c>
      <c r="B4158" t="s">
        <v>328</v>
      </c>
      <c r="C4158" t="s">
        <v>58</v>
      </c>
      <c r="D4158" t="str">
        <f>HYPERLINK("http://service.sap.com/sap/support/notes/1599832","1599832")</f>
        <v>1599832</v>
      </c>
      <c r="E4158">
        <v>1</v>
      </c>
      <c r="F4158" t="s">
        <v>4649</v>
      </c>
    </row>
    <row r="4159" spans="1:6" x14ac:dyDescent="0.25">
      <c r="A4159" t="s">
        <v>4782</v>
      </c>
      <c r="B4159" t="s">
        <v>2415</v>
      </c>
      <c r="C4159" t="s">
        <v>153</v>
      </c>
      <c r="D4159" t="str">
        <f>HYPERLINK("http://service.sap.com/sap/support/notes/1466540","1466540")</f>
        <v>1466540</v>
      </c>
      <c r="E4159">
        <v>14</v>
      </c>
      <c r="F4159" t="s">
        <v>4650</v>
      </c>
    </row>
    <row r="4160" spans="1:6" x14ac:dyDescent="0.25">
      <c r="A4160" t="s">
        <v>4782</v>
      </c>
      <c r="B4160" t="s">
        <v>343</v>
      </c>
      <c r="C4160" t="s">
        <v>344</v>
      </c>
      <c r="D4160" t="str">
        <f>HYPERLINK("http://service.sap.com/sap/support/notes/1129168","1129168")</f>
        <v>1129168</v>
      </c>
      <c r="E4160">
        <v>1</v>
      </c>
      <c r="F4160" t="s">
        <v>345</v>
      </c>
    </row>
    <row r="4161" spans="1:6" x14ac:dyDescent="0.25">
      <c r="A4161" t="s">
        <v>4782</v>
      </c>
      <c r="B4161" t="s">
        <v>343</v>
      </c>
      <c r="C4161" t="s">
        <v>344</v>
      </c>
      <c r="D4161" t="str">
        <f>HYPERLINK("http://service.sap.com/sap/support/notes/1161364","1161364")</f>
        <v>1161364</v>
      </c>
      <c r="E4161">
        <v>1</v>
      </c>
      <c r="F4161" t="s">
        <v>4651</v>
      </c>
    </row>
    <row r="4162" spans="1:6" x14ac:dyDescent="0.25">
      <c r="A4162" t="s">
        <v>4782</v>
      </c>
      <c r="B4162" t="s">
        <v>343</v>
      </c>
      <c r="C4162" t="s">
        <v>344</v>
      </c>
      <c r="D4162" t="str">
        <f>HYPERLINK("http://service.sap.com/sap/support/notes/1578692","1578692")</f>
        <v>1578692</v>
      </c>
      <c r="E4162">
        <v>1</v>
      </c>
      <c r="F4162" t="s">
        <v>4652</v>
      </c>
    </row>
    <row r="4163" spans="1:6" x14ac:dyDescent="0.25">
      <c r="A4163" t="s">
        <v>4782</v>
      </c>
      <c r="B4163" t="s">
        <v>343</v>
      </c>
      <c r="C4163" t="s">
        <v>344</v>
      </c>
      <c r="D4163" t="str">
        <f>HYPERLINK("http://service.sap.com/sap/support/notes/1594566","1594566")</f>
        <v>1594566</v>
      </c>
      <c r="E4163">
        <v>1</v>
      </c>
      <c r="F4163" t="s">
        <v>4653</v>
      </c>
    </row>
    <row r="4164" spans="1:6" x14ac:dyDescent="0.25">
      <c r="A4164" t="s">
        <v>4782</v>
      </c>
      <c r="B4164" t="s">
        <v>343</v>
      </c>
      <c r="C4164" t="s">
        <v>344</v>
      </c>
      <c r="D4164" t="str">
        <f>HYPERLINK("http://service.sap.com/sap/support/notes/1594993","1594993")</f>
        <v>1594993</v>
      </c>
      <c r="E4164">
        <v>2</v>
      </c>
      <c r="F4164" t="s">
        <v>4175</v>
      </c>
    </row>
    <row r="4165" spans="1:6" x14ac:dyDescent="0.25">
      <c r="A4165" t="s">
        <v>4782</v>
      </c>
      <c r="B4165" t="s">
        <v>343</v>
      </c>
      <c r="C4165" t="s">
        <v>344</v>
      </c>
      <c r="D4165" t="str">
        <f>HYPERLINK("http://service.sap.com/sap/support/notes/1597750","1597750")</f>
        <v>1597750</v>
      </c>
      <c r="E4165">
        <v>2</v>
      </c>
      <c r="F4165" t="s">
        <v>4654</v>
      </c>
    </row>
    <row r="4166" spans="1:6" x14ac:dyDescent="0.25">
      <c r="A4166" t="s">
        <v>4782</v>
      </c>
      <c r="B4166" t="s">
        <v>2021</v>
      </c>
      <c r="C4166" t="s">
        <v>1010</v>
      </c>
    </row>
    <row r="4167" spans="1:6" x14ac:dyDescent="0.25">
      <c r="A4167" t="s">
        <v>4782</v>
      </c>
      <c r="B4167" t="s">
        <v>2022</v>
      </c>
      <c r="C4167" t="s">
        <v>2023</v>
      </c>
      <c r="D4167" t="str">
        <f>HYPERLINK("http://service.sap.com/sap/support/notes/1573159","1573159")</f>
        <v>1573159</v>
      </c>
      <c r="E4167">
        <v>1</v>
      </c>
      <c r="F4167" t="s">
        <v>3213</v>
      </c>
    </row>
    <row r="4168" spans="1:6" x14ac:dyDescent="0.25">
      <c r="A4168" t="s">
        <v>4782</v>
      </c>
      <c r="B4168" t="s">
        <v>2022</v>
      </c>
      <c r="C4168" t="s">
        <v>2023</v>
      </c>
      <c r="D4168" t="str">
        <f>HYPERLINK("http://service.sap.com/sap/support/notes/1590393","1590393")</f>
        <v>1590393</v>
      </c>
      <c r="E4168">
        <v>1</v>
      </c>
      <c r="F4168" t="s">
        <v>4655</v>
      </c>
    </row>
    <row r="4169" spans="1:6" x14ac:dyDescent="0.25">
      <c r="A4169" t="s">
        <v>4782</v>
      </c>
      <c r="B4169" t="s">
        <v>2022</v>
      </c>
      <c r="C4169" t="s">
        <v>2023</v>
      </c>
      <c r="D4169" t="str">
        <f>HYPERLINK("http://service.sap.com/sap/support/notes/1593910","1593910")</f>
        <v>1593910</v>
      </c>
      <c r="E4169">
        <v>1</v>
      </c>
      <c r="F4169" t="s">
        <v>4656</v>
      </c>
    </row>
    <row r="4170" spans="1:6" x14ac:dyDescent="0.25">
      <c r="A4170" t="s">
        <v>4782</v>
      </c>
      <c r="B4170" t="s">
        <v>2022</v>
      </c>
      <c r="C4170" t="s">
        <v>2023</v>
      </c>
      <c r="D4170" t="str">
        <f>HYPERLINK("http://service.sap.com/sap/support/notes/1594401","1594401")</f>
        <v>1594401</v>
      </c>
      <c r="E4170">
        <v>2</v>
      </c>
      <c r="F4170" t="s">
        <v>4657</v>
      </c>
    </row>
    <row r="4171" spans="1:6" x14ac:dyDescent="0.25">
      <c r="A4171" t="s">
        <v>4782</v>
      </c>
      <c r="B4171" t="s">
        <v>2022</v>
      </c>
      <c r="C4171" t="s">
        <v>2023</v>
      </c>
      <c r="D4171" t="str">
        <f>HYPERLINK("http://service.sap.com/sap/support/notes/1595972","1595972")</f>
        <v>1595972</v>
      </c>
      <c r="E4171">
        <v>1</v>
      </c>
      <c r="F4171" t="s">
        <v>4658</v>
      </c>
    </row>
    <row r="4172" spans="1:6" x14ac:dyDescent="0.25">
      <c r="A4172" t="s">
        <v>4782</v>
      </c>
      <c r="B4172" t="s">
        <v>2022</v>
      </c>
      <c r="C4172" t="s">
        <v>2023</v>
      </c>
      <c r="D4172" t="str">
        <f>HYPERLINK("http://service.sap.com/sap/support/notes/1596431","1596431")</f>
        <v>1596431</v>
      </c>
      <c r="E4172">
        <v>1</v>
      </c>
      <c r="F4172" t="s">
        <v>4659</v>
      </c>
    </row>
    <row r="4173" spans="1:6" x14ac:dyDescent="0.25">
      <c r="A4173" t="s">
        <v>4782</v>
      </c>
      <c r="B4173" t="s">
        <v>2022</v>
      </c>
      <c r="C4173" t="s">
        <v>2023</v>
      </c>
      <c r="D4173" t="str">
        <f>HYPERLINK("http://service.sap.com/sap/support/notes/1596824","1596824")</f>
        <v>1596824</v>
      </c>
      <c r="E4173">
        <v>1</v>
      </c>
      <c r="F4173" t="s">
        <v>4660</v>
      </c>
    </row>
    <row r="4174" spans="1:6" x14ac:dyDescent="0.25">
      <c r="A4174" t="s">
        <v>4782</v>
      </c>
      <c r="B4174" t="s">
        <v>2022</v>
      </c>
      <c r="C4174" t="s">
        <v>2023</v>
      </c>
      <c r="D4174" t="str">
        <f>HYPERLINK("http://service.sap.com/sap/support/notes/1601766","1601766")</f>
        <v>1601766</v>
      </c>
      <c r="E4174">
        <v>1</v>
      </c>
      <c r="F4174" t="s">
        <v>4661</v>
      </c>
    </row>
    <row r="4175" spans="1:6" x14ac:dyDescent="0.25">
      <c r="A4175" t="s">
        <v>4782</v>
      </c>
      <c r="B4175" t="s">
        <v>1121</v>
      </c>
      <c r="C4175" t="s">
        <v>251</v>
      </c>
    </row>
    <row r="4176" spans="1:6" x14ac:dyDescent="0.25">
      <c r="A4176" t="s">
        <v>4782</v>
      </c>
      <c r="B4176" t="s">
        <v>3781</v>
      </c>
      <c r="C4176" t="s">
        <v>3782</v>
      </c>
      <c r="D4176" t="str">
        <f>HYPERLINK("http://service.sap.com/sap/support/notes/1596806","1596806")</f>
        <v>1596806</v>
      </c>
      <c r="E4176">
        <v>1</v>
      </c>
      <c r="F4176" t="s">
        <v>4662</v>
      </c>
    </row>
    <row r="4177" spans="1:6" x14ac:dyDescent="0.25">
      <c r="A4177" t="s">
        <v>4782</v>
      </c>
      <c r="B4177" t="s">
        <v>3781</v>
      </c>
      <c r="C4177" t="s">
        <v>3782</v>
      </c>
      <c r="D4177" t="str">
        <f>HYPERLINK("http://service.sap.com/sap/support/notes/1597431","1597431")</f>
        <v>1597431</v>
      </c>
      <c r="E4177">
        <v>1</v>
      </c>
      <c r="F4177" t="s">
        <v>4663</v>
      </c>
    </row>
    <row r="4178" spans="1:6" x14ac:dyDescent="0.25">
      <c r="A4178" t="s">
        <v>4782</v>
      </c>
      <c r="B4178" t="s">
        <v>2793</v>
      </c>
      <c r="C4178" t="s">
        <v>265</v>
      </c>
      <c r="D4178" t="str">
        <f>HYPERLINK("http://service.sap.com/sap/support/notes/1579935","1579935")</f>
        <v>1579935</v>
      </c>
      <c r="E4178">
        <v>2</v>
      </c>
      <c r="F4178" t="s">
        <v>3784</v>
      </c>
    </row>
    <row r="4179" spans="1:6" x14ac:dyDescent="0.25">
      <c r="A4179" t="s">
        <v>4782</v>
      </c>
      <c r="B4179" t="s">
        <v>2793</v>
      </c>
      <c r="C4179" t="s">
        <v>265</v>
      </c>
      <c r="D4179" t="str">
        <f>HYPERLINK("http://service.sap.com/sap/support/notes/1581498","1581498")</f>
        <v>1581498</v>
      </c>
      <c r="E4179">
        <v>2</v>
      </c>
      <c r="F4179" t="s">
        <v>4664</v>
      </c>
    </row>
    <row r="4180" spans="1:6" x14ac:dyDescent="0.25">
      <c r="A4180" t="s">
        <v>4782</v>
      </c>
      <c r="B4180" t="s">
        <v>349</v>
      </c>
      <c r="C4180" t="s">
        <v>299</v>
      </c>
      <c r="D4180" t="str">
        <f>HYPERLINK("http://service.sap.com/sap/support/notes/1582826","1582826")</f>
        <v>1582826</v>
      </c>
      <c r="E4180">
        <v>2</v>
      </c>
      <c r="F4180" t="s">
        <v>4665</v>
      </c>
    </row>
    <row r="4181" spans="1:6" x14ac:dyDescent="0.25">
      <c r="A4181" t="s">
        <v>4782</v>
      </c>
      <c r="B4181" t="s">
        <v>350</v>
      </c>
      <c r="C4181" t="s">
        <v>351</v>
      </c>
      <c r="D4181" t="str">
        <f>HYPERLINK("http://service.sap.com/sap/support/notes/1532548","1532548")</f>
        <v>1532548</v>
      </c>
      <c r="E4181">
        <v>1</v>
      </c>
      <c r="F4181" t="s">
        <v>4666</v>
      </c>
    </row>
    <row r="4182" spans="1:6" x14ac:dyDescent="0.25">
      <c r="A4182" t="s">
        <v>4782</v>
      </c>
      <c r="B4182" t="s">
        <v>350</v>
      </c>
      <c r="C4182" t="s">
        <v>351</v>
      </c>
      <c r="D4182" t="str">
        <f>HYPERLINK("http://service.sap.com/sap/support/notes/1552349","1552349")</f>
        <v>1552349</v>
      </c>
      <c r="E4182">
        <v>1</v>
      </c>
      <c r="F4182" t="s">
        <v>2426</v>
      </c>
    </row>
    <row r="4183" spans="1:6" x14ac:dyDescent="0.25">
      <c r="A4183" t="s">
        <v>4782</v>
      </c>
      <c r="B4183" t="s">
        <v>350</v>
      </c>
      <c r="C4183" t="s">
        <v>351</v>
      </c>
      <c r="D4183" t="str">
        <f>HYPERLINK("http://service.sap.com/sap/support/notes/1594119","1594119")</f>
        <v>1594119</v>
      </c>
      <c r="E4183">
        <v>1</v>
      </c>
      <c r="F4183" t="s">
        <v>4667</v>
      </c>
    </row>
    <row r="4184" spans="1:6" x14ac:dyDescent="0.25">
      <c r="A4184" t="s">
        <v>4782</v>
      </c>
      <c r="B4184" t="s">
        <v>353</v>
      </c>
      <c r="C4184" t="s">
        <v>354</v>
      </c>
      <c r="D4184" t="str">
        <f>HYPERLINK("http://service.sap.com/sap/support/notes/1601215","1601215")</f>
        <v>1601215</v>
      </c>
      <c r="E4184">
        <v>1</v>
      </c>
      <c r="F4184" t="s">
        <v>4668</v>
      </c>
    </row>
    <row r="4185" spans="1:6" x14ac:dyDescent="0.25">
      <c r="A4185" t="s">
        <v>4782</v>
      </c>
      <c r="B4185" t="s">
        <v>358</v>
      </c>
      <c r="C4185" t="s">
        <v>359</v>
      </c>
      <c r="D4185" t="str">
        <f>HYPERLINK("http://service.sap.com/sap/support/notes/1518773","1518773")</f>
        <v>1518773</v>
      </c>
      <c r="E4185">
        <v>3</v>
      </c>
      <c r="F4185" t="s">
        <v>4669</v>
      </c>
    </row>
    <row r="4186" spans="1:6" x14ac:dyDescent="0.25">
      <c r="A4186" t="s">
        <v>4782</v>
      </c>
      <c r="B4186" t="s">
        <v>358</v>
      </c>
      <c r="C4186" t="s">
        <v>359</v>
      </c>
      <c r="D4186" t="str">
        <f>HYPERLINK("http://service.sap.com/sap/support/notes/1597661","1597661")</f>
        <v>1597661</v>
      </c>
      <c r="E4186">
        <v>2</v>
      </c>
      <c r="F4186" t="s">
        <v>4670</v>
      </c>
    </row>
    <row r="4187" spans="1:6" x14ac:dyDescent="0.25">
      <c r="A4187" t="s">
        <v>4782</v>
      </c>
      <c r="B4187" t="s">
        <v>358</v>
      </c>
      <c r="C4187" t="s">
        <v>359</v>
      </c>
      <c r="D4187" t="str">
        <f>HYPERLINK("http://service.sap.com/sap/support/notes/1598676","1598676")</f>
        <v>1598676</v>
      </c>
      <c r="E4187">
        <v>1</v>
      </c>
      <c r="F4187" t="s">
        <v>4671</v>
      </c>
    </row>
    <row r="4188" spans="1:6" x14ac:dyDescent="0.25">
      <c r="A4188" t="s">
        <v>4782</v>
      </c>
      <c r="B4188" t="s">
        <v>363</v>
      </c>
      <c r="C4188" t="s">
        <v>74</v>
      </c>
      <c r="D4188" t="str">
        <f>HYPERLINK("http://service.sap.com/sap/support/notes/1567711","1567711")</f>
        <v>1567711</v>
      </c>
      <c r="E4188">
        <v>1</v>
      </c>
      <c r="F4188" t="s">
        <v>2818</v>
      </c>
    </row>
    <row r="4189" spans="1:6" x14ac:dyDescent="0.25">
      <c r="A4189" t="s">
        <v>4782</v>
      </c>
      <c r="B4189" t="s">
        <v>363</v>
      </c>
      <c r="C4189" t="s">
        <v>74</v>
      </c>
      <c r="D4189" t="str">
        <f>HYPERLINK("http://service.sap.com/sap/support/notes/1577846","1577846")</f>
        <v>1577846</v>
      </c>
      <c r="E4189">
        <v>12</v>
      </c>
      <c r="F4189" t="s">
        <v>3813</v>
      </c>
    </row>
    <row r="4190" spans="1:6" x14ac:dyDescent="0.25">
      <c r="A4190" t="s">
        <v>4782</v>
      </c>
      <c r="B4190" t="s">
        <v>363</v>
      </c>
      <c r="C4190" t="s">
        <v>74</v>
      </c>
      <c r="D4190" t="str">
        <f>HYPERLINK("http://service.sap.com/sap/support/notes/1589760","1589760")</f>
        <v>1589760</v>
      </c>
      <c r="E4190">
        <v>1</v>
      </c>
      <c r="F4190" t="s">
        <v>4672</v>
      </c>
    </row>
    <row r="4191" spans="1:6" x14ac:dyDescent="0.25">
      <c r="A4191" t="s">
        <v>4782</v>
      </c>
      <c r="B4191" t="s">
        <v>363</v>
      </c>
      <c r="C4191" t="s">
        <v>74</v>
      </c>
      <c r="D4191" t="str">
        <f>HYPERLINK("http://service.sap.com/sap/support/notes/1592772","1592772")</f>
        <v>1592772</v>
      </c>
      <c r="E4191">
        <v>2</v>
      </c>
      <c r="F4191" t="s">
        <v>4673</v>
      </c>
    </row>
    <row r="4192" spans="1:6" x14ac:dyDescent="0.25">
      <c r="A4192" t="s">
        <v>4782</v>
      </c>
      <c r="B4192" t="s">
        <v>363</v>
      </c>
      <c r="C4192" t="s">
        <v>74</v>
      </c>
      <c r="D4192" t="str">
        <f>HYPERLINK("http://service.sap.com/sap/support/notes/1593887","1593887")</f>
        <v>1593887</v>
      </c>
      <c r="E4192">
        <v>3</v>
      </c>
      <c r="F4192" t="s">
        <v>4674</v>
      </c>
    </row>
    <row r="4193" spans="1:6" x14ac:dyDescent="0.25">
      <c r="A4193" t="s">
        <v>4782</v>
      </c>
      <c r="B4193" t="s">
        <v>363</v>
      </c>
      <c r="C4193" t="s">
        <v>74</v>
      </c>
      <c r="D4193" t="str">
        <f>HYPERLINK("http://service.sap.com/sap/support/notes/1594947","1594947")</f>
        <v>1594947</v>
      </c>
      <c r="E4193">
        <v>4</v>
      </c>
      <c r="F4193" t="s">
        <v>4675</v>
      </c>
    </row>
    <row r="4194" spans="1:6" x14ac:dyDescent="0.25">
      <c r="A4194" t="s">
        <v>4782</v>
      </c>
      <c r="B4194" t="s">
        <v>363</v>
      </c>
      <c r="C4194" t="s">
        <v>74</v>
      </c>
      <c r="D4194" t="str">
        <f>HYPERLINK("http://service.sap.com/sap/support/notes/1595820","1595820")</f>
        <v>1595820</v>
      </c>
      <c r="E4194">
        <v>1</v>
      </c>
      <c r="F4194" t="s">
        <v>4676</v>
      </c>
    </row>
    <row r="4195" spans="1:6" x14ac:dyDescent="0.25">
      <c r="A4195" t="s">
        <v>4782</v>
      </c>
      <c r="B4195" t="s">
        <v>363</v>
      </c>
      <c r="C4195" t="s">
        <v>74</v>
      </c>
      <c r="D4195" t="str">
        <f>HYPERLINK("http://service.sap.com/sap/support/notes/1595953","1595953")</f>
        <v>1595953</v>
      </c>
      <c r="E4195">
        <v>3</v>
      </c>
      <c r="F4195" t="s">
        <v>4677</v>
      </c>
    </row>
    <row r="4196" spans="1:6" x14ac:dyDescent="0.25">
      <c r="A4196" t="s">
        <v>4782</v>
      </c>
      <c r="B4196" t="s">
        <v>363</v>
      </c>
      <c r="C4196" t="s">
        <v>74</v>
      </c>
      <c r="D4196" t="str">
        <f>HYPERLINK("http://service.sap.com/sap/support/notes/1596639","1596639")</f>
        <v>1596639</v>
      </c>
      <c r="E4196">
        <v>4</v>
      </c>
      <c r="F4196" t="s">
        <v>4678</v>
      </c>
    </row>
    <row r="4197" spans="1:6" x14ac:dyDescent="0.25">
      <c r="A4197" t="s">
        <v>4782</v>
      </c>
      <c r="B4197" t="s">
        <v>363</v>
      </c>
      <c r="C4197" t="s">
        <v>74</v>
      </c>
      <c r="D4197" t="str">
        <f>HYPERLINK("http://service.sap.com/sap/support/notes/1597184","1597184")</f>
        <v>1597184</v>
      </c>
      <c r="E4197">
        <v>2</v>
      </c>
      <c r="F4197" t="s">
        <v>4679</v>
      </c>
    </row>
    <row r="4198" spans="1:6" x14ac:dyDescent="0.25">
      <c r="A4198" t="s">
        <v>4782</v>
      </c>
      <c r="B4198" t="s">
        <v>363</v>
      </c>
      <c r="C4198" t="s">
        <v>74</v>
      </c>
      <c r="D4198" t="str">
        <f>HYPERLINK("http://service.sap.com/sap/support/notes/1600217","1600217")</f>
        <v>1600217</v>
      </c>
      <c r="E4198">
        <v>1</v>
      </c>
      <c r="F4198" t="s">
        <v>4680</v>
      </c>
    </row>
    <row r="4199" spans="1:6" x14ac:dyDescent="0.25">
      <c r="A4199" t="s">
        <v>4782</v>
      </c>
      <c r="B4199" t="s">
        <v>374</v>
      </c>
      <c r="C4199" t="s">
        <v>77</v>
      </c>
      <c r="D4199" t="str">
        <f>HYPERLINK("http://service.sap.com/sap/support/notes/1454959","1454959")</f>
        <v>1454959</v>
      </c>
      <c r="E4199">
        <v>3</v>
      </c>
      <c r="F4199" t="s">
        <v>4681</v>
      </c>
    </row>
    <row r="4200" spans="1:6" x14ac:dyDescent="0.25">
      <c r="A4200" t="s">
        <v>4782</v>
      </c>
      <c r="B4200" t="s">
        <v>374</v>
      </c>
      <c r="C4200" t="s">
        <v>77</v>
      </c>
      <c r="D4200" t="str">
        <f>HYPERLINK("http://service.sap.com/sap/support/notes/1589044","1589044")</f>
        <v>1589044</v>
      </c>
      <c r="E4200">
        <v>2</v>
      </c>
      <c r="F4200" t="s">
        <v>4682</v>
      </c>
    </row>
    <row r="4201" spans="1:6" x14ac:dyDescent="0.25">
      <c r="A4201" t="s">
        <v>4782</v>
      </c>
      <c r="B4201" t="s">
        <v>379</v>
      </c>
      <c r="C4201" t="s">
        <v>80</v>
      </c>
      <c r="D4201" t="str">
        <f>HYPERLINK("http://service.sap.com/sap/support/notes/1592867","1592867")</f>
        <v>1592867</v>
      </c>
      <c r="E4201">
        <v>1</v>
      </c>
      <c r="F4201" t="s">
        <v>4683</v>
      </c>
    </row>
    <row r="4202" spans="1:6" x14ac:dyDescent="0.25">
      <c r="A4202" t="s">
        <v>4782</v>
      </c>
      <c r="B4202" t="s">
        <v>379</v>
      </c>
      <c r="C4202" t="s">
        <v>80</v>
      </c>
      <c r="D4202" t="str">
        <f>HYPERLINK("http://service.sap.com/sap/support/notes/1592875","1592875")</f>
        <v>1592875</v>
      </c>
      <c r="E4202">
        <v>1</v>
      </c>
      <c r="F4202" t="s">
        <v>4684</v>
      </c>
    </row>
    <row r="4203" spans="1:6" x14ac:dyDescent="0.25">
      <c r="A4203" t="s">
        <v>4782</v>
      </c>
      <c r="B4203" t="s">
        <v>379</v>
      </c>
      <c r="C4203" t="s">
        <v>80</v>
      </c>
      <c r="D4203" t="str">
        <f>HYPERLINK("http://service.sap.com/sap/support/notes/1595085","1595085")</f>
        <v>1595085</v>
      </c>
      <c r="E4203">
        <v>1</v>
      </c>
      <c r="F4203" t="s">
        <v>4685</v>
      </c>
    </row>
    <row r="4204" spans="1:6" x14ac:dyDescent="0.25">
      <c r="A4204" t="s">
        <v>4782</v>
      </c>
      <c r="B4204" t="s">
        <v>379</v>
      </c>
      <c r="C4204" t="s">
        <v>80</v>
      </c>
      <c r="D4204" t="str">
        <f>HYPERLINK("http://service.sap.com/sap/support/notes/1595154","1595154")</f>
        <v>1595154</v>
      </c>
      <c r="E4204">
        <v>1</v>
      </c>
      <c r="F4204" t="s">
        <v>4686</v>
      </c>
    </row>
    <row r="4205" spans="1:6" x14ac:dyDescent="0.25">
      <c r="A4205" t="s">
        <v>4782</v>
      </c>
      <c r="B4205" t="s">
        <v>379</v>
      </c>
      <c r="C4205" t="s">
        <v>80</v>
      </c>
      <c r="D4205" t="str">
        <f>HYPERLINK("http://service.sap.com/sap/support/notes/1595416","1595416")</f>
        <v>1595416</v>
      </c>
      <c r="E4205">
        <v>1</v>
      </c>
      <c r="F4205" t="s">
        <v>4687</v>
      </c>
    </row>
    <row r="4206" spans="1:6" x14ac:dyDescent="0.25">
      <c r="A4206" t="s">
        <v>4782</v>
      </c>
      <c r="B4206" t="s">
        <v>379</v>
      </c>
      <c r="C4206" t="s">
        <v>80</v>
      </c>
      <c r="D4206" t="str">
        <f>HYPERLINK("http://service.sap.com/sap/support/notes/1596086","1596086")</f>
        <v>1596086</v>
      </c>
      <c r="E4206">
        <v>7</v>
      </c>
      <c r="F4206" t="s">
        <v>4688</v>
      </c>
    </row>
    <row r="4207" spans="1:6" x14ac:dyDescent="0.25">
      <c r="A4207" t="s">
        <v>4782</v>
      </c>
      <c r="B4207" t="s">
        <v>379</v>
      </c>
      <c r="C4207" t="s">
        <v>80</v>
      </c>
      <c r="D4207" t="str">
        <f>HYPERLINK("http://service.sap.com/sap/support/notes/1597517","1597517")</f>
        <v>1597517</v>
      </c>
      <c r="E4207">
        <v>1</v>
      </c>
      <c r="F4207" t="s">
        <v>4689</v>
      </c>
    </row>
    <row r="4208" spans="1:6" x14ac:dyDescent="0.25">
      <c r="A4208" t="s">
        <v>4782</v>
      </c>
      <c r="B4208" t="s">
        <v>379</v>
      </c>
      <c r="C4208" t="s">
        <v>80</v>
      </c>
      <c r="D4208" t="str">
        <f>HYPERLINK("http://service.sap.com/sap/support/notes/1597969","1597969")</f>
        <v>1597969</v>
      </c>
      <c r="E4208">
        <v>1</v>
      </c>
      <c r="F4208" t="s">
        <v>4690</v>
      </c>
    </row>
    <row r="4209" spans="1:6" x14ac:dyDescent="0.25">
      <c r="A4209" t="s">
        <v>4782</v>
      </c>
      <c r="B4209" t="s">
        <v>379</v>
      </c>
      <c r="C4209" t="s">
        <v>80</v>
      </c>
      <c r="D4209" t="str">
        <f>HYPERLINK("http://service.sap.com/sap/support/notes/1597993","1597993")</f>
        <v>1597993</v>
      </c>
      <c r="E4209">
        <v>1</v>
      </c>
      <c r="F4209" t="s">
        <v>4691</v>
      </c>
    </row>
    <row r="4210" spans="1:6" x14ac:dyDescent="0.25">
      <c r="A4210" t="s">
        <v>4782</v>
      </c>
      <c r="B4210" t="s">
        <v>386</v>
      </c>
      <c r="C4210" t="s">
        <v>299</v>
      </c>
    </row>
    <row r="4211" spans="1:6" x14ac:dyDescent="0.25">
      <c r="A4211" t="s">
        <v>4782</v>
      </c>
      <c r="B4211" t="s">
        <v>4692</v>
      </c>
      <c r="C4211" t="s">
        <v>4693</v>
      </c>
      <c r="D4211" t="str">
        <f>HYPERLINK("http://service.sap.com/sap/support/notes/1598447","1598447")</f>
        <v>1598447</v>
      </c>
      <c r="E4211">
        <v>1</v>
      </c>
      <c r="F4211" t="s">
        <v>4694</v>
      </c>
    </row>
    <row r="4212" spans="1:6" x14ac:dyDescent="0.25">
      <c r="A4212" t="s">
        <v>4782</v>
      </c>
      <c r="B4212" t="s">
        <v>388</v>
      </c>
      <c r="C4212" t="s">
        <v>87</v>
      </c>
      <c r="D4212" t="str">
        <f>HYPERLINK("http://service.sap.com/sap/support/notes/1224058","1224058")</f>
        <v>1224058</v>
      </c>
      <c r="E4212">
        <v>1</v>
      </c>
      <c r="F4212" t="s">
        <v>389</v>
      </c>
    </row>
    <row r="4213" spans="1:6" x14ac:dyDescent="0.25">
      <c r="A4213" t="s">
        <v>4782</v>
      </c>
      <c r="B4213" t="s">
        <v>388</v>
      </c>
      <c r="C4213" t="s">
        <v>87</v>
      </c>
      <c r="D4213" t="str">
        <f>HYPERLINK("http://service.sap.com/sap/support/notes/1587186","1587186")</f>
        <v>1587186</v>
      </c>
      <c r="E4213">
        <v>1</v>
      </c>
      <c r="F4213" t="s">
        <v>4695</v>
      </c>
    </row>
    <row r="4214" spans="1:6" x14ac:dyDescent="0.25">
      <c r="A4214" t="s">
        <v>4782</v>
      </c>
      <c r="B4214" t="s">
        <v>388</v>
      </c>
      <c r="C4214" t="s">
        <v>87</v>
      </c>
      <c r="D4214" t="str">
        <f>HYPERLINK("http://service.sap.com/sap/support/notes/1591131","1591131")</f>
        <v>1591131</v>
      </c>
      <c r="E4214">
        <v>2</v>
      </c>
      <c r="F4214" t="s">
        <v>4177</v>
      </c>
    </row>
    <row r="4215" spans="1:6" x14ac:dyDescent="0.25">
      <c r="A4215" t="s">
        <v>4782</v>
      </c>
      <c r="B4215" t="s">
        <v>388</v>
      </c>
      <c r="C4215" t="s">
        <v>87</v>
      </c>
      <c r="D4215" t="str">
        <f>HYPERLINK("http://service.sap.com/sap/support/notes/1595012","1595012")</f>
        <v>1595012</v>
      </c>
      <c r="E4215">
        <v>1</v>
      </c>
      <c r="F4215" t="s">
        <v>4696</v>
      </c>
    </row>
    <row r="4216" spans="1:6" x14ac:dyDescent="0.25">
      <c r="A4216" t="s">
        <v>4782</v>
      </c>
      <c r="B4216" t="s">
        <v>388</v>
      </c>
      <c r="C4216" t="s">
        <v>87</v>
      </c>
      <c r="D4216" t="str">
        <f>HYPERLINK("http://service.sap.com/sap/support/notes/1596055","1596055")</f>
        <v>1596055</v>
      </c>
      <c r="E4216">
        <v>3</v>
      </c>
      <c r="F4216" t="s">
        <v>4697</v>
      </c>
    </row>
    <row r="4217" spans="1:6" x14ac:dyDescent="0.25">
      <c r="A4217" t="s">
        <v>4782</v>
      </c>
      <c r="B4217" t="s">
        <v>388</v>
      </c>
      <c r="C4217" t="s">
        <v>87</v>
      </c>
      <c r="D4217" t="str">
        <f>HYPERLINK("http://service.sap.com/sap/support/notes/1596966","1596966")</f>
        <v>1596966</v>
      </c>
      <c r="E4217">
        <v>1</v>
      </c>
      <c r="F4217" t="s">
        <v>4698</v>
      </c>
    </row>
    <row r="4218" spans="1:6" x14ac:dyDescent="0.25">
      <c r="A4218" t="s">
        <v>4782</v>
      </c>
      <c r="B4218" t="s">
        <v>388</v>
      </c>
      <c r="C4218" t="s">
        <v>87</v>
      </c>
      <c r="D4218" t="str">
        <f>HYPERLINK("http://service.sap.com/sap/support/notes/1597050","1597050")</f>
        <v>1597050</v>
      </c>
      <c r="E4218">
        <v>1</v>
      </c>
      <c r="F4218" t="s">
        <v>4699</v>
      </c>
    </row>
    <row r="4219" spans="1:6" x14ac:dyDescent="0.25">
      <c r="A4219" t="s">
        <v>4782</v>
      </c>
      <c r="B4219" t="s">
        <v>388</v>
      </c>
      <c r="C4219" t="s">
        <v>87</v>
      </c>
      <c r="D4219" t="str">
        <f>HYPERLINK("http://service.sap.com/sap/support/notes/1597506","1597506")</f>
        <v>1597506</v>
      </c>
      <c r="E4219">
        <v>3</v>
      </c>
      <c r="F4219" t="s">
        <v>4700</v>
      </c>
    </row>
    <row r="4220" spans="1:6" x14ac:dyDescent="0.25">
      <c r="A4220" t="s">
        <v>4782</v>
      </c>
      <c r="B4220" t="s">
        <v>396</v>
      </c>
      <c r="C4220" t="s">
        <v>397</v>
      </c>
      <c r="D4220" t="str">
        <f>HYPERLINK("http://service.sap.com/sap/support/notes/1578570","1578570")</f>
        <v>1578570</v>
      </c>
      <c r="E4220">
        <v>3</v>
      </c>
      <c r="F4220" t="s">
        <v>4701</v>
      </c>
    </row>
    <row r="4221" spans="1:6" x14ac:dyDescent="0.25">
      <c r="A4221" t="s">
        <v>4782</v>
      </c>
      <c r="B4221" t="s">
        <v>396</v>
      </c>
      <c r="C4221" t="s">
        <v>397</v>
      </c>
      <c r="D4221" t="str">
        <f>HYPERLINK("http://service.sap.com/sap/support/notes/1587356","1587356")</f>
        <v>1587356</v>
      </c>
      <c r="E4221">
        <v>3</v>
      </c>
      <c r="F4221" t="s">
        <v>4702</v>
      </c>
    </row>
    <row r="4222" spans="1:6" x14ac:dyDescent="0.25">
      <c r="A4222" t="s">
        <v>4782</v>
      </c>
      <c r="B4222" t="s">
        <v>396</v>
      </c>
      <c r="C4222" t="s">
        <v>397</v>
      </c>
      <c r="D4222" t="str">
        <f>HYPERLINK("http://service.sap.com/sap/support/notes/1595303","1595303")</f>
        <v>1595303</v>
      </c>
      <c r="E4222">
        <v>2</v>
      </c>
      <c r="F4222" t="s">
        <v>4703</v>
      </c>
    </row>
    <row r="4223" spans="1:6" x14ac:dyDescent="0.25">
      <c r="A4223" t="s">
        <v>4782</v>
      </c>
      <c r="B4223" t="s">
        <v>405</v>
      </c>
      <c r="C4223" t="s">
        <v>90</v>
      </c>
      <c r="D4223" t="str">
        <f>HYPERLINK("http://service.sap.com/sap/support/notes/645372","645372")</f>
        <v>645372</v>
      </c>
      <c r="E4223">
        <v>1</v>
      </c>
      <c r="F4223" t="s">
        <v>406</v>
      </c>
    </row>
    <row r="4224" spans="1:6" x14ac:dyDescent="0.25">
      <c r="A4224" t="s">
        <v>4782</v>
      </c>
      <c r="B4224" t="s">
        <v>405</v>
      </c>
      <c r="C4224" t="s">
        <v>90</v>
      </c>
      <c r="D4224" t="str">
        <f>HYPERLINK("http://service.sap.com/sap/support/notes/1586800","1586800")</f>
        <v>1586800</v>
      </c>
      <c r="E4224">
        <v>1</v>
      </c>
      <c r="F4224" t="s">
        <v>4704</v>
      </c>
    </row>
    <row r="4225" spans="1:6" x14ac:dyDescent="0.25">
      <c r="A4225" t="s">
        <v>4782</v>
      </c>
      <c r="B4225" t="s">
        <v>405</v>
      </c>
      <c r="C4225" t="s">
        <v>90</v>
      </c>
      <c r="D4225" t="str">
        <f>HYPERLINK("http://service.sap.com/sap/support/notes/1591682","1591682")</f>
        <v>1591682</v>
      </c>
      <c r="E4225">
        <v>1</v>
      </c>
      <c r="F4225" t="s">
        <v>4705</v>
      </c>
    </row>
    <row r="4226" spans="1:6" x14ac:dyDescent="0.25">
      <c r="A4226" t="s">
        <v>4782</v>
      </c>
      <c r="B4226" t="s">
        <v>405</v>
      </c>
      <c r="C4226" t="s">
        <v>90</v>
      </c>
      <c r="D4226" t="str">
        <f>HYPERLINK("http://service.sap.com/sap/support/notes/1596998","1596998")</f>
        <v>1596998</v>
      </c>
      <c r="E4226">
        <v>1</v>
      </c>
      <c r="F4226" t="s">
        <v>4706</v>
      </c>
    </row>
    <row r="4227" spans="1:6" x14ac:dyDescent="0.25">
      <c r="A4227" t="s">
        <v>4782</v>
      </c>
      <c r="B4227" t="s">
        <v>405</v>
      </c>
      <c r="C4227" t="s">
        <v>90</v>
      </c>
      <c r="D4227" t="str">
        <f>HYPERLINK("http://service.sap.com/sap/support/notes/1598982","1598982")</f>
        <v>1598982</v>
      </c>
      <c r="E4227">
        <v>1</v>
      </c>
      <c r="F4227" t="s">
        <v>4707</v>
      </c>
    </row>
    <row r="4228" spans="1:6" x14ac:dyDescent="0.25">
      <c r="A4228" t="s">
        <v>4782</v>
      </c>
      <c r="B4228" t="s">
        <v>411</v>
      </c>
      <c r="C4228" t="s">
        <v>412</v>
      </c>
      <c r="D4228" t="str">
        <f>HYPERLINK("http://service.sap.com/sap/support/notes/1546313","1546313")</f>
        <v>1546313</v>
      </c>
      <c r="E4228">
        <v>2</v>
      </c>
      <c r="F4228" t="s">
        <v>4708</v>
      </c>
    </row>
    <row r="4229" spans="1:6" x14ac:dyDescent="0.25">
      <c r="A4229" t="s">
        <v>4782</v>
      </c>
      <c r="B4229" t="s">
        <v>411</v>
      </c>
      <c r="C4229" t="s">
        <v>412</v>
      </c>
      <c r="D4229" t="str">
        <f>HYPERLINK("http://service.sap.com/sap/support/notes/1594002","1594002")</f>
        <v>1594002</v>
      </c>
      <c r="E4229">
        <v>1</v>
      </c>
      <c r="F4229" t="s">
        <v>4709</v>
      </c>
    </row>
    <row r="4230" spans="1:6" x14ac:dyDescent="0.25">
      <c r="A4230" t="s">
        <v>4782</v>
      </c>
      <c r="B4230" t="s">
        <v>411</v>
      </c>
      <c r="C4230" t="s">
        <v>412</v>
      </c>
      <c r="D4230" t="str">
        <f>HYPERLINK("http://service.sap.com/sap/support/notes/1597251","1597251")</f>
        <v>1597251</v>
      </c>
      <c r="E4230">
        <v>1</v>
      </c>
      <c r="F4230" t="s">
        <v>4710</v>
      </c>
    </row>
    <row r="4231" spans="1:6" x14ac:dyDescent="0.25">
      <c r="A4231" t="s">
        <v>4782</v>
      </c>
      <c r="B4231" t="s">
        <v>411</v>
      </c>
      <c r="C4231" t="s">
        <v>412</v>
      </c>
      <c r="D4231" t="str">
        <f>HYPERLINK("http://service.sap.com/sap/support/notes/1597671","1597671")</f>
        <v>1597671</v>
      </c>
      <c r="E4231">
        <v>1</v>
      </c>
      <c r="F4231" t="s">
        <v>4711</v>
      </c>
    </row>
    <row r="4232" spans="1:6" x14ac:dyDescent="0.25">
      <c r="A4232" t="s">
        <v>4782</v>
      </c>
      <c r="B4232" t="s">
        <v>411</v>
      </c>
      <c r="C4232" t="s">
        <v>412</v>
      </c>
      <c r="D4232" t="str">
        <f>HYPERLINK("http://service.sap.com/sap/support/notes/1598699","1598699")</f>
        <v>1598699</v>
      </c>
      <c r="E4232">
        <v>2</v>
      </c>
      <c r="F4232" t="s">
        <v>4712</v>
      </c>
    </row>
    <row r="4233" spans="1:6" x14ac:dyDescent="0.25">
      <c r="A4233" t="s">
        <v>4782</v>
      </c>
      <c r="B4233" t="s">
        <v>411</v>
      </c>
      <c r="C4233" t="s">
        <v>412</v>
      </c>
      <c r="D4233" t="str">
        <f>HYPERLINK("http://service.sap.com/sap/support/notes/1598791","1598791")</f>
        <v>1598791</v>
      </c>
      <c r="E4233">
        <v>1</v>
      </c>
      <c r="F4233" t="s">
        <v>4712</v>
      </c>
    </row>
    <row r="4234" spans="1:6" x14ac:dyDescent="0.25">
      <c r="A4234" t="s">
        <v>4782</v>
      </c>
      <c r="B4234" t="s">
        <v>415</v>
      </c>
      <c r="C4234" t="s">
        <v>416</v>
      </c>
      <c r="D4234" t="str">
        <f>HYPERLINK("http://service.sap.com/sap/support/notes/1576099","1576099")</f>
        <v>1576099</v>
      </c>
      <c r="E4234">
        <v>1</v>
      </c>
      <c r="F4234" t="s">
        <v>4713</v>
      </c>
    </row>
    <row r="4235" spans="1:6" x14ac:dyDescent="0.25">
      <c r="A4235" t="s">
        <v>4782</v>
      </c>
      <c r="B4235" t="s">
        <v>415</v>
      </c>
      <c r="C4235" t="s">
        <v>416</v>
      </c>
      <c r="D4235" t="str">
        <f>HYPERLINK("http://service.sap.com/sap/support/notes/1584651","1584651")</f>
        <v>1584651</v>
      </c>
      <c r="E4235">
        <v>1</v>
      </c>
      <c r="F4235" t="s">
        <v>4714</v>
      </c>
    </row>
    <row r="4236" spans="1:6" x14ac:dyDescent="0.25">
      <c r="A4236" t="s">
        <v>4782</v>
      </c>
      <c r="B4236" t="s">
        <v>415</v>
      </c>
      <c r="C4236" t="s">
        <v>416</v>
      </c>
      <c r="D4236" t="str">
        <f>HYPERLINK("http://service.sap.com/sap/support/notes/1585616","1585616")</f>
        <v>1585616</v>
      </c>
      <c r="E4236">
        <v>1</v>
      </c>
      <c r="F4236" t="s">
        <v>4715</v>
      </c>
    </row>
    <row r="4237" spans="1:6" x14ac:dyDescent="0.25">
      <c r="A4237" t="s">
        <v>4782</v>
      </c>
      <c r="B4237" t="s">
        <v>415</v>
      </c>
      <c r="C4237" t="s">
        <v>416</v>
      </c>
      <c r="D4237" t="str">
        <f>HYPERLINK("http://service.sap.com/sap/support/notes/1589098","1589098")</f>
        <v>1589098</v>
      </c>
      <c r="E4237">
        <v>1</v>
      </c>
      <c r="F4237" t="s">
        <v>4716</v>
      </c>
    </row>
    <row r="4238" spans="1:6" x14ac:dyDescent="0.25">
      <c r="A4238" t="s">
        <v>4782</v>
      </c>
      <c r="B4238" t="s">
        <v>415</v>
      </c>
      <c r="C4238" t="s">
        <v>416</v>
      </c>
      <c r="D4238" t="str">
        <f>HYPERLINK("http://service.sap.com/sap/support/notes/1590298","1590298")</f>
        <v>1590298</v>
      </c>
      <c r="E4238">
        <v>1</v>
      </c>
      <c r="F4238" t="s">
        <v>3885</v>
      </c>
    </row>
    <row r="4239" spans="1:6" x14ac:dyDescent="0.25">
      <c r="A4239" t="s">
        <v>4782</v>
      </c>
      <c r="B4239" t="s">
        <v>415</v>
      </c>
      <c r="C4239" t="s">
        <v>416</v>
      </c>
      <c r="D4239" t="str">
        <f>HYPERLINK("http://service.sap.com/sap/support/notes/1597020","1597020")</f>
        <v>1597020</v>
      </c>
      <c r="E4239">
        <v>2</v>
      </c>
      <c r="F4239" t="s">
        <v>4717</v>
      </c>
    </row>
    <row r="4240" spans="1:6" x14ac:dyDescent="0.25">
      <c r="A4240" t="s">
        <v>4782</v>
      </c>
      <c r="B4240" t="s">
        <v>415</v>
      </c>
      <c r="C4240" t="s">
        <v>416</v>
      </c>
      <c r="D4240" t="str">
        <f>HYPERLINK("http://service.sap.com/sap/support/notes/1597647","1597647")</f>
        <v>1597647</v>
      </c>
      <c r="E4240">
        <v>2</v>
      </c>
      <c r="F4240" t="s">
        <v>4718</v>
      </c>
    </row>
    <row r="4241" spans="1:6" x14ac:dyDescent="0.25">
      <c r="A4241" t="s">
        <v>4782</v>
      </c>
      <c r="B4241" t="s">
        <v>415</v>
      </c>
      <c r="C4241" t="s">
        <v>416</v>
      </c>
      <c r="D4241" t="str">
        <f>HYPERLINK("http://service.sap.com/sap/support/notes/1598639","1598639")</f>
        <v>1598639</v>
      </c>
      <c r="E4241">
        <v>2</v>
      </c>
      <c r="F4241" t="s">
        <v>4719</v>
      </c>
    </row>
    <row r="4242" spans="1:6" x14ac:dyDescent="0.25">
      <c r="A4242" t="s">
        <v>4782</v>
      </c>
      <c r="B4242" t="s">
        <v>1226</v>
      </c>
      <c r="C4242" t="s">
        <v>2873</v>
      </c>
      <c r="D4242" t="str">
        <f>HYPERLINK("http://service.sap.com/sap/support/notes/1540540","1540540")</f>
        <v>1540540</v>
      </c>
      <c r="E4242">
        <v>5</v>
      </c>
      <c r="F4242" t="s">
        <v>4720</v>
      </c>
    </row>
    <row r="4243" spans="1:6" x14ac:dyDescent="0.25">
      <c r="A4243" t="s">
        <v>4782</v>
      </c>
      <c r="B4243" t="s">
        <v>1226</v>
      </c>
      <c r="C4243" t="s">
        <v>2873</v>
      </c>
      <c r="D4243" t="str">
        <f>HYPERLINK("http://service.sap.com/sap/support/notes/1598066","1598066")</f>
        <v>1598066</v>
      </c>
      <c r="E4243">
        <v>1</v>
      </c>
      <c r="F4243" t="s">
        <v>4721</v>
      </c>
    </row>
    <row r="4244" spans="1:6" x14ac:dyDescent="0.25">
      <c r="A4244" t="s">
        <v>4782</v>
      </c>
      <c r="B4244" t="s">
        <v>425</v>
      </c>
      <c r="C4244" t="s">
        <v>426</v>
      </c>
      <c r="D4244" t="str">
        <f>HYPERLINK("http://service.sap.com/sap/support/notes/1355824","1355824")</f>
        <v>1355824</v>
      </c>
      <c r="E4244">
        <v>2</v>
      </c>
      <c r="F4244" t="s">
        <v>4722</v>
      </c>
    </row>
    <row r="4245" spans="1:6" x14ac:dyDescent="0.25">
      <c r="A4245" t="s">
        <v>4782</v>
      </c>
      <c r="B4245" t="s">
        <v>425</v>
      </c>
      <c r="C4245" t="s">
        <v>426</v>
      </c>
      <c r="D4245" t="str">
        <f>HYPERLINK("http://service.sap.com/sap/support/notes/1488474","1488474")</f>
        <v>1488474</v>
      </c>
      <c r="E4245">
        <v>1</v>
      </c>
      <c r="F4245" t="s">
        <v>427</v>
      </c>
    </row>
    <row r="4246" spans="1:6" x14ac:dyDescent="0.25">
      <c r="A4246" t="s">
        <v>4782</v>
      </c>
      <c r="B4246" t="s">
        <v>425</v>
      </c>
      <c r="C4246" t="s">
        <v>426</v>
      </c>
      <c r="D4246" t="str">
        <f>HYPERLINK("http://service.sap.com/sap/support/notes/1566995","1566995")</f>
        <v>1566995</v>
      </c>
      <c r="E4246">
        <v>1</v>
      </c>
      <c r="F4246" t="s">
        <v>4723</v>
      </c>
    </row>
    <row r="4247" spans="1:6" x14ac:dyDescent="0.25">
      <c r="A4247" t="s">
        <v>4782</v>
      </c>
      <c r="B4247" t="s">
        <v>431</v>
      </c>
      <c r="C4247" t="s">
        <v>432</v>
      </c>
      <c r="D4247" t="str">
        <f>HYPERLINK("http://service.sap.com/sap/support/notes/1579971","1579971")</f>
        <v>1579971</v>
      </c>
      <c r="E4247">
        <v>2</v>
      </c>
      <c r="F4247" t="s">
        <v>4724</v>
      </c>
    </row>
    <row r="4248" spans="1:6" x14ac:dyDescent="0.25">
      <c r="A4248" t="s">
        <v>4782</v>
      </c>
      <c r="B4248" t="s">
        <v>431</v>
      </c>
      <c r="C4248" t="s">
        <v>432</v>
      </c>
      <c r="D4248" t="str">
        <f>HYPERLINK("http://service.sap.com/sap/support/notes/1584781","1584781")</f>
        <v>1584781</v>
      </c>
      <c r="E4248">
        <v>4</v>
      </c>
      <c r="F4248" t="s">
        <v>4725</v>
      </c>
    </row>
    <row r="4249" spans="1:6" x14ac:dyDescent="0.25">
      <c r="A4249" t="s">
        <v>4782</v>
      </c>
      <c r="B4249" t="s">
        <v>431</v>
      </c>
      <c r="C4249" t="s">
        <v>432</v>
      </c>
      <c r="D4249" t="str">
        <f>HYPERLINK("http://service.sap.com/sap/support/notes/1585718","1585718")</f>
        <v>1585718</v>
      </c>
      <c r="E4249">
        <v>1</v>
      </c>
      <c r="F4249" t="s">
        <v>4726</v>
      </c>
    </row>
    <row r="4250" spans="1:6" x14ac:dyDescent="0.25">
      <c r="A4250" t="s">
        <v>4782</v>
      </c>
      <c r="B4250" t="s">
        <v>431</v>
      </c>
      <c r="C4250" t="s">
        <v>432</v>
      </c>
      <c r="D4250" t="str">
        <f>HYPERLINK("http://service.sap.com/sap/support/notes/1592944","1592944")</f>
        <v>1592944</v>
      </c>
      <c r="E4250">
        <v>1</v>
      </c>
      <c r="F4250" t="s">
        <v>4727</v>
      </c>
    </row>
    <row r="4251" spans="1:6" x14ac:dyDescent="0.25">
      <c r="A4251" t="s">
        <v>4782</v>
      </c>
      <c r="B4251" t="s">
        <v>431</v>
      </c>
      <c r="C4251" t="s">
        <v>432</v>
      </c>
      <c r="D4251" t="str">
        <f>HYPERLINK("http://service.sap.com/sap/support/notes/1593372","1593372")</f>
        <v>1593372</v>
      </c>
      <c r="E4251">
        <v>1</v>
      </c>
      <c r="F4251" t="s">
        <v>4728</v>
      </c>
    </row>
    <row r="4252" spans="1:6" x14ac:dyDescent="0.25">
      <c r="A4252" t="s">
        <v>4782</v>
      </c>
      <c r="B4252" t="s">
        <v>431</v>
      </c>
      <c r="C4252" t="s">
        <v>432</v>
      </c>
      <c r="D4252" t="str">
        <f>HYPERLINK("http://service.sap.com/sap/support/notes/1594406","1594406")</f>
        <v>1594406</v>
      </c>
      <c r="E4252">
        <v>1</v>
      </c>
      <c r="F4252" t="s">
        <v>4729</v>
      </c>
    </row>
    <row r="4253" spans="1:6" x14ac:dyDescent="0.25">
      <c r="A4253" t="s">
        <v>4782</v>
      </c>
      <c r="B4253" t="s">
        <v>431</v>
      </c>
      <c r="C4253" t="s">
        <v>432</v>
      </c>
      <c r="D4253" t="str">
        <f>HYPERLINK("http://service.sap.com/sap/support/notes/1596996","1596996")</f>
        <v>1596996</v>
      </c>
      <c r="E4253">
        <v>1</v>
      </c>
      <c r="F4253" t="s">
        <v>4730</v>
      </c>
    </row>
    <row r="4254" spans="1:6" x14ac:dyDescent="0.25">
      <c r="A4254" t="s">
        <v>4782</v>
      </c>
      <c r="B4254" t="s">
        <v>431</v>
      </c>
      <c r="C4254" t="s">
        <v>432</v>
      </c>
      <c r="D4254" t="str">
        <f>HYPERLINK("http://service.sap.com/sap/support/notes/1599182","1599182")</f>
        <v>1599182</v>
      </c>
      <c r="E4254">
        <v>1</v>
      </c>
      <c r="F4254" t="s">
        <v>4731</v>
      </c>
    </row>
    <row r="4255" spans="1:6" x14ac:dyDescent="0.25">
      <c r="A4255" t="s">
        <v>4782</v>
      </c>
      <c r="B4255" t="s">
        <v>436</v>
      </c>
      <c r="C4255" t="s">
        <v>437</v>
      </c>
      <c r="D4255" t="str">
        <f>HYPERLINK("http://service.sap.com/sap/support/notes/1574236","1574236")</f>
        <v>1574236</v>
      </c>
      <c r="E4255">
        <v>1</v>
      </c>
      <c r="F4255" t="s">
        <v>4732</v>
      </c>
    </row>
    <row r="4256" spans="1:6" x14ac:dyDescent="0.25">
      <c r="A4256" t="s">
        <v>4782</v>
      </c>
      <c r="B4256" t="s">
        <v>440</v>
      </c>
      <c r="C4256" t="s">
        <v>441</v>
      </c>
      <c r="D4256" t="str">
        <f>HYPERLINK("http://service.sap.com/sap/support/notes/1060820","1060820")</f>
        <v>1060820</v>
      </c>
      <c r="E4256">
        <v>1</v>
      </c>
      <c r="F4256" t="s">
        <v>2104</v>
      </c>
    </row>
    <row r="4257" spans="1:6" x14ac:dyDescent="0.25">
      <c r="A4257" t="s">
        <v>4782</v>
      </c>
      <c r="B4257" t="s">
        <v>440</v>
      </c>
      <c r="C4257" t="s">
        <v>441</v>
      </c>
      <c r="D4257" t="str">
        <f>HYPERLINK("http://service.sap.com/sap/support/notes/1576222","1576222")</f>
        <v>1576222</v>
      </c>
      <c r="E4257">
        <v>2</v>
      </c>
      <c r="F4257" t="s">
        <v>4733</v>
      </c>
    </row>
    <row r="4258" spans="1:6" x14ac:dyDescent="0.25">
      <c r="A4258" t="s">
        <v>4782</v>
      </c>
      <c r="B4258" t="s">
        <v>440</v>
      </c>
      <c r="C4258" t="s">
        <v>441</v>
      </c>
      <c r="D4258" t="str">
        <f>HYPERLINK("http://service.sap.com/sap/support/notes/1581837","1581837")</f>
        <v>1581837</v>
      </c>
      <c r="E4258">
        <v>5</v>
      </c>
      <c r="F4258" t="s">
        <v>4734</v>
      </c>
    </row>
    <row r="4259" spans="1:6" x14ac:dyDescent="0.25">
      <c r="A4259" t="s">
        <v>4782</v>
      </c>
      <c r="B4259" t="s">
        <v>440</v>
      </c>
      <c r="C4259" t="s">
        <v>441</v>
      </c>
      <c r="D4259" t="str">
        <f>HYPERLINK("http://service.sap.com/sap/support/notes/1583408","1583408")</f>
        <v>1583408</v>
      </c>
      <c r="E4259">
        <v>4</v>
      </c>
      <c r="F4259" t="s">
        <v>4735</v>
      </c>
    </row>
    <row r="4260" spans="1:6" x14ac:dyDescent="0.25">
      <c r="A4260" t="s">
        <v>4782</v>
      </c>
      <c r="B4260" t="s">
        <v>440</v>
      </c>
      <c r="C4260" t="s">
        <v>441</v>
      </c>
      <c r="D4260" t="str">
        <f>HYPERLINK("http://service.sap.com/sap/support/notes/1591069","1591069")</f>
        <v>1591069</v>
      </c>
      <c r="E4260">
        <v>7</v>
      </c>
      <c r="F4260" t="s">
        <v>4736</v>
      </c>
    </row>
    <row r="4261" spans="1:6" x14ac:dyDescent="0.25">
      <c r="A4261" t="s">
        <v>4782</v>
      </c>
      <c r="B4261" t="s">
        <v>440</v>
      </c>
      <c r="C4261" t="s">
        <v>441</v>
      </c>
      <c r="D4261" t="str">
        <f>HYPERLINK("http://service.sap.com/sap/support/notes/1591094","1591094")</f>
        <v>1591094</v>
      </c>
      <c r="E4261">
        <v>1</v>
      </c>
      <c r="F4261" t="s">
        <v>3914</v>
      </c>
    </row>
    <row r="4262" spans="1:6" x14ac:dyDescent="0.25">
      <c r="A4262" t="s">
        <v>4782</v>
      </c>
      <c r="B4262" t="s">
        <v>440</v>
      </c>
      <c r="C4262" t="s">
        <v>441</v>
      </c>
      <c r="D4262" t="str">
        <f>HYPERLINK("http://service.sap.com/sap/support/notes/1592653","1592653")</f>
        <v>1592653</v>
      </c>
      <c r="E4262">
        <v>2</v>
      </c>
      <c r="F4262" t="s">
        <v>4737</v>
      </c>
    </row>
    <row r="4263" spans="1:6" x14ac:dyDescent="0.25">
      <c r="A4263" t="s">
        <v>4782</v>
      </c>
      <c r="B4263" t="s">
        <v>440</v>
      </c>
      <c r="C4263" t="s">
        <v>441</v>
      </c>
      <c r="D4263" t="str">
        <f>HYPERLINK("http://service.sap.com/sap/support/notes/1593000","1593000")</f>
        <v>1593000</v>
      </c>
      <c r="E4263">
        <v>1</v>
      </c>
      <c r="F4263" t="s">
        <v>4738</v>
      </c>
    </row>
    <row r="4264" spans="1:6" x14ac:dyDescent="0.25">
      <c r="A4264" t="s">
        <v>4782</v>
      </c>
      <c r="B4264" t="s">
        <v>440</v>
      </c>
      <c r="C4264" t="s">
        <v>441</v>
      </c>
      <c r="D4264" t="str">
        <f>HYPERLINK("http://service.sap.com/sap/support/notes/1597908","1597908")</f>
        <v>1597908</v>
      </c>
      <c r="E4264">
        <v>2</v>
      </c>
      <c r="F4264" t="s">
        <v>4739</v>
      </c>
    </row>
    <row r="4265" spans="1:6" x14ac:dyDescent="0.25">
      <c r="A4265" t="s">
        <v>4782</v>
      </c>
      <c r="B4265" t="s">
        <v>440</v>
      </c>
      <c r="C4265" t="s">
        <v>441</v>
      </c>
      <c r="D4265" t="str">
        <f>HYPERLINK("http://service.sap.com/sap/support/notes/1599303","1599303")</f>
        <v>1599303</v>
      </c>
      <c r="E4265">
        <v>2</v>
      </c>
      <c r="F4265" t="s">
        <v>4740</v>
      </c>
    </row>
    <row r="4266" spans="1:6" x14ac:dyDescent="0.25">
      <c r="A4266" t="s">
        <v>4782</v>
      </c>
      <c r="B4266" t="s">
        <v>440</v>
      </c>
      <c r="C4266" t="s">
        <v>441</v>
      </c>
      <c r="D4266" t="str">
        <f>HYPERLINK("http://service.sap.com/sap/support/notes/1599970","1599970")</f>
        <v>1599970</v>
      </c>
      <c r="E4266">
        <v>2</v>
      </c>
      <c r="F4266" t="s">
        <v>4741</v>
      </c>
    </row>
    <row r="4267" spans="1:6" x14ac:dyDescent="0.25">
      <c r="A4267" t="s">
        <v>4782</v>
      </c>
      <c r="B4267" t="s">
        <v>449</v>
      </c>
      <c r="C4267" t="s">
        <v>450</v>
      </c>
      <c r="D4267" t="str">
        <f>HYPERLINK("http://service.sap.com/sap/support/notes/1584447","1584447")</f>
        <v>1584447</v>
      </c>
      <c r="E4267">
        <v>3</v>
      </c>
      <c r="F4267" t="s">
        <v>4742</v>
      </c>
    </row>
    <row r="4268" spans="1:6" x14ac:dyDescent="0.25">
      <c r="A4268" t="s">
        <v>4782</v>
      </c>
      <c r="B4268" t="s">
        <v>449</v>
      </c>
      <c r="C4268" t="s">
        <v>450</v>
      </c>
      <c r="D4268" t="str">
        <f>HYPERLINK("http://service.sap.com/sap/support/notes/1586067","1586067")</f>
        <v>1586067</v>
      </c>
      <c r="E4268">
        <v>2</v>
      </c>
      <c r="F4268" t="s">
        <v>4743</v>
      </c>
    </row>
    <row r="4269" spans="1:6" x14ac:dyDescent="0.25">
      <c r="A4269" t="s">
        <v>4782</v>
      </c>
      <c r="B4269" t="s">
        <v>449</v>
      </c>
      <c r="C4269" t="s">
        <v>450</v>
      </c>
      <c r="D4269" t="str">
        <f>HYPERLINK("http://service.sap.com/sap/support/notes/1595148","1595148")</f>
        <v>1595148</v>
      </c>
      <c r="E4269">
        <v>3</v>
      </c>
      <c r="F4269" t="s">
        <v>4744</v>
      </c>
    </row>
    <row r="4270" spans="1:6" x14ac:dyDescent="0.25">
      <c r="A4270" t="s">
        <v>4782</v>
      </c>
      <c r="B4270" t="s">
        <v>449</v>
      </c>
      <c r="C4270" t="s">
        <v>450</v>
      </c>
      <c r="D4270" t="str">
        <f>HYPERLINK("http://service.sap.com/sap/support/notes/1596522","1596522")</f>
        <v>1596522</v>
      </c>
      <c r="E4270">
        <v>1</v>
      </c>
      <c r="F4270" t="s">
        <v>4745</v>
      </c>
    </row>
    <row r="4271" spans="1:6" x14ac:dyDescent="0.25">
      <c r="A4271" t="s">
        <v>4782</v>
      </c>
      <c r="B4271" t="s">
        <v>449</v>
      </c>
      <c r="C4271" t="s">
        <v>450</v>
      </c>
      <c r="D4271" t="str">
        <f>HYPERLINK("http://service.sap.com/sap/support/notes/1596922","1596922")</f>
        <v>1596922</v>
      </c>
      <c r="E4271">
        <v>2</v>
      </c>
      <c r="F4271" t="s">
        <v>4746</v>
      </c>
    </row>
    <row r="4272" spans="1:6" x14ac:dyDescent="0.25">
      <c r="A4272" t="s">
        <v>4782</v>
      </c>
      <c r="B4272" t="s">
        <v>460</v>
      </c>
      <c r="C4272" t="s">
        <v>461</v>
      </c>
      <c r="D4272" t="str">
        <f>HYPERLINK("http://service.sap.com/sap/support/notes/1596498","1596498")</f>
        <v>1596498</v>
      </c>
      <c r="E4272">
        <v>1</v>
      </c>
      <c r="F4272" t="s">
        <v>4747</v>
      </c>
    </row>
    <row r="4273" spans="1:6" x14ac:dyDescent="0.25">
      <c r="A4273" t="s">
        <v>4782</v>
      </c>
      <c r="B4273" t="s">
        <v>460</v>
      </c>
      <c r="C4273" t="s">
        <v>461</v>
      </c>
      <c r="D4273" t="str">
        <f>HYPERLINK("http://service.sap.com/sap/support/notes/1599739","1599739")</f>
        <v>1599739</v>
      </c>
      <c r="E4273">
        <v>1</v>
      </c>
      <c r="F4273" t="s">
        <v>4748</v>
      </c>
    </row>
    <row r="4274" spans="1:6" x14ac:dyDescent="0.25">
      <c r="A4274" t="s">
        <v>4782</v>
      </c>
      <c r="B4274" t="s">
        <v>472</v>
      </c>
      <c r="C4274" t="s">
        <v>473</v>
      </c>
      <c r="D4274" t="str">
        <f>HYPERLINK("http://service.sap.com/sap/support/notes/1174708","1174708")</f>
        <v>1174708</v>
      </c>
      <c r="E4274">
        <v>1</v>
      </c>
      <c r="F4274" t="s">
        <v>1256</v>
      </c>
    </row>
    <row r="4275" spans="1:6" x14ac:dyDescent="0.25">
      <c r="A4275" t="s">
        <v>4782</v>
      </c>
      <c r="B4275" t="s">
        <v>472</v>
      </c>
      <c r="C4275" t="s">
        <v>473</v>
      </c>
      <c r="D4275" t="str">
        <f>HYPERLINK("http://service.sap.com/sap/support/notes/1335995","1335995")</f>
        <v>1335995</v>
      </c>
      <c r="E4275">
        <v>4</v>
      </c>
      <c r="F4275" t="s">
        <v>4749</v>
      </c>
    </row>
    <row r="4276" spans="1:6" x14ac:dyDescent="0.25">
      <c r="A4276" t="s">
        <v>4782</v>
      </c>
      <c r="B4276" t="s">
        <v>472</v>
      </c>
      <c r="C4276" t="s">
        <v>473</v>
      </c>
      <c r="D4276" t="str">
        <f>HYPERLINK("http://service.sap.com/sap/support/notes/1563283","1563283")</f>
        <v>1563283</v>
      </c>
      <c r="E4276">
        <v>4</v>
      </c>
      <c r="F4276" t="s">
        <v>4750</v>
      </c>
    </row>
    <row r="4277" spans="1:6" x14ac:dyDescent="0.25">
      <c r="A4277" t="s">
        <v>4782</v>
      </c>
      <c r="B4277" t="s">
        <v>472</v>
      </c>
      <c r="C4277" t="s">
        <v>473</v>
      </c>
      <c r="D4277" t="str">
        <f>HYPERLINK("http://service.sap.com/sap/support/notes/1591174","1591174")</f>
        <v>1591174</v>
      </c>
      <c r="E4277">
        <v>1</v>
      </c>
      <c r="F4277" t="s">
        <v>4751</v>
      </c>
    </row>
    <row r="4278" spans="1:6" x14ac:dyDescent="0.25">
      <c r="A4278" t="s">
        <v>4782</v>
      </c>
      <c r="B4278" t="s">
        <v>472</v>
      </c>
      <c r="C4278" t="s">
        <v>473</v>
      </c>
      <c r="D4278" t="str">
        <f>HYPERLINK("http://service.sap.com/sap/support/notes/1596339","1596339")</f>
        <v>1596339</v>
      </c>
      <c r="E4278">
        <v>1</v>
      </c>
      <c r="F4278" t="s">
        <v>4752</v>
      </c>
    </row>
    <row r="4279" spans="1:6" x14ac:dyDescent="0.25">
      <c r="A4279" t="s">
        <v>4782</v>
      </c>
      <c r="B4279" t="s">
        <v>479</v>
      </c>
      <c r="C4279" t="s">
        <v>480</v>
      </c>
      <c r="D4279" t="str">
        <f>HYPERLINK("http://service.sap.com/sap/support/notes/1564382","1564382")</f>
        <v>1564382</v>
      </c>
      <c r="E4279">
        <v>3</v>
      </c>
      <c r="F4279" t="s">
        <v>4753</v>
      </c>
    </row>
    <row r="4280" spans="1:6" x14ac:dyDescent="0.25">
      <c r="A4280" t="s">
        <v>4782</v>
      </c>
      <c r="B4280" t="s">
        <v>479</v>
      </c>
      <c r="C4280" t="s">
        <v>480</v>
      </c>
      <c r="D4280" t="str">
        <f>HYPERLINK("http://service.sap.com/sap/support/notes/1572070","1572070")</f>
        <v>1572070</v>
      </c>
      <c r="E4280">
        <v>1</v>
      </c>
      <c r="F4280" t="s">
        <v>4754</v>
      </c>
    </row>
    <row r="4281" spans="1:6" x14ac:dyDescent="0.25">
      <c r="A4281" t="s">
        <v>4782</v>
      </c>
      <c r="B4281" t="s">
        <v>479</v>
      </c>
      <c r="C4281" t="s">
        <v>480</v>
      </c>
      <c r="D4281" t="str">
        <f>HYPERLINK("http://service.sap.com/sap/support/notes/1572643","1572643")</f>
        <v>1572643</v>
      </c>
      <c r="E4281">
        <v>2</v>
      </c>
      <c r="F4281" t="s">
        <v>4755</v>
      </c>
    </row>
    <row r="4282" spans="1:6" x14ac:dyDescent="0.25">
      <c r="A4282" t="s">
        <v>4782</v>
      </c>
      <c r="B4282" t="s">
        <v>479</v>
      </c>
      <c r="C4282" t="s">
        <v>480</v>
      </c>
      <c r="D4282" t="str">
        <f>HYPERLINK("http://service.sap.com/sap/support/notes/1580598","1580598")</f>
        <v>1580598</v>
      </c>
      <c r="E4282">
        <v>2</v>
      </c>
      <c r="F4282" t="s">
        <v>4756</v>
      </c>
    </row>
    <row r="4283" spans="1:6" x14ac:dyDescent="0.25">
      <c r="A4283" t="s">
        <v>4782</v>
      </c>
      <c r="B4283" t="s">
        <v>479</v>
      </c>
      <c r="C4283" t="s">
        <v>480</v>
      </c>
      <c r="D4283" t="str">
        <f>HYPERLINK("http://service.sap.com/sap/support/notes/1594334","1594334")</f>
        <v>1594334</v>
      </c>
      <c r="E4283">
        <v>2</v>
      </c>
      <c r="F4283" t="s">
        <v>4757</v>
      </c>
    </row>
    <row r="4284" spans="1:6" x14ac:dyDescent="0.25">
      <c r="A4284" t="s">
        <v>4782</v>
      </c>
      <c r="B4284" t="s">
        <v>479</v>
      </c>
      <c r="C4284" t="s">
        <v>480</v>
      </c>
      <c r="D4284" t="str">
        <f>HYPERLINK("http://service.sap.com/sap/support/notes/1594930","1594930")</f>
        <v>1594930</v>
      </c>
      <c r="E4284">
        <v>1</v>
      </c>
      <c r="F4284" t="s">
        <v>4758</v>
      </c>
    </row>
    <row r="4285" spans="1:6" x14ac:dyDescent="0.25">
      <c r="A4285" t="s">
        <v>4782</v>
      </c>
      <c r="B4285" t="s">
        <v>479</v>
      </c>
      <c r="C4285" t="s">
        <v>480</v>
      </c>
      <c r="D4285" t="str">
        <f>HYPERLINK("http://service.sap.com/sap/support/notes/1599487","1599487")</f>
        <v>1599487</v>
      </c>
      <c r="E4285">
        <v>1</v>
      </c>
      <c r="F4285" t="s">
        <v>4759</v>
      </c>
    </row>
    <row r="4286" spans="1:6" x14ac:dyDescent="0.25">
      <c r="A4286" t="s">
        <v>4782</v>
      </c>
      <c r="B4286" t="s">
        <v>487</v>
      </c>
      <c r="C4286" t="s">
        <v>153</v>
      </c>
      <c r="D4286" t="str">
        <f>HYPERLINK("http://service.sap.com/sap/support/notes/1591753","1591753")</f>
        <v>1591753</v>
      </c>
      <c r="E4286">
        <v>1</v>
      </c>
      <c r="F4286" t="s">
        <v>4760</v>
      </c>
    </row>
    <row r="4287" spans="1:6" x14ac:dyDescent="0.25">
      <c r="A4287" t="s">
        <v>4782</v>
      </c>
      <c r="B4287" t="s">
        <v>487</v>
      </c>
      <c r="C4287" t="s">
        <v>153</v>
      </c>
      <c r="D4287" t="str">
        <f>HYPERLINK("http://service.sap.com/sap/support/notes/1594412","1594412")</f>
        <v>1594412</v>
      </c>
      <c r="E4287">
        <v>1</v>
      </c>
      <c r="F4287" t="s">
        <v>4761</v>
      </c>
    </row>
    <row r="4288" spans="1:6" x14ac:dyDescent="0.25">
      <c r="A4288" t="s">
        <v>4782</v>
      </c>
      <c r="B4288" t="s">
        <v>489</v>
      </c>
      <c r="C4288" t="s">
        <v>104</v>
      </c>
      <c r="D4288" t="str">
        <f>HYPERLINK("http://service.sap.com/sap/support/notes/1565252","1565252")</f>
        <v>1565252</v>
      </c>
      <c r="E4288">
        <v>1</v>
      </c>
      <c r="F4288" t="s">
        <v>4762</v>
      </c>
    </row>
    <row r="4289" spans="1:6" x14ac:dyDescent="0.25">
      <c r="A4289" t="s">
        <v>4782</v>
      </c>
      <c r="B4289" t="s">
        <v>489</v>
      </c>
      <c r="C4289" t="s">
        <v>104</v>
      </c>
      <c r="D4289" t="str">
        <f>HYPERLINK("http://service.sap.com/sap/support/notes/1566770","1566770")</f>
        <v>1566770</v>
      </c>
      <c r="E4289">
        <v>2</v>
      </c>
      <c r="F4289" t="s">
        <v>4763</v>
      </c>
    </row>
    <row r="4290" spans="1:6" x14ac:dyDescent="0.25">
      <c r="A4290" t="s">
        <v>4782</v>
      </c>
      <c r="B4290" t="s">
        <v>489</v>
      </c>
      <c r="C4290" t="s">
        <v>104</v>
      </c>
      <c r="D4290" t="str">
        <f>HYPERLINK("http://service.sap.com/sap/support/notes/1595342","1595342")</f>
        <v>1595342</v>
      </c>
      <c r="E4290">
        <v>1</v>
      </c>
      <c r="F4290" t="s">
        <v>4764</v>
      </c>
    </row>
    <row r="4291" spans="1:6" x14ac:dyDescent="0.25">
      <c r="A4291" t="s">
        <v>4782</v>
      </c>
      <c r="B4291" t="s">
        <v>489</v>
      </c>
      <c r="C4291" t="s">
        <v>104</v>
      </c>
      <c r="D4291" t="str">
        <f>HYPERLINK("http://service.sap.com/sap/support/notes/1595892","1595892")</f>
        <v>1595892</v>
      </c>
      <c r="E4291">
        <v>1</v>
      </c>
      <c r="F4291" t="s">
        <v>4765</v>
      </c>
    </row>
    <row r="4292" spans="1:6" x14ac:dyDescent="0.25">
      <c r="A4292" t="s">
        <v>4782</v>
      </c>
      <c r="B4292" t="s">
        <v>495</v>
      </c>
      <c r="C4292" t="s">
        <v>496</v>
      </c>
      <c r="D4292" t="str">
        <f>HYPERLINK("http://service.sap.com/sap/support/notes/1595370","1595370")</f>
        <v>1595370</v>
      </c>
      <c r="E4292">
        <v>1</v>
      </c>
      <c r="F4292" t="s">
        <v>4766</v>
      </c>
    </row>
    <row r="4293" spans="1:6" x14ac:dyDescent="0.25">
      <c r="A4293" t="s">
        <v>4782</v>
      </c>
      <c r="B4293" t="s">
        <v>499</v>
      </c>
      <c r="C4293" t="s">
        <v>108</v>
      </c>
    </row>
    <row r="4294" spans="1:6" x14ac:dyDescent="0.25">
      <c r="A4294" t="s">
        <v>4782</v>
      </c>
      <c r="B4294" t="s">
        <v>4181</v>
      </c>
      <c r="C4294" t="s">
        <v>4182</v>
      </c>
      <c r="D4294" t="str">
        <f>HYPERLINK("http://service.sap.com/sap/support/notes/1600187","1600187")</f>
        <v>1600187</v>
      </c>
      <c r="E4294">
        <v>2</v>
      </c>
      <c r="F4294" t="s">
        <v>4183</v>
      </c>
    </row>
    <row r="4295" spans="1:6" x14ac:dyDescent="0.25">
      <c r="A4295" t="s">
        <v>4782</v>
      </c>
      <c r="B4295" t="s">
        <v>508</v>
      </c>
      <c r="C4295" t="s">
        <v>509</v>
      </c>
      <c r="D4295" t="str">
        <f>HYPERLINK("http://service.sap.com/sap/support/notes/1589443","1589443")</f>
        <v>1589443</v>
      </c>
      <c r="E4295">
        <v>2</v>
      </c>
      <c r="F4295" t="s">
        <v>4767</v>
      </c>
    </row>
    <row r="4296" spans="1:6" x14ac:dyDescent="0.25">
      <c r="A4296" t="s">
        <v>4782</v>
      </c>
      <c r="B4296" t="s">
        <v>508</v>
      </c>
      <c r="C4296" t="s">
        <v>509</v>
      </c>
      <c r="D4296" t="str">
        <f>HYPERLINK("http://service.sap.com/sap/support/notes/1592971","1592971")</f>
        <v>1592971</v>
      </c>
      <c r="E4296">
        <v>3</v>
      </c>
      <c r="F4296" t="s">
        <v>4768</v>
      </c>
    </row>
    <row r="4297" spans="1:6" x14ac:dyDescent="0.25">
      <c r="A4297" t="s">
        <v>4782</v>
      </c>
      <c r="B4297" t="s">
        <v>508</v>
      </c>
      <c r="C4297" t="s">
        <v>509</v>
      </c>
      <c r="D4297" t="str">
        <f>HYPERLINK("http://service.sap.com/sap/support/notes/1594680","1594680")</f>
        <v>1594680</v>
      </c>
      <c r="E4297">
        <v>1</v>
      </c>
      <c r="F4297" t="s">
        <v>4769</v>
      </c>
    </row>
    <row r="4298" spans="1:6" x14ac:dyDescent="0.25">
      <c r="A4298" t="s">
        <v>4782</v>
      </c>
      <c r="B4298" t="s">
        <v>531</v>
      </c>
      <c r="C4298" t="s">
        <v>532</v>
      </c>
      <c r="D4298" t="str">
        <f>HYPERLINK("http://service.sap.com/sap/support/notes/1599374","1599374")</f>
        <v>1599374</v>
      </c>
      <c r="E4298">
        <v>1</v>
      </c>
      <c r="F4298" t="s">
        <v>4770</v>
      </c>
    </row>
    <row r="4299" spans="1:6" x14ac:dyDescent="0.25">
      <c r="A4299" t="s">
        <v>4782</v>
      </c>
      <c r="B4299" t="s">
        <v>1352</v>
      </c>
      <c r="C4299" t="s">
        <v>1662</v>
      </c>
      <c r="D4299" t="str">
        <f>HYPERLINK("http://service.sap.com/sap/support/notes/1591557","1591557")</f>
        <v>1591557</v>
      </c>
      <c r="E4299">
        <v>2</v>
      </c>
      <c r="F4299" t="s">
        <v>3994</v>
      </c>
    </row>
    <row r="4300" spans="1:6" x14ac:dyDescent="0.25">
      <c r="A4300" t="s">
        <v>4782</v>
      </c>
      <c r="B4300" t="s">
        <v>4771</v>
      </c>
      <c r="C4300" t="s">
        <v>4772</v>
      </c>
      <c r="D4300" t="str">
        <f>HYPERLINK("http://service.sap.com/sap/support/notes/1374311","1374311")</f>
        <v>1374311</v>
      </c>
      <c r="E4300">
        <v>1</v>
      </c>
      <c r="F4300" t="s">
        <v>4773</v>
      </c>
    </row>
    <row r="4301" spans="1:6" x14ac:dyDescent="0.25">
      <c r="A4301" t="s">
        <v>4782</v>
      </c>
      <c r="B4301" t="s">
        <v>534</v>
      </c>
      <c r="C4301" t="s">
        <v>535</v>
      </c>
      <c r="D4301" t="str">
        <f>HYPERLINK("http://service.sap.com/sap/support/notes/1175233","1175233")</f>
        <v>1175233</v>
      </c>
      <c r="E4301">
        <v>1</v>
      </c>
      <c r="F4301" t="s">
        <v>2939</v>
      </c>
    </row>
    <row r="4302" spans="1:6" x14ac:dyDescent="0.25">
      <c r="A4302" t="s">
        <v>4782</v>
      </c>
      <c r="B4302" t="s">
        <v>534</v>
      </c>
      <c r="C4302" t="s">
        <v>535</v>
      </c>
      <c r="D4302" t="str">
        <f>HYPERLINK("http://service.sap.com/sap/support/notes/1582744","1582744")</f>
        <v>1582744</v>
      </c>
      <c r="E4302">
        <v>1</v>
      </c>
      <c r="F4302" t="s">
        <v>4774</v>
      </c>
    </row>
    <row r="4303" spans="1:6" x14ac:dyDescent="0.25">
      <c r="A4303" t="s">
        <v>4782</v>
      </c>
      <c r="B4303" t="s">
        <v>534</v>
      </c>
      <c r="C4303" t="s">
        <v>535</v>
      </c>
      <c r="D4303" t="str">
        <f>HYPERLINK("http://service.sap.com/sap/support/notes/1591444","1591444")</f>
        <v>1591444</v>
      </c>
      <c r="E4303">
        <v>1</v>
      </c>
      <c r="F4303" t="s">
        <v>4775</v>
      </c>
    </row>
    <row r="4304" spans="1:6" x14ac:dyDescent="0.25">
      <c r="A4304" t="s">
        <v>4782</v>
      </c>
      <c r="B4304" t="s">
        <v>543</v>
      </c>
      <c r="C4304" t="s">
        <v>544</v>
      </c>
    </row>
    <row r="4305" spans="1:6" x14ac:dyDescent="0.25">
      <c r="A4305" t="s">
        <v>4782</v>
      </c>
      <c r="B4305" t="s">
        <v>545</v>
      </c>
      <c r="C4305" t="s">
        <v>546</v>
      </c>
    </row>
    <row r="4306" spans="1:6" x14ac:dyDescent="0.25">
      <c r="A4306" t="s">
        <v>4782</v>
      </c>
      <c r="B4306" t="s">
        <v>4776</v>
      </c>
      <c r="C4306" t="s">
        <v>4777</v>
      </c>
      <c r="D4306" t="str">
        <f>HYPERLINK("http://service.sap.com/sap/support/notes/1601255","1601255")</f>
        <v>1601255</v>
      </c>
      <c r="E4306">
        <v>1</v>
      </c>
      <c r="F4306" t="s">
        <v>4778</v>
      </c>
    </row>
    <row r="4307" spans="1:6" x14ac:dyDescent="0.25">
      <c r="A4307" t="s">
        <v>4782</v>
      </c>
      <c r="B4307" t="s">
        <v>2560</v>
      </c>
      <c r="C4307" t="s">
        <v>2561</v>
      </c>
    </row>
    <row r="4308" spans="1:6" x14ac:dyDescent="0.25">
      <c r="A4308" t="s">
        <v>4782</v>
      </c>
      <c r="B4308" t="s">
        <v>2562</v>
      </c>
      <c r="C4308" t="s">
        <v>2563</v>
      </c>
      <c r="D4308" t="str">
        <f>HYPERLINK("http://service.sap.com/sap/support/notes/1536026","1536026")</f>
        <v>1536026</v>
      </c>
      <c r="E4308">
        <v>2</v>
      </c>
      <c r="F4308" t="s">
        <v>4779</v>
      </c>
    </row>
    <row r="4309" spans="1:6" x14ac:dyDescent="0.25">
      <c r="A4309" t="s">
        <v>4782</v>
      </c>
      <c r="B4309" t="s">
        <v>2562</v>
      </c>
      <c r="C4309" t="s">
        <v>2563</v>
      </c>
      <c r="D4309" t="str">
        <f>HYPERLINK("http://service.sap.com/sap/support/notes/1591924","1591924")</f>
        <v>1591924</v>
      </c>
      <c r="E4309">
        <v>1</v>
      </c>
      <c r="F4309" t="s">
        <v>4780</v>
      </c>
    </row>
    <row r="4310" spans="1:6" x14ac:dyDescent="0.25">
      <c r="A4310" t="s">
        <v>4782</v>
      </c>
      <c r="B4310" t="s">
        <v>2562</v>
      </c>
      <c r="C4310" t="s">
        <v>2563</v>
      </c>
      <c r="D4310" t="str">
        <f>HYPERLINK("http://service.sap.com/sap/support/notes/1593224","1593224")</f>
        <v>1593224</v>
      </c>
      <c r="E4310">
        <v>1</v>
      </c>
      <c r="F4310" t="s">
        <v>4781</v>
      </c>
    </row>
    <row r="4311" spans="1:6" x14ac:dyDescent="0.25">
      <c r="A4311" t="s">
        <v>5200</v>
      </c>
      <c r="B4311" t="s">
        <v>5</v>
      </c>
      <c r="C4311" t="s">
        <v>6</v>
      </c>
    </row>
    <row r="4312" spans="1:6" x14ac:dyDescent="0.25">
      <c r="A4312" t="s">
        <v>5200</v>
      </c>
      <c r="B4312" t="s">
        <v>7</v>
      </c>
      <c r="C4312" t="s">
        <v>8</v>
      </c>
    </row>
    <row r="4313" spans="1:6" x14ac:dyDescent="0.25">
      <c r="A4313" t="s">
        <v>5200</v>
      </c>
      <c r="B4313" t="s">
        <v>17</v>
      </c>
      <c r="C4313" t="s">
        <v>18</v>
      </c>
      <c r="D4313" t="str">
        <f>HYPERLINK("http://service.sap.com/sap/support/notes/1612769","1612769")</f>
        <v>1612769</v>
      </c>
      <c r="E4313">
        <v>1</v>
      </c>
      <c r="F4313" t="s">
        <v>4783</v>
      </c>
    </row>
    <row r="4314" spans="1:6" x14ac:dyDescent="0.25">
      <c r="A4314" t="s">
        <v>5200</v>
      </c>
      <c r="B4314" t="s">
        <v>585</v>
      </c>
      <c r="C4314" t="s">
        <v>1443</v>
      </c>
    </row>
    <row r="4315" spans="1:6" x14ac:dyDescent="0.25">
      <c r="A4315" t="s">
        <v>5200</v>
      </c>
      <c r="B4315" t="s">
        <v>586</v>
      </c>
      <c r="C4315" t="s">
        <v>1444</v>
      </c>
    </row>
    <row r="4316" spans="1:6" x14ac:dyDescent="0.25">
      <c r="A4316" t="s">
        <v>5200</v>
      </c>
      <c r="B4316" t="s">
        <v>587</v>
      </c>
      <c r="C4316" t="s">
        <v>1445</v>
      </c>
    </row>
    <row r="4317" spans="1:6" x14ac:dyDescent="0.25">
      <c r="A4317" t="s">
        <v>5200</v>
      </c>
      <c r="B4317" t="s">
        <v>588</v>
      </c>
      <c r="C4317" t="s">
        <v>1446</v>
      </c>
      <c r="D4317" t="str">
        <f>HYPERLINK("http://service.sap.com/sap/support/notes/1608512","1608512")</f>
        <v>1608512</v>
      </c>
      <c r="E4317">
        <v>3</v>
      </c>
      <c r="F4317" t="s">
        <v>4784</v>
      </c>
    </row>
    <row r="4318" spans="1:6" x14ac:dyDescent="0.25">
      <c r="A4318" t="s">
        <v>5200</v>
      </c>
      <c r="B4318" t="s">
        <v>20</v>
      </c>
      <c r="C4318" t="s">
        <v>21</v>
      </c>
    </row>
    <row r="4319" spans="1:6" x14ac:dyDescent="0.25">
      <c r="A4319" t="s">
        <v>5200</v>
      </c>
      <c r="B4319" t="s">
        <v>22</v>
      </c>
      <c r="C4319" t="s">
        <v>23</v>
      </c>
      <c r="D4319" t="str">
        <f>HYPERLINK("http://service.sap.com/sap/support/notes/1583529","1583529")</f>
        <v>1583529</v>
      </c>
      <c r="E4319">
        <v>6</v>
      </c>
      <c r="F4319" t="s">
        <v>3384</v>
      </c>
    </row>
    <row r="4320" spans="1:6" x14ac:dyDescent="0.25">
      <c r="A4320" t="s">
        <v>5200</v>
      </c>
      <c r="B4320" t="s">
        <v>27</v>
      </c>
      <c r="C4320" t="s">
        <v>13</v>
      </c>
    </row>
    <row r="4321" spans="1:6" x14ac:dyDescent="0.25">
      <c r="A4321" t="s">
        <v>5200</v>
      </c>
      <c r="B4321" t="s">
        <v>38</v>
      </c>
      <c r="C4321" t="s">
        <v>39</v>
      </c>
    </row>
    <row r="4322" spans="1:6" x14ac:dyDescent="0.25">
      <c r="A4322" t="s">
        <v>5200</v>
      </c>
      <c r="B4322" t="s">
        <v>44</v>
      </c>
      <c r="C4322" t="s">
        <v>45</v>
      </c>
      <c r="D4322" t="str">
        <f>HYPERLINK("http://service.sap.com/sap/support/notes/1602517","1602517")</f>
        <v>1602517</v>
      </c>
      <c r="E4322">
        <v>1</v>
      </c>
      <c r="F4322" t="s">
        <v>4785</v>
      </c>
    </row>
    <row r="4323" spans="1:6" x14ac:dyDescent="0.25">
      <c r="A4323" t="s">
        <v>5200</v>
      </c>
      <c r="B4323" t="s">
        <v>44</v>
      </c>
      <c r="C4323" t="s">
        <v>45</v>
      </c>
      <c r="D4323" t="str">
        <f>HYPERLINK("http://service.sap.com/sap/support/notes/1612559","1612559")</f>
        <v>1612559</v>
      </c>
      <c r="E4323">
        <v>1</v>
      </c>
      <c r="F4323" t="s">
        <v>4786</v>
      </c>
    </row>
    <row r="4324" spans="1:6" x14ac:dyDescent="0.25">
      <c r="A4324" t="s">
        <v>5200</v>
      </c>
      <c r="B4324" t="s">
        <v>48</v>
      </c>
      <c r="C4324" t="s">
        <v>49</v>
      </c>
      <c r="D4324" t="str">
        <f>HYPERLINK("http://service.sap.com/sap/support/notes/1600659","1600659")</f>
        <v>1600659</v>
      </c>
      <c r="E4324">
        <v>1</v>
      </c>
      <c r="F4324" t="s">
        <v>4787</v>
      </c>
    </row>
    <row r="4325" spans="1:6" x14ac:dyDescent="0.25">
      <c r="A4325" t="s">
        <v>5200</v>
      </c>
      <c r="B4325" t="s">
        <v>51</v>
      </c>
      <c r="C4325" t="s">
        <v>52</v>
      </c>
      <c r="D4325" t="str">
        <f>HYPERLINK("http://service.sap.com/sap/support/notes/1604118","1604118")</f>
        <v>1604118</v>
      </c>
      <c r="E4325">
        <v>1</v>
      </c>
      <c r="F4325" t="s">
        <v>4788</v>
      </c>
    </row>
    <row r="4326" spans="1:6" x14ac:dyDescent="0.25">
      <c r="A4326" t="s">
        <v>5200</v>
      </c>
      <c r="B4326" t="s">
        <v>57</v>
      </c>
      <c r="C4326" t="s">
        <v>58</v>
      </c>
      <c r="D4326" t="str">
        <f>HYPERLINK("http://service.sap.com/sap/support/notes/1604425","1604425")</f>
        <v>1604425</v>
      </c>
      <c r="E4326">
        <v>1</v>
      </c>
      <c r="F4326" t="s">
        <v>4789</v>
      </c>
    </row>
    <row r="4327" spans="1:6" x14ac:dyDescent="0.25">
      <c r="A4327" t="s">
        <v>5200</v>
      </c>
      <c r="B4327" t="s">
        <v>57</v>
      </c>
      <c r="C4327" t="s">
        <v>58</v>
      </c>
      <c r="D4327" t="str">
        <f>HYPERLINK("http://service.sap.com/sap/support/notes/1607667","1607667")</f>
        <v>1607667</v>
      </c>
      <c r="E4327">
        <v>1</v>
      </c>
      <c r="F4327" t="s">
        <v>4790</v>
      </c>
    </row>
    <row r="4328" spans="1:6" x14ac:dyDescent="0.25">
      <c r="A4328" t="s">
        <v>5200</v>
      </c>
      <c r="B4328" t="s">
        <v>59</v>
      </c>
      <c r="C4328" t="s">
        <v>60</v>
      </c>
      <c r="D4328" t="str">
        <f>HYPERLINK("http://service.sap.com/sap/support/notes/1586371","1586371")</f>
        <v>1586371</v>
      </c>
      <c r="E4328">
        <v>4</v>
      </c>
      <c r="F4328" t="s">
        <v>4791</v>
      </c>
    </row>
    <row r="4329" spans="1:6" x14ac:dyDescent="0.25">
      <c r="A4329" t="s">
        <v>5200</v>
      </c>
      <c r="B4329" t="s">
        <v>59</v>
      </c>
      <c r="C4329" t="s">
        <v>60</v>
      </c>
      <c r="D4329" t="str">
        <f>HYPERLINK("http://service.sap.com/sap/support/notes/1587724","1587724")</f>
        <v>1587724</v>
      </c>
      <c r="E4329">
        <v>3</v>
      </c>
      <c r="F4329" t="s">
        <v>4792</v>
      </c>
    </row>
    <row r="4330" spans="1:6" x14ac:dyDescent="0.25">
      <c r="A4330" t="s">
        <v>5200</v>
      </c>
      <c r="B4330" t="s">
        <v>59</v>
      </c>
      <c r="C4330" t="s">
        <v>60</v>
      </c>
      <c r="D4330" t="str">
        <f>HYPERLINK("http://service.sap.com/sap/support/notes/1598565","1598565")</f>
        <v>1598565</v>
      </c>
      <c r="E4330">
        <v>1</v>
      </c>
      <c r="F4330" t="s">
        <v>4793</v>
      </c>
    </row>
    <row r="4331" spans="1:6" x14ac:dyDescent="0.25">
      <c r="A4331" t="s">
        <v>5200</v>
      </c>
      <c r="B4331" t="s">
        <v>59</v>
      </c>
      <c r="C4331" t="s">
        <v>60</v>
      </c>
      <c r="D4331" t="str">
        <f>HYPERLINK("http://service.sap.com/sap/support/notes/1605069","1605069")</f>
        <v>1605069</v>
      </c>
      <c r="E4331">
        <v>4</v>
      </c>
      <c r="F4331" t="s">
        <v>4794</v>
      </c>
    </row>
    <row r="4332" spans="1:6" x14ac:dyDescent="0.25">
      <c r="A4332" t="s">
        <v>5200</v>
      </c>
      <c r="B4332" t="s">
        <v>694</v>
      </c>
      <c r="C4332" t="s">
        <v>695</v>
      </c>
      <c r="D4332" t="str">
        <f>HYPERLINK("http://service.sap.com/sap/support/notes/1563947","1563947")</f>
        <v>1563947</v>
      </c>
      <c r="E4332">
        <v>1</v>
      </c>
      <c r="F4332" t="s">
        <v>3443</v>
      </c>
    </row>
    <row r="4333" spans="1:6" x14ac:dyDescent="0.25">
      <c r="A4333" t="s">
        <v>5200</v>
      </c>
      <c r="B4333" t="s">
        <v>694</v>
      </c>
      <c r="C4333" t="s">
        <v>695</v>
      </c>
      <c r="D4333" t="str">
        <f>HYPERLINK("http://service.sap.com/sap/support/notes/1595116","1595116")</f>
        <v>1595116</v>
      </c>
      <c r="E4333">
        <v>3</v>
      </c>
      <c r="F4333" t="s">
        <v>4795</v>
      </c>
    </row>
    <row r="4334" spans="1:6" x14ac:dyDescent="0.25">
      <c r="A4334" t="s">
        <v>5200</v>
      </c>
      <c r="B4334" t="s">
        <v>694</v>
      </c>
      <c r="C4334" t="s">
        <v>695</v>
      </c>
      <c r="D4334" t="str">
        <f>HYPERLINK("http://service.sap.com/sap/support/notes/1609702","1609702")</f>
        <v>1609702</v>
      </c>
      <c r="E4334">
        <v>1</v>
      </c>
      <c r="F4334" t="s">
        <v>4796</v>
      </c>
    </row>
    <row r="4335" spans="1:6" x14ac:dyDescent="0.25">
      <c r="A4335" t="s">
        <v>5200</v>
      </c>
      <c r="B4335" t="s">
        <v>76</v>
      </c>
      <c r="C4335" t="s">
        <v>77</v>
      </c>
      <c r="D4335" t="str">
        <f>HYPERLINK("http://service.sap.com/sap/support/notes/1605711","1605711")</f>
        <v>1605711</v>
      </c>
      <c r="E4335">
        <v>1</v>
      </c>
      <c r="F4335" t="s">
        <v>4797</v>
      </c>
    </row>
    <row r="4336" spans="1:6" x14ac:dyDescent="0.25">
      <c r="A4336" t="s">
        <v>5200</v>
      </c>
      <c r="B4336" t="s">
        <v>79</v>
      </c>
      <c r="C4336" t="s">
        <v>80</v>
      </c>
      <c r="D4336" t="str">
        <f>HYPERLINK("http://service.sap.com/sap/support/notes/1602361","1602361")</f>
        <v>1602361</v>
      </c>
      <c r="E4336">
        <v>1</v>
      </c>
      <c r="F4336" t="s">
        <v>4798</v>
      </c>
    </row>
    <row r="4337" spans="1:6" x14ac:dyDescent="0.25">
      <c r="A4337" t="s">
        <v>5200</v>
      </c>
      <c r="B4337" t="s">
        <v>79</v>
      </c>
      <c r="C4337" t="s">
        <v>80</v>
      </c>
      <c r="D4337" t="str">
        <f>HYPERLINK("http://service.sap.com/sap/support/notes/1603791","1603791")</f>
        <v>1603791</v>
      </c>
      <c r="E4337">
        <v>1</v>
      </c>
      <c r="F4337" t="s">
        <v>4799</v>
      </c>
    </row>
    <row r="4338" spans="1:6" x14ac:dyDescent="0.25">
      <c r="A4338" t="s">
        <v>5200</v>
      </c>
      <c r="B4338" t="s">
        <v>79</v>
      </c>
      <c r="C4338" t="s">
        <v>80</v>
      </c>
      <c r="D4338" t="str">
        <f>HYPERLINK("http://service.sap.com/sap/support/notes/1605784","1605784")</f>
        <v>1605784</v>
      </c>
      <c r="E4338">
        <v>1</v>
      </c>
      <c r="F4338" t="s">
        <v>4800</v>
      </c>
    </row>
    <row r="4339" spans="1:6" x14ac:dyDescent="0.25">
      <c r="A4339" t="s">
        <v>5200</v>
      </c>
      <c r="B4339" t="s">
        <v>79</v>
      </c>
      <c r="C4339" t="s">
        <v>80</v>
      </c>
      <c r="D4339" t="str">
        <f>HYPERLINK("http://service.sap.com/sap/support/notes/1608031","1608031")</f>
        <v>1608031</v>
      </c>
      <c r="E4339">
        <v>1</v>
      </c>
      <c r="F4339" t="s">
        <v>4801</v>
      </c>
    </row>
    <row r="4340" spans="1:6" x14ac:dyDescent="0.25">
      <c r="A4340" t="s">
        <v>5200</v>
      </c>
      <c r="B4340" t="s">
        <v>79</v>
      </c>
      <c r="C4340" t="s">
        <v>80</v>
      </c>
      <c r="D4340" t="str">
        <f>HYPERLINK("http://service.sap.com/sap/support/notes/1609081","1609081")</f>
        <v>1609081</v>
      </c>
      <c r="E4340">
        <v>4</v>
      </c>
      <c r="F4340" t="s">
        <v>4802</v>
      </c>
    </row>
    <row r="4341" spans="1:6" x14ac:dyDescent="0.25">
      <c r="A4341" t="s">
        <v>5200</v>
      </c>
      <c r="B4341" t="s">
        <v>86</v>
      </c>
      <c r="C4341" t="s">
        <v>87</v>
      </c>
      <c r="D4341" t="str">
        <f>HYPERLINK("http://service.sap.com/sap/support/notes/1609582","1609582")</f>
        <v>1609582</v>
      </c>
      <c r="E4341">
        <v>2</v>
      </c>
      <c r="F4341" t="s">
        <v>4803</v>
      </c>
    </row>
    <row r="4342" spans="1:6" x14ac:dyDescent="0.25">
      <c r="A4342" t="s">
        <v>5200</v>
      </c>
      <c r="B4342" t="s">
        <v>704</v>
      </c>
      <c r="C4342" t="s">
        <v>412</v>
      </c>
      <c r="D4342" t="str">
        <f>HYPERLINK("http://service.sap.com/sap/support/notes/1598212","1598212")</f>
        <v>1598212</v>
      </c>
      <c r="E4342">
        <v>8</v>
      </c>
      <c r="F4342" t="s">
        <v>4804</v>
      </c>
    </row>
    <row r="4343" spans="1:6" x14ac:dyDescent="0.25">
      <c r="A4343" t="s">
        <v>5200</v>
      </c>
      <c r="B4343" t="s">
        <v>1461</v>
      </c>
      <c r="C4343" t="s">
        <v>441</v>
      </c>
      <c r="D4343" t="str">
        <f>HYPERLINK("http://service.sap.com/sap/support/notes/1596914","1596914")</f>
        <v>1596914</v>
      </c>
      <c r="E4343">
        <v>2</v>
      </c>
      <c r="F4343" t="s">
        <v>4805</v>
      </c>
    </row>
    <row r="4344" spans="1:6" x14ac:dyDescent="0.25">
      <c r="A4344" t="s">
        <v>5200</v>
      </c>
      <c r="B4344" t="s">
        <v>1461</v>
      </c>
      <c r="C4344" t="s">
        <v>441</v>
      </c>
      <c r="D4344" t="str">
        <f>HYPERLINK("http://service.sap.com/sap/support/notes/1608473","1608473")</f>
        <v>1608473</v>
      </c>
      <c r="E4344">
        <v>1</v>
      </c>
      <c r="F4344" t="s">
        <v>4806</v>
      </c>
    </row>
    <row r="4345" spans="1:6" x14ac:dyDescent="0.25">
      <c r="A4345" t="s">
        <v>5200</v>
      </c>
      <c r="B4345" t="s">
        <v>92</v>
      </c>
      <c r="C4345" t="s">
        <v>93</v>
      </c>
      <c r="D4345" t="str">
        <f>HYPERLINK("http://service.sap.com/sap/support/notes/1606393","1606393")</f>
        <v>1606393</v>
      </c>
      <c r="E4345">
        <v>1</v>
      </c>
      <c r="F4345" t="s">
        <v>4268</v>
      </c>
    </row>
    <row r="4346" spans="1:6" x14ac:dyDescent="0.25">
      <c r="A4346" t="s">
        <v>5200</v>
      </c>
      <c r="B4346" t="s">
        <v>92</v>
      </c>
      <c r="C4346" t="s">
        <v>93</v>
      </c>
      <c r="D4346" t="str">
        <f>HYPERLINK("http://service.sap.com/sap/support/notes/1606787","1606787")</f>
        <v>1606787</v>
      </c>
      <c r="E4346">
        <v>1</v>
      </c>
      <c r="F4346" t="s">
        <v>4385</v>
      </c>
    </row>
    <row r="4347" spans="1:6" x14ac:dyDescent="0.25">
      <c r="A4347" t="s">
        <v>5200</v>
      </c>
      <c r="B4347" t="s">
        <v>92</v>
      </c>
      <c r="C4347" t="s">
        <v>93</v>
      </c>
      <c r="D4347" t="str">
        <f>HYPERLINK("http://service.sap.com/sap/support/notes/1606966","1606966")</f>
        <v>1606966</v>
      </c>
      <c r="E4347">
        <v>2</v>
      </c>
      <c r="F4347" t="s">
        <v>4807</v>
      </c>
    </row>
    <row r="4348" spans="1:6" x14ac:dyDescent="0.25">
      <c r="A4348" t="s">
        <v>5200</v>
      </c>
      <c r="B4348" t="s">
        <v>717</v>
      </c>
      <c r="C4348" t="s">
        <v>496</v>
      </c>
      <c r="D4348" t="str">
        <f>HYPERLINK("http://service.sap.com/sap/support/notes/1604814","1604814")</f>
        <v>1604814</v>
      </c>
      <c r="E4348">
        <v>1</v>
      </c>
      <c r="F4348" t="s">
        <v>4808</v>
      </c>
    </row>
    <row r="4349" spans="1:6" x14ac:dyDescent="0.25">
      <c r="A4349" t="s">
        <v>5200</v>
      </c>
      <c r="B4349" t="s">
        <v>717</v>
      </c>
      <c r="C4349" t="s">
        <v>496</v>
      </c>
      <c r="D4349" t="str">
        <f>HYPERLINK("http://service.sap.com/sap/support/notes/1605293","1605293")</f>
        <v>1605293</v>
      </c>
      <c r="E4349">
        <v>1</v>
      </c>
      <c r="F4349" t="s">
        <v>4809</v>
      </c>
    </row>
    <row r="4350" spans="1:6" x14ac:dyDescent="0.25">
      <c r="A4350" t="s">
        <v>5200</v>
      </c>
      <c r="B4350" t="s">
        <v>107</v>
      </c>
      <c r="C4350" t="s">
        <v>108</v>
      </c>
      <c r="D4350" t="str">
        <f>HYPERLINK("http://service.sap.com/sap/support/notes/1583047","1583047")</f>
        <v>1583047</v>
      </c>
      <c r="E4350">
        <v>2</v>
      </c>
      <c r="F4350" t="s">
        <v>4269</v>
      </c>
    </row>
    <row r="4351" spans="1:6" x14ac:dyDescent="0.25">
      <c r="A4351" t="s">
        <v>5200</v>
      </c>
      <c r="B4351" t="s">
        <v>107</v>
      </c>
      <c r="C4351" t="s">
        <v>108</v>
      </c>
      <c r="D4351" t="str">
        <f>HYPERLINK("http://service.sap.com/sap/support/notes/1600077","1600077")</f>
        <v>1600077</v>
      </c>
      <c r="E4351">
        <v>2</v>
      </c>
      <c r="F4351" t="s">
        <v>4810</v>
      </c>
    </row>
    <row r="4352" spans="1:6" x14ac:dyDescent="0.25">
      <c r="A4352" t="s">
        <v>5200</v>
      </c>
      <c r="B4352" t="s">
        <v>111</v>
      </c>
      <c r="C4352" t="s">
        <v>112</v>
      </c>
      <c r="D4352" t="str">
        <f>HYPERLINK("http://service.sap.com/sap/support/notes/1566709","1566709")</f>
        <v>1566709</v>
      </c>
      <c r="E4352">
        <v>13</v>
      </c>
      <c r="F4352" t="s">
        <v>4811</v>
      </c>
    </row>
    <row r="4353" spans="1:6" x14ac:dyDescent="0.25">
      <c r="A4353" t="s">
        <v>5200</v>
      </c>
      <c r="B4353" t="s">
        <v>111</v>
      </c>
      <c r="C4353" t="s">
        <v>112</v>
      </c>
      <c r="D4353" t="str">
        <f>HYPERLINK("http://service.sap.com/sap/support/notes/1583167","1583167")</f>
        <v>1583167</v>
      </c>
      <c r="E4353">
        <v>3</v>
      </c>
      <c r="F4353" t="s">
        <v>4812</v>
      </c>
    </row>
    <row r="4354" spans="1:6" x14ac:dyDescent="0.25">
      <c r="A4354" t="s">
        <v>5200</v>
      </c>
      <c r="B4354" t="s">
        <v>724</v>
      </c>
      <c r="C4354" t="s">
        <v>725</v>
      </c>
      <c r="D4354" t="str">
        <f>HYPERLINK("http://service.sap.com/sap/support/notes/1599583","1599583")</f>
        <v>1599583</v>
      </c>
      <c r="E4354">
        <v>1</v>
      </c>
      <c r="F4354" t="s">
        <v>4813</v>
      </c>
    </row>
    <row r="4355" spans="1:6" x14ac:dyDescent="0.25">
      <c r="A4355" t="s">
        <v>5200</v>
      </c>
      <c r="B4355" t="s">
        <v>118</v>
      </c>
      <c r="C4355" t="s">
        <v>119</v>
      </c>
    </row>
    <row r="4356" spans="1:6" x14ac:dyDescent="0.25">
      <c r="A4356" t="s">
        <v>5200</v>
      </c>
      <c r="B4356" t="s">
        <v>4814</v>
      </c>
      <c r="C4356" t="s">
        <v>4815</v>
      </c>
      <c r="D4356" t="str">
        <f>HYPERLINK("http://service.sap.com/sap/support/notes/1598694","1598694")</f>
        <v>1598694</v>
      </c>
      <c r="E4356">
        <v>2</v>
      </c>
      <c r="F4356" t="s">
        <v>4816</v>
      </c>
    </row>
    <row r="4357" spans="1:6" x14ac:dyDescent="0.25">
      <c r="A4357" t="s">
        <v>5200</v>
      </c>
      <c r="B4357" t="s">
        <v>4814</v>
      </c>
      <c r="C4357" t="s">
        <v>4815</v>
      </c>
      <c r="D4357" t="str">
        <f>HYPERLINK("http://service.sap.com/sap/support/notes/1598698","1598698")</f>
        <v>1598698</v>
      </c>
      <c r="E4357">
        <v>1</v>
      </c>
      <c r="F4357" t="s">
        <v>4817</v>
      </c>
    </row>
    <row r="4358" spans="1:6" x14ac:dyDescent="0.25">
      <c r="A4358" t="s">
        <v>5200</v>
      </c>
      <c r="B4358" t="s">
        <v>831</v>
      </c>
      <c r="C4358" t="s">
        <v>2598</v>
      </c>
    </row>
    <row r="4359" spans="1:6" x14ac:dyDescent="0.25">
      <c r="A4359" t="s">
        <v>5200</v>
      </c>
      <c r="B4359" t="s">
        <v>849</v>
      </c>
      <c r="C4359" t="s">
        <v>4450</v>
      </c>
      <c r="D4359" t="str">
        <f>HYPERLINK("http://service.sap.com/sap/support/notes/1602500","1602500")</f>
        <v>1602500</v>
      </c>
      <c r="E4359">
        <v>3</v>
      </c>
      <c r="F4359" t="s">
        <v>4818</v>
      </c>
    </row>
    <row r="4360" spans="1:6" x14ac:dyDescent="0.25">
      <c r="A4360" t="s">
        <v>5200</v>
      </c>
      <c r="B4360" t="s">
        <v>871</v>
      </c>
      <c r="C4360" t="s">
        <v>872</v>
      </c>
      <c r="D4360" t="str">
        <f>HYPERLINK("http://service.sap.com/sap/support/notes/1532880","1532880")</f>
        <v>1532880</v>
      </c>
      <c r="E4360">
        <v>3</v>
      </c>
      <c r="F4360" t="s">
        <v>4819</v>
      </c>
    </row>
    <row r="4361" spans="1:6" x14ac:dyDescent="0.25">
      <c r="A4361" t="s">
        <v>5200</v>
      </c>
      <c r="B4361" t="s">
        <v>871</v>
      </c>
      <c r="C4361" t="s">
        <v>872</v>
      </c>
      <c r="D4361" t="str">
        <f>HYPERLINK("http://service.sap.com/sap/support/notes/1597656","1597656")</f>
        <v>1597656</v>
      </c>
      <c r="E4361">
        <v>1</v>
      </c>
      <c r="F4361" t="s">
        <v>4820</v>
      </c>
    </row>
    <row r="4362" spans="1:6" x14ac:dyDescent="0.25">
      <c r="A4362" t="s">
        <v>5200</v>
      </c>
      <c r="B4362" t="s">
        <v>871</v>
      </c>
      <c r="C4362" t="s">
        <v>872</v>
      </c>
      <c r="D4362" t="str">
        <f>HYPERLINK("http://service.sap.com/sap/support/notes/1605245","1605245")</f>
        <v>1605245</v>
      </c>
      <c r="E4362">
        <v>2</v>
      </c>
      <c r="F4362" t="s">
        <v>4821</v>
      </c>
    </row>
    <row r="4363" spans="1:6" x14ac:dyDescent="0.25">
      <c r="A4363" t="s">
        <v>5200</v>
      </c>
      <c r="B4363" t="s">
        <v>131</v>
      </c>
      <c r="C4363" t="s">
        <v>132</v>
      </c>
    </row>
    <row r="4364" spans="1:6" x14ac:dyDescent="0.25">
      <c r="A4364" t="s">
        <v>5200</v>
      </c>
      <c r="B4364" t="s">
        <v>133</v>
      </c>
      <c r="C4364" t="s">
        <v>134</v>
      </c>
      <c r="D4364" t="str">
        <f>HYPERLINK("http://service.sap.com/sap/support/notes/1580737","1580737")</f>
        <v>1580737</v>
      </c>
      <c r="E4364">
        <v>4</v>
      </c>
      <c r="F4364" t="s">
        <v>4822</v>
      </c>
    </row>
    <row r="4365" spans="1:6" x14ac:dyDescent="0.25">
      <c r="A4365" t="s">
        <v>5200</v>
      </c>
      <c r="B4365" t="s">
        <v>133</v>
      </c>
      <c r="C4365" t="s">
        <v>134</v>
      </c>
      <c r="D4365" t="str">
        <f>HYPERLINK("http://service.sap.com/sap/support/notes/1591593","1591593")</f>
        <v>1591593</v>
      </c>
      <c r="E4365">
        <v>4</v>
      </c>
      <c r="F4365" t="s">
        <v>4823</v>
      </c>
    </row>
    <row r="4366" spans="1:6" x14ac:dyDescent="0.25">
      <c r="A4366" t="s">
        <v>5200</v>
      </c>
      <c r="B4366" t="s">
        <v>133</v>
      </c>
      <c r="C4366" t="s">
        <v>134</v>
      </c>
      <c r="D4366" t="str">
        <f>HYPERLINK("http://service.sap.com/sap/support/notes/1591663","1591663")</f>
        <v>1591663</v>
      </c>
      <c r="E4366">
        <v>3</v>
      </c>
      <c r="F4366" t="s">
        <v>4293</v>
      </c>
    </row>
    <row r="4367" spans="1:6" x14ac:dyDescent="0.25">
      <c r="A4367" t="s">
        <v>5200</v>
      </c>
      <c r="B4367" t="s">
        <v>133</v>
      </c>
      <c r="C4367" t="s">
        <v>134</v>
      </c>
      <c r="D4367" t="str">
        <f>HYPERLINK("http://service.sap.com/sap/support/notes/1594695","1594695")</f>
        <v>1594695</v>
      </c>
      <c r="E4367">
        <v>2</v>
      </c>
      <c r="F4367" t="s">
        <v>4824</v>
      </c>
    </row>
    <row r="4368" spans="1:6" x14ac:dyDescent="0.25">
      <c r="A4368" t="s">
        <v>5200</v>
      </c>
      <c r="B4368" t="s">
        <v>133</v>
      </c>
      <c r="C4368" t="s">
        <v>134</v>
      </c>
      <c r="D4368" t="str">
        <f>HYPERLINK("http://service.sap.com/sap/support/notes/1594699","1594699")</f>
        <v>1594699</v>
      </c>
      <c r="E4368">
        <v>2</v>
      </c>
      <c r="F4368" t="s">
        <v>4825</v>
      </c>
    </row>
    <row r="4369" spans="1:6" x14ac:dyDescent="0.25">
      <c r="A4369" t="s">
        <v>5200</v>
      </c>
      <c r="B4369" t="s">
        <v>133</v>
      </c>
      <c r="C4369" t="s">
        <v>134</v>
      </c>
      <c r="D4369" t="str">
        <f>HYPERLINK("http://service.sap.com/sap/support/notes/1595833","1595833")</f>
        <v>1595833</v>
      </c>
      <c r="E4369">
        <v>3</v>
      </c>
      <c r="F4369" t="s">
        <v>4826</v>
      </c>
    </row>
    <row r="4370" spans="1:6" x14ac:dyDescent="0.25">
      <c r="A4370" t="s">
        <v>5200</v>
      </c>
      <c r="B4370" t="s">
        <v>141</v>
      </c>
      <c r="C4370" t="s">
        <v>41</v>
      </c>
      <c r="D4370" t="str">
        <f>HYPERLINK("http://service.sap.com/sap/support/notes/1598155","1598155")</f>
        <v>1598155</v>
      </c>
      <c r="E4370">
        <v>2</v>
      </c>
      <c r="F4370" t="s">
        <v>4520</v>
      </c>
    </row>
    <row r="4371" spans="1:6" x14ac:dyDescent="0.25">
      <c r="A4371" t="s">
        <v>5200</v>
      </c>
      <c r="B4371" t="s">
        <v>141</v>
      </c>
      <c r="C4371" t="s">
        <v>41</v>
      </c>
      <c r="D4371" t="str">
        <f>HYPERLINK("http://service.sap.com/sap/support/notes/1598269","1598269")</f>
        <v>1598269</v>
      </c>
      <c r="E4371">
        <v>2</v>
      </c>
      <c r="F4371" t="s">
        <v>4827</v>
      </c>
    </row>
    <row r="4372" spans="1:6" x14ac:dyDescent="0.25">
      <c r="A4372" t="s">
        <v>5200</v>
      </c>
      <c r="B4372" t="s">
        <v>141</v>
      </c>
      <c r="C4372" t="s">
        <v>41</v>
      </c>
      <c r="D4372" t="str">
        <f>HYPERLINK("http://service.sap.com/sap/support/notes/1598401","1598401")</f>
        <v>1598401</v>
      </c>
      <c r="E4372">
        <v>3</v>
      </c>
      <c r="F4372" t="s">
        <v>4828</v>
      </c>
    </row>
    <row r="4373" spans="1:6" x14ac:dyDescent="0.25">
      <c r="A4373" t="s">
        <v>5200</v>
      </c>
      <c r="B4373" t="s">
        <v>141</v>
      </c>
      <c r="C4373" t="s">
        <v>41</v>
      </c>
      <c r="D4373" t="str">
        <f>HYPERLINK("http://service.sap.com/sap/support/notes/1603020","1603020")</f>
        <v>1603020</v>
      </c>
      <c r="E4373">
        <v>3</v>
      </c>
      <c r="F4373" t="s">
        <v>4829</v>
      </c>
    </row>
    <row r="4374" spans="1:6" x14ac:dyDescent="0.25">
      <c r="A4374" t="s">
        <v>5200</v>
      </c>
      <c r="B4374" t="s">
        <v>141</v>
      </c>
      <c r="C4374" t="s">
        <v>41</v>
      </c>
      <c r="D4374" t="str">
        <f>HYPERLINK("http://service.sap.com/sap/support/notes/1606618","1606618")</f>
        <v>1606618</v>
      </c>
      <c r="E4374">
        <v>1</v>
      </c>
      <c r="F4374" t="s">
        <v>4830</v>
      </c>
    </row>
    <row r="4375" spans="1:6" x14ac:dyDescent="0.25">
      <c r="A4375" t="s">
        <v>5200</v>
      </c>
      <c r="B4375" t="s">
        <v>141</v>
      </c>
      <c r="C4375" t="s">
        <v>41</v>
      </c>
      <c r="D4375" t="str">
        <f>HYPERLINK("http://service.sap.com/sap/support/notes/1610468","1610468")</f>
        <v>1610468</v>
      </c>
      <c r="E4375">
        <v>1</v>
      </c>
      <c r="F4375" t="s">
        <v>4831</v>
      </c>
    </row>
    <row r="4376" spans="1:6" x14ac:dyDescent="0.25">
      <c r="A4376" t="s">
        <v>5200</v>
      </c>
      <c r="B4376" t="s">
        <v>141</v>
      </c>
      <c r="C4376" t="s">
        <v>41</v>
      </c>
      <c r="D4376" t="str">
        <f>HYPERLINK("http://service.sap.com/sap/support/notes/1610872","1610872")</f>
        <v>1610872</v>
      </c>
      <c r="E4376">
        <v>1</v>
      </c>
      <c r="F4376" t="s">
        <v>4832</v>
      </c>
    </row>
    <row r="4377" spans="1:6" x14ac:dyDescent="0.25">
      <c r="A4377" t="s">
        <v>5200</v>
      </c>
      <c r="B4377" t="s">
        <v>141</v>
      </c>
      <c r="C4377" t="s">
        <v>41</v>
      </c>
      <c r="D4377" t="str">
        <f>HYPERLINK("http://service.sap.com/sap/support/notes/1610996","1610996")</f>
        <v>1610996</v>
      </c>
      <c r="E4377">
        <v>1</v>
      </c>
      <c r="F4377" t="s">
        <v>4833</v>
      </c>
    </row>
    <row r="4378" spans="1:6" x14ac:dyDescent="0.25">
      <c r="A4378" t="s">
        <v>5200</v>
      </c>
      <c r="B4378" t="s">
        <v>141</v>
      </c>
      <c r="C4378" t="s">
        <v>41</v>
      </c>
      <c r="D4378" t="str">
        <f>HYPERLINK("http://service.sap.com/sap/support/notes/1612321","1612321")</f>
        <v>1612321</v>
      </c>
      <c r="E4378">
        <v>1</v>
      </c>
      <c r="F4378" t="s">
        <v>4834</v>
      </c>
    </row>
    <row r="4379" spans="1:6" x14ac:dyDescent="0.25">
      <c r="A4379" t="s">
        <v>5200</v>
      </c>
      <c r="B4379" t="s">
        <v>155</v>
      </c>
      <c r="C4379" t="s">
        <v>156</v>
      </c>
      <c r="D4379" t="str">
        <f>HYPERLINK("http://service.sap.com/sap/support/notes/1580555","1580555")</f>
        <v>1580555</v>
      </c>
      <c r="E4379">
        <v>1</v>
      </c>
      <c r="F4379" t="s">
        <v>4835</v>
      </c>
    </row>
    <row r="4380" spans="1:6" x14ac:dyDescent="0.25">
      <c r="A4380" t="s">
        <v>5200</v>
      </c>
      <c r="B4380" t="s">
        <v>155</v>
      </c>
      <c r="C4380" t="s">
        <v>156</v>
      </c>
      <c r="D4380" t="str">
        <f>HYPERLINK("http://service.sap.com/sap/support/notes/1586765","1586765")</f>
        <v>1586765</v>
      </c>
      <c r="E4380">
        <v>1</v>
      </c>
      <c r="F4380" t="s">
        <v>4836</v>
      </c>
    </row>
    <row r="4381" spans="1:6" x14ac:dyDescent="0.25">
      <c r="A4381" t="s">
        <v>5200</v>
      </c>
      <c r="B4381" t="s">
        <v>155</v>
      </c>
      <c r="C4381" t="s">
        <v>156</v>
      </c>
      <c r="D4381" t="str">
        <f>HYPERLINK("http://service.sap.com/sap/support/notes/1598734","1598734")</f>
        <v>1598734</v>
      </c>
      <c r="E4381">
        <v>1</v>
      </c>
      <c r="F4381" t="s">
        <v>4837</v>
      </c>
    </row>
    <row r="4382" spans="1:6" x14ac:dyDescent="0.25">
      <c r="A4382" t="s">
        <v>5200</v>
      </c>
      <c r="B4382" t="s">
        <v>155</v>
      </c>
      <c r="C4382" t="s">
        <v>156</v>
      </c>
      <c r="D4382" t="str">
        <f>HYPERLINK("http://service.sap.com/sap/support/notes/1599454","1599454")</f>
        <v>1599454</v>
      </c>
      <c r="E4382">
        <v>2</v>
      </c>
      <c r="F4382" t="s">
        <v>4167</v>
      </c>
    </row>
    <row r="4383" spans="1:6" x14ac:dyDescent="0.25">
      <c r="A4383" t="s">
        <v>5200</v>
      </c>
      <c r="B4383" t="s">
        <v>155</v>
      </c>
      <c r="C4383" t="s">
        <v>156</v>
      </c>
      <c r="D4383" t="str">
        <f>HYPERLINK("http://service.sap.com/sap/support/notes/1601865","1601865")</f>
        <v>1601865</v>
      </c>
      <c r="E4383">
        <v>1</v>
      </c>
      <c r="F4383" t="s">
        <v>4838</v>
      </c>
    </row>
    <row r="4384" spans="1:6" x14ac:dyDescent="0.25">
      <c r="A4384" t="s">
        <v>5200</v>
      </c>
      <c r="B4384" t="s">
        <v>155</v>
      </c>
      <c r="C4384" t="s">
        <v>156</v>
      </c>
      <c r="D4384" t="str">
        <f>HYPERLINK("http://service.sap.com/sap/support/notes/1603529","1603529")</f>
        <v>1603529</v>
      </c>
      <c r="E4384">
        <v>1</v>
      </c>
      <c r="F4384" t="s">
        <v>4839</v>
      </c>
    </row>
    <row r="4385" spans="1:6" x14ac:dyDescent="0.25">
      <c r="A4385" t="s">
        <v>5200</v>
      </c>
      <c r="B4385" t="s">
        <v>155</v>
      </c>
      <c r="C4385" t="s">
        <v>156</v>
      </c>
      <c r="D4385" t="str">
        <f>HYPERLINK("http://service.sap.com/sap/support/notes/1604352","1604352")</f>
        <v>1604352</v>
      </c>
      <c r="E4385">
        <v>1</v>
      </c>
      <c r="F4385" t="s">
        <v>4840</v>
      </c>
    </row>
    <row r="4386" spans="1:6" x14ac:dyDescent="0.25">
      <c r="A4386" t="s">
        <v>5200</v>
      </c>
      <c r="B4386" t="s">
        <v>155</v>
      </c>
      <c r="C4386" t="s">
        <v>156</v>
      </c>
      <c r="D4386" t="str">
        <f>HYPERLINK("http://service.sap.com/sap/support/notes/1604943","1604943")</f>
        <v>1604943</v>
      </c>
      <c r="E4386">
        <v>1</v>
      </c>
      <c r="F4386" t="s">
        <v>4841</v>
      </c>
    </row>
    <row r="4387" spans="1:6" x14ac:dyDescent="0.25">
      <c r="A4387" t="s">
        <v>5200</v>
      </c>
      <c r="B4387" t="s">
        <v>155</v>
      </c>
      <c r="C4387" t="s">
        <v>156</v>
      </c>
      <c r="D4387" t="str">
        <f>HYPERLINK("http://service.sap.com/sap/support/notes/1605114","1605114")</f>
        <v>1605114</v>
      </c>
      <c r="E4387">
        <v>1</v>
      </c>
      <c r="F4387" t="s">
        <v>4842</v>
      </c>
    </row>
    <row r="4388" spans="1:6" x14ac:dyDescent="0.25">
      <c r="A4388" t="s">
        <v>5200</v>
      </c>
      <c r="B4388" t="s">
        <v>155</v>
      </c>
      <c r="C4388" t="s">
        <v>156</v>
      </c>
      <c r="D4388" t="str">
        <f>HYPERLINK("http://service.sap.com/sap/support/notes/1605316","1605316")</f>
        <v>1605316</v>
      </c>
      <c r="E4388">
        <v>1</v>
      </c>
      <c r="F4388" t="s">
        <v>4843</v>
      </c>
    </row>
    <row r="4389" spans="1:6" x14ac:dyDescent="0.25">
      <c r="A4389" t="s">
        <v>5200</v>
      </c>
      <c r="B4389" t="s">
        <v>155</v>
      </c>
      <c r="C4389" t="s">
        <v>156</v>
      </c>
      <c r="D4389" t="str">
        <f>HYPERLINK("http://service.sap.com/sap/support/notes/1605887","1605887")</f>
        <v>1605887</v>
      </c>
      <c r="E4389">
        <v>1</v>
      </c>
      <c r="F4389" t="s">
        <v>4294</v>
      </c>
    </row>
    <row r="4390" spans="1:6" x14ac:dyDescent="0.25">
      <c r="A4390" t="s">
        <v>5200</v>
      </c>
      <c r="B4390" t="s">
        <v>155</v>
      </c>
      <c r="C4390" t="s">
        <v>156</v>
      </c>
      <c r="D4390" t="str">
        <f>HYPERLINK("http://service.sap.com/sap/support/notes/1605933","1605933")</f>
        <v>1605933</v>
      </c>
      <c r="E4390">
        <v>1</v>
      </c>
      <c r="F4390" t="s">
        <v>4844</v>
      </c>
    </row>
    <row r="4391" spans="1:6" x14ac:dyDescent="0.25">
      <c r="A4391" t="s">
        <v>5200</v>
      </c>
      <c r="B4391" t="s">
        <v>155</v>
      </c>
      <c r="C4391" t="s">
        <v>156</v>
      </c>
      <c r="D4391" t="str">
        <f>HYPERLINK("http://service.sap.com/sap/support/notes/1606233","1606233")</f>
        <v>1606233</v>
      </c>
      <c r="E4391">
        <v>1</v>
      </c>
      <c r="F4391" t="s">
        <v>4845</v>
      </c>
    </row>
    <row r="4392" spans="1:6" x14ac:dyDescent="0.25">
      <c r="A4392" t="s">
        <v>5200</v>
      </c>
      <c r="B4392" t="s">
        <v>155</v>
      </c>
      <c r="C4392" t="s">
        <v>156</v>
      </c>
      <c r="D4392" t="str">
        <f>HYPERLINK("http://service.sap.com/sap/support/notes/1606356","1606356")</f>
        <v>1606356</v>
      </c>
      <c r="E4392">
        <v>1</v>
      </c>
      <c r="F4392" t="s">
        <v>4846</v>
      </c>
    </row>
    <row r="4393" spans="1:6" x14ac:dyDescent="0.25">
      <c r="A4393" t="s">
        <v>5200</v>
      </c>
      <c r="B4393" t="s">
        <v>155</v>
      </c>
      <c r="C4393" t="s">
        <v>156</v>
      </c>
      <c r="D4393" t="str">
        <f>HYPERLINK("http://service.sap.com/sap/support/notes/1606907","1606907")</f>
        <v>1606907</v>
      </c>
      <c r="E4393">
        <v>1</v>
      </c>
      <c r="F4393" t="s">
        <v>4847</v>
      </c>
    </row>
    <row r="4394" spans="1:6" x14ac:dyDescent="0.25">
      <c r="A4394" t="s">
        <v>5200</v>
      </c>
      <c r="B4394" t="s">
        <v>155</v>
      </c>
      <c r="C4394" t="s">
        <v>156</v>
      </c>
      <c r="D4394" t="str">
        <f>HYPERLINK("http://service.sap.com/sap/support/notes/1607380","1607380")</f>
        <v>1607380</v>
      </c>
      <c r="E4394">
        <v>1</v>
      </c>
      <c r="F4394" t="s">
        <v>4848</v>
      </c>
    </row>
    <row r="4395" spans="1:6" x14ac:dyDescent="0.25">
      <c r="A4395" t="s">
        <v>5200</v>
      </c>
      <c r="B4395" t="s">
        <v>155</v>
      </c>
      <c r="C4395" t="s">
        <v>156</v>
      </c>
      <c r="D4395" t="str">
        <f>HYPERLINK("http://service.sap.com/sap/support/notes/1609253","1609253")</f>
        <v>1609253</v>
      </c>
      <c r="E4395">
        <v>3</v>
      </c>
      <c r="F4395" t="s">
        <v>4849</v>
      </c>
    </row>
    <row r="4396" spans="1:6" x14ac:dyDescent="0.25">
      <c r="A4396" t="s">
        <v>5200</v>
      </c>
      <c r="B4396" t="s">
        <v>168</v>
      </c>
      <c r="C4396" t="s">
        <v>169</v>
      </c>
      <c r="D4396" t="str">
        <f>HYPERLINK("http://service.sap.com/sap/support/notes/1601241","1601241")</f>
        <v>1601241</v>
      </c>
      <c r="E4396">
        <v>2</v>
      </c>
      <c r="F4396" t="s">
        <v>4295</v>
      </c>
    </row>
    <row r="4397" spans="1:6" x14ac:dyDescent="0.25">
      <c r="A4397" t="s">
        <v>5200</v>
      </c>
      <c r="B4397" t="s">
        <v>171</v>
      </c>
      <c r="C4397" t="s">
        <v>153</v>
      </c>
      <c r="D4397" t="str">
        <f>HYPERLINK("http://service.sap.com/sap/support/notes/1601307","1601307")</f>
        <v>1601307</v>
      </c>
      <c r="E4397">
        <v>1</v>
      </c>
      <c r="F4397" t="s">
        <v>4850</v>
      </c>
    </row>
    <row r="4398" spans="1:6" x14ac:dyDescent="0.25">
      <c r="A4398" t="s">
        <v>5200</v>
      </c>
      <c r="B4398" t="s">
        <v>171</v>
      </c>
      <c r="C4398" t="s">
        <v>153</v>
      </c>
      <c r="D4398" t="str">
        <f>HYPERLINK("http://service.sap.com/sap/support/notes/1606427","1606427")</f>
        <v>1606427</v>
      </c>
      <c r="E4398">
        <v>2</v>
      </c>
      <c r="F4398" t="s">
        <v>4851</v>
      </c>
    </row>
    <row r="4399" spans="1:6" x14ac:dyDescent="0.25">
      <c r="A4399" t="s">
        <v>5200</v>
      </c>
      <c r="B4399" t="s">
        <v>173</v>
      </c>
      <c r="C4399" t="s">
        <v>45</v>
      </c>
      <c r="D4399" t="str">
        <f>HYPERLINK("http://service.sap.com/sap/support/notes/1554138","1554138")</f>
        <v>1554138</v>
      </c>
      <c r="E4399">
        <v>1</v>
      </c>
      <c r="F4399" t="s">
        <v>4852</v>
      </c>
    </row>
    <row r="4400" spans="1:6" x14ac:dyDescent="0.25">
      <c r="A4400" t="s">
        <v>5200</v>
      </c>
      <c r="B4400" t="s">
        <v>173</v>
      </c>
      <c r="C4400" t="s">
        <v>45</v>
      </c>
      <c r="D4400" t="str">
        <f>HYPERLINK("http://service.sap.com/sap/support/notes/1578163","1578163")</f>
        <v>1578163</v>
      </c>
      <c r="E4400">
        <v>1</v>
      </c>
      <c r="F4400" t="s">
        <v>4853</v>
      </c>
    </row>
    <row r="4401" spans="1:6" x14ac:dyDescent="0.25">
      <c r="A4401" t="s">
        <v>5200</v>
      </c>
      <c r="B4401" t="s">
        <v>173</v>
      </c>
      <c r="C4401" t="s">
        <v>45</v>
      </c>
      <c r="D4401" t="str">
        <f>HYPERLINK("http://service.sap.com/sap/support/notes/1598203","1598203")</f>
        <v>1598203</v>
      </c>
      <c r="E4401">
        <v>1</v>
      </c>
      <c r="F4401" t="s">
        <v>4854</v>
      </c>
    </row>
    <row r="4402" spans="1:6" x14ac:dyDescent="0.25">
      <c r="A4402" t="s">
        <v>5200</v>
      </c>
      <c r="B4402" t="s">
        <v>173</v>
      </c>
      <c r="C4402" t="s">
        <v>45</v>
      </c>
      <c r="D4402" t="str">
        <f>HYPERLINK("http://service.sap.com/sap/support/notes/1599085","1599085")</f>
        <v>1599085</v>
      </c>
      <c r="E4402">
        <v>3</v>
      </c>
      <c r="F4402" t="s">
        <v>4855</v>
      </c>
    </row>
    <row r="4403" spans="1:6" x14ac:dyDescent="0.25">
      <c r="A4403" t="s">
        <v>5200</v>
      </c>
      <c r="B4403" t="s">
        <v>173</v>
      </c>
      <c r="C4403" t="s">
        <v>45</v>
      </c>
      <c r="D4403" t="str">
        <f>HYPERLINK("http://service.sap.com/sap/support/notes/1601404","1601404")</f>
        <v>1601404</v>
      </c>
      <c r="E4403">
        <v>2</v>
      </c>
      <c r="F4403" t="s">
        <v>4856</v>
      </c>
    </row>
    <row r="4404" spans="1:6" x14ac:dyDescent="0.25">
      <c r="A4404" t="s">
        <v>5200</v>
      </c>
      <c r="B4404" t="s">
        <v>173</v>
      </c>
      <c r="C4404" t="s">
        <v>45</v>
      </c>
      <c r="D4404" t="str">
        <f>HYPERLINK("http://service.sap.com/sap/support/notes/1602113","1602113")</f>
        <v>1602113</v>
      </c>
      <c r="E4404">
        <v>16</v>
      </c>
      <c r="F4404" t="s">
        <v>4857</v>
      </c>
    </row>
    <row r="4405" spans="1:6" x14ac:dyDescent="0.25">
      <c r="A4405" t="s">
        <v>5200</v>
      </c>
      <c r="B4405" t="s">
        <v>173</v>
      </c>
      <c r="C4405" t="s">
        <v>45</v>
      </c>
      <c r="D4405" t="str">
        <f>HYPERLINK("http://service.sap.com/sap/support/notes/1602181","1602181")</f>
        <v>1602181</v>
      </c>
      <c r="E4405">
        <v>2</v>
      </c>
      <c r="F4405" t="s">
        <v>4858</v>
      </c>
    </row>
    <row r="4406" spans="1:6" x14ac:dyDescent="0.25">
      <c r="A4406" t="s">
        <v>5200</v>
      </c>
      <c r="B4406" t="s">
        <v>173</v>
      </c>
      <c r="C4406" t="s">
        <v>45</v>
      </c>
      <c r="D4406" t="str">
        <f>HYPERLINK("http://service.sap.com/sap/support/notes/1602594","1602594")</f>
        <v>1602594</v>
      </c>
      <c r="E4406">
        <v>3</v>
      </c>
      <c r="F4406" t="s">
        <v>4859</v>
      </c>
    </row>
    <row r="4407" spans="1:6" x14ac:dyDescent="0.25">
      <c r="A4407" t="s">
        <v>5200</v>
      </c>
      <c r="B4407" t="s">
        <v>173</v>
      </c>
      <c r="C4407" t="s">
        <v>45</v>
      </c>
      <c r="D4407" t="str">
        <f>HYPERLINK("http://service.sap.com/sap/support/notes/1603714","1603714")</f>
        <v>1603714</v>
      </c>
      <c r="E4407">
        <v>1</v>
      </c>
      <c r="F4407" t="s">
        <v>4860</v>
      </c>
    </row>
    <row r="4408" spans="1:6" x14ac:dyDescent="0.25">
      <c r="A4408" t="s">
        <v>5200</v>
      </c>
      <c r="B4408" t="s">
        <v>173</v>
      </c>
      <c r="C4408" t="s">
        <v>45</v>
      </c>
      <c r="D4408" t="str">
        <f>HYPERLINK("http://service.sap.com/sap/support/notes/1604456","1604456")</f>
        <v>1604456</v>
      </c>
      <c r="E4408">
        <v>1</v>
      </c>
      <c r="F4408" t="s">
        <v>4861</v>
      </c>
    </row>
    <row r="4409" spans="1:6" x14ac:dyDescent="0.25">
      <c r="A4409" t="s">
        <v>5200</v>
      </c>
      <c r="B4409" t="s">
        <v>173</v>
      </c>
      <c r="C4409" t="s">
        <v>45</v>
      </c>
      <c r="D4409" t="str">
        <f>HYPERLINK("http://service.sap.com/sap/support/notes/1606478","1606478")</f>
        <v>1606478</v>
      </c>
      <c r="E4409">
        <v>1</v>
      </c>
      <c r="F4409" t="s">
        <v>4862</v>
      </c>
    </row>
    <row r="4410" spans="1:6" x14ac:dyDescent="0.25">
      <c r="A4410" t="s">
        <v>5200</v>
      </c>
      <c r="B4410" t="s">
        <v>173</v>
      </c>
      <c r="C4410" t="s">
        <v>45</v>
      </c>
      <c r="D4410" t="str">
        <f>HYPERLINK("http://service.sap.com/sap/support/notes/1606587","1606587")</f>
        <v>1606587</v>
      </c>
      <c r="E4410">
        <v>2</v>
      </c>
      <c r="F4410" t="s">
        <v>4863</v>
      </c>
    </row>
    <row r="4411" spans="1:6" x14ac:dyDescent="0.25">
      <c r="A4411" t="s">
        <v>5200</v>
      </c>
      <c r="B4411" t="s">
        <v>173</v>
      </c>
      <c r="C4411" t="s">
        <v>45</v>
      </c>
      <c r="D4411" t="str">
        <f>HYPERLINK("http://service.sap.com/sap/support/notes/1607324","1607324")</f>
        <v>1607324</v>
      </c>
      <c r="E4411">
        <v>1</v>
      </c>
      <c r="F4411" t="s">
        <v>4864</v>
      </c>
    </row>
    <row r="4412" spans="1:6" x14ac:dyDescent="0.25">
      <c r="A4412" t="s">
        <v>5200</v>
      </c>
      <c r="B4412" t="s">
        <v>173</v>
      </c>
      <c r="C4412" t="s">
        <v>45</v>
      </c>
      <c r="D4412" t="str">
        <f>HYPERLINK("http://service.sap.com/sap/support/notes/1608537","1608537")</f>
        <v>1608537</v>
      </c>
      <c r="E4412">
        <v>4</v>
      </c>
      <c r="F4412" t="s">
        <v>4865</v>
      </c>
    </row>
    <row r="4413" spans="1:6" x14ac:dyDescent="0.25">
      <c r="A4413" t="s">
        <v>5200</v>
      </c>
      <c r="B4413" t="s">
        <v>173</v>
      </c>
      <c r="C4413" t="s">
        <v>45</v>
      </c>
      <c r="D4413" t="str">
        <f>HYPERLINK("http://service.sap.com/sap/support/notes/1608827","1608827")</f>
        <v>1608827</v>
      </c>
      <c r="E4413">
        <v>1</v>
      </c>
      <c r="F4413" t="s">
        <v>4866</v>
      </c>
    </row>
    <row r="4414" spans="1:6" x14ac:dyDescent="0.25">
      <c r="A4414" t="s">
        <v>5200</v>
      </c>
      <c r="B4414" t="s">
        <v>173</v>
      </c>
      <c r="C4414" t="s">
        <v>45</v>
      </c>
      <c r="D4414" t="str">
        <f>HYPERLINK("http://service.sap.com/sap/support/notes/1609292","1609292")</f>
        <v>1609292</v>
      </c>
      <c r="E4414">
        <v>1</v>
      </c>
      <c r="F4414" t="s">
        <v>4867</v>
      </c>
    </row>
    <row r="4415" spans="1:6" x14ac:dyDescent="0.25">
      <c r="A4415" t="s">
        <v>5200</v>
      </c>
      <c r="B4415" t="s">
        <v>173</v>
      </c>
      <c r="C4415" t="s">
        <v>45</v>
      </c>
      <c r="D4415" t="str">
        <f>HYPERLINK("http://service.sap.com/sap/support/notes/1609466","1609466")</f>
        <v>1609466</v>
      </c>
      <c r="E4415">
        <v>6</v>
      </c>
      <c r="F4415" t="s">
        <v>4868</v>
      </c>
    </row>
    <row r="4416" spans="1:6" x14ac:dyDescent="0.25">
      <c r="A4416" t="s">
        <v>5200</v>
      </c>
      <c r="B4416" t="s">
        <v>173</v>
      </c>
      <c r="C4416" t="s">
        <v>45</v>
      </c>
      <c r="D4416" t="str">
        <f>HYPERLINK("http://service.sap.com/sap/support/notes/1610280","1610280")</f>
        <v>1610280</v>
      </c>
      <c r="E4416">
        <v>2</v>
      </c>
      <c r="F4416" t="s">
        <v>4869</v>
      </c>
    </row>
    <row r="4417" spans="1:6" x14ac:dyDescent="0.25">
      <c r="A4417" t="s">
        <v>5200</v>
      </c>
      <c r="B4417" t="s">
        <v>173</v>
      </c>
      <c r="C4417" t="s">
        <v>45</v>
      </c>
      <c r="D4417" t="str">
        <f>HYPERLINK("http://service.sap.com/sap/support/notes/1611967","1611967")</f>
        <v>1611967</v>
      </c>
      <c r="E4417">
        <v>1</v>
      </c>
      <c r="F4417" t="s">
        <v>4870</v>
      </c>
    </row>
    <row r="4418" spans="1:6" x14ac:dyDescent="0.25">
      <c r="A4418" t="s">
        <v>5200</v>
      </c>
      <c r="B4418" t="s">
        <v>191</v>
      </c>
      <c r="C4418" t="s">
        <v>192</v>
      </c>
      <c r="D4418" t="str">
        <f>HYPERLINK("http://service.sap.com/sap/support/notes/1060819","1060819")</f>
        <v>1060819</v>
      </c>
      <c r="E4418">
        <v>1</v>
      </c>
      <c r="F4418" t="s">
        <v>193</v>
      </c>
    </row>
    <row r="4419" spans="1:6" x14ac:dyDescent="0.25">
      <c r="A4419" t="s">
        <v>5200</v>
      </c>
      <c r="B4419" t="s">
        <v>191</v>
      </c>
      <c r="C4419" t="s">
        <v>192</v>
      </c>
      <c r="D4419" t="str">
        <f>HYPERLINK("http://service.sap.com/sap/support/notes/1517029","1517029")</f>
        <v>1517029</v>
      </c>
      <c r="E4419">
        <v>9</v>
      </c>
      <c r="F4419" t="s">
        <v>4871</v>
      </c>
    </row>
    <row r="4420" spans="1:6" x14ac:dyDescent="0.25">
      <c r="A4420" t="s">
        <v>5200</v>
      </c>
      <c r="B4420" t="s">
        <v>191</v>
      </c>
      <c r="C4420" t="s">
        <v>192</v>
      </c>
      <c r="D4420" t="str">
        <f>HYPERLINK("http://service.sap.com/sap/support/notes/1546472","1546472")</f>
        <v>1546472</v>
      </c>
      <c r="E4420">
        <v>2</v>
      </c>
      <c r="F4420" t="s">
        <v>4872</v>
      </c>
    </row>
    <row r="4421" spans="1:6" x14ac:dyDescent="0.25">
      <c r="A4421" t="s">
        <v>5200</v>
      </c>
      <c r="B4421" t="s">
        <v>191</v>
      </c>
      <c r="C4421" t="s">
        <v>192</v>
      </c>
      <c r="D4421" t="str">
        <f>HYPERLINK("http://service.sap.com/sap/support/notes/1559334","1559334")</f>
        <v>1559334</v>
      </c>
      <c r="E4421">
        <v>7</v>
      </c>
      <c r="F4421" t="s">
        <v>4873</v>
      </c>
    </row>
    <row r="4422" spans="1:6" x14ac:dyDescent="0.25">
      <c r="A4422" t="s">
        <v>5200</v>
      </c>
      <c r="B4422" t="s">
        <v>191</v>
      </c>
      <c r="C4422" t="s">
        <v>192</v>
      </c>
      <c r="D4422" t="str">
        <f>HYPERLINK("http://service.sap.com/sap/support/notes/1565489","1565489")</f>
        <v>1565489</v>
      </c>
      <c r="E4422">
        <v>1</v>
      </c>
      <c r="F4422" t="s">
        <v>4874</v>
      </c>
    </row>
    <row r="4423" spans="1:6" x14ac:dyDescent="0.25">
      <c r="A4423" t="s">
        <v>5200</v>
      </c>
      <c r="B4423" t="s">
        <v>191</v>
      </c>
      <c r="C4423" t="s">
        <v>192</v>
      </c>
      <c r="D4423" t="str">
        <f>HYPERLINK("http://service.sap.com/sap/support/notes/1603134","1603134")</f>
        <v>1603134</v>
      </c>
      <c r="E4423">
        <v>3</v>
      </c>
      <c r="F4423" t="s">
        <v>4875</v>
      </c>
    </row>
    <row r="4424" spans="1:6" x14ac:dyDescent="0.25">
      <c r="A4424" t="s">
        <v>5200</v>
      </c>
      <c r="B4424" t="s">
        <v>191</v>
      </c>
      <c r="C4424" t="s">
        <v>192</v>
      </c>
      <c r="D4424" t="str">
        <f>HYPERLINK("http://service.sap.com/sap/support/notes/1605575","1605575")</f>
        <v>1605575</v>
      </c>
      <c r="E4424">
        <v>1</v>
      </c>
      <c r="F4424" t="s">
        <v>4876</v>
      </c>
    </row>
    <row r="4425" spans="1:6" x14ac:dyDescent="0.25">
      <c r="A4425" t="s">
        <v>5200</v>
      </c>
      <c r="B4425" t="s">
        <v>201</v>
      </c>
      <c r="C4425" t="s">
        <v>202</v>
      </c>
      <c r="D4425" t="str">
        <f>HYPERLINK("http://service.sap.com/sap/support/notes/1596675","1596675")</f>
        <v>1596675</v>
      </c>
      <c r="E4425">
        <v>2</v>
      </c>
      <c r="F4425" t="s">
        <v>4877</v>
      </c>
    </row>
    <row r="4426" spans="1:6" x14ac:dyDescent="0.25">
      <c r="A4426" t="s">
        <v>5200</v>
      </c>
      <c r="B4426" t="s">
        <v>207</v>
      </c>
      <c r="C4426" t="s">
        <v>208</v>
      </c>
      <c r="D4426" t="str">
        <f>HYPERLINK("http://service.sap.com/sap/support/notes/1566486","1566486")</f>
        <v>1566486</v>
      </c>
      <c r="E4426">
        <v>1</v>
      </c>
      <c r="F4426" t="s">
        <v>4878</v>
      </c>
    </row>
    <row r="4427" spans="1:6" x14ac:dyDescent="0.25">
      <c r="A4427" t="s">
        <v>5200</v>
      </c>
      <c r="B4427" t="s">
        <v>207</v>
      </c>
      <c r="C4427" t="s">
        <v>208</v>
      </c>
      <c r="D4427" t="str">
        <f>HYPERLINK("http://service.sap.com/sap/support/notes/1577536","1577536")</f>
        <v>1577536</v>
      </c>
      <c r="E4427">
        <v>2</v>
      </c>
      <c r="F4427" t="s">
        <v>4879</v>
      </c>
    </row>
    <row r="4428" spans="1:6" x14ac:dyDescent="0.25">
      <c r="A4428" t="s">
        <v>5200</v>
      </c>
      <c r="B4428" t="s">
        <v>207</v>
      </c>
      <c r="C4428" t="s">
        <v>208</v>
      </c>
      <c r="D4428" t="str">
        <f>HYPERLINK("http://service.sap.com/sap/support/notes/1586778","1586778")</f>
        <v>1586778</v>
      </c>
      <c r="E4428">
        <v>1</v>
      </c>
      <c r="F4428" t="s">
        <v>4880</v>
      </c>
    </row>
    <row r="4429" spans="1:6" x14ac:dyDescent="0.25">
      <c r="A4429" t="s">
        <v>5200</v>
      </c>
      <c r="B4429" t="s">
        <v>207</v>
      </c>
      <c r="C4429" t="s">
        <v>208</v>
      </c>
      <c r="D4429" t="str">
        <f>HYPERLINK("http://service.sap.com/sap/support/notes/1591911","1591911")</f>
        <v>1591911</v>
      </c>
      <c r="E4429">
        <v>4</v>
      </c>
      <c r="F4429" t="s">
        <v>4881</v>
      </c>
    </row>
    <row r="4430" spans="1:6" x14ac:dyDescent="0.25">
      <c r="A4430" t="s">
        <v>5200</v>
      </c>
      <c r="B4430" t="s">
        <v>207</v>
      </c>
      <c r="C4430" t="s">
        <v>208</v>
      </c>
      <c r="D4430" t="str">
        <f>HYPERLINK("http://service.sap.com/sap/support/notes/1600452","1600452")</f>
        <v>1600452</v>
      </c>
      <c r="E4430">
        <v>1</v>
      </c>
      <c r="F4430" t="s">
        <v>4882</v>
      </c>
    </row>
    <row r="4431" spans="1:6" x14ac:dyDescent="0.25">
      <c r="A4431" t="s">
        <v>5200</v>
      </c>
      <c r="B4431" t="s">
        <v>207</v>
      </c>
      <c r="C4431" t="s">
        <v>208</v>
      </c>
      <c r="D4431" t="str">
        <f>HYPERLINK("http://service.sap.com/sap/support/notes/1602037","1602037")</f>
        <v>1602037</v>
      </c>
      <c r="E4431">
        <v>3</v>
      </c>
      <c r="F4431" t="s">
        <v>4883</v>
      </c>
    </row>
    <row r="4432" spans="1:6" x14ac:dyDescent="0.25">
      <c r="A4432" t="s">
        <v>5200</v>
      </c>
      <c r="B4432" t="s">
        <v>207</v>
      </c>
      <c r="C4432" t="s">
        <v>208</v>
      </c>
      <c r="D4432" t="str">
        <f>HYPERLINK("http://service.sap.com/sap/support/notes/1602329","1602329")</f>
        <v>1602329</v>
      </c>
      <c r="E4432">
        <v>1</v>
      </c>
      <c r="F4432" t="s">
        <v>4884</v>
      </c>
    </row>
    <row r="4433" spans="1:6" x14ac:dyDescent="0.25">
      <c r="A4433" t="s">
        <v>5200</v>
      </c>
      <c r="B4433" t="s">
        <v>207</v>
      </c>
      <c r="C4433" t="s">
        <v>208</v>
      </c>
      <c r="D4433" t="str">
        <f>HYPERLINK("http://service.sap.com/sap/support/notes/1605572","1605572")</f>
        <v>1605572</v>
      </c>
      <c r="E4433">
        <v>1</v>
      </c>
      <c r="F4433" t="s">
        <v>4885</v>
      </c>
    </row>
    <row r="4434" spans="1:6" x14ac:dyDescent="0.25">
      <c r="A4434" t="s">
        <v>5200</v>
      </c>
      <c r="B4434" t="s">
        <v>207</v>
      </c>
      <c r="C4434" t="s">
        <v>208</v>
      </c>
      <c r="D4434" t="str">
        <f>HYPERLINK("http://service.sap.com/sap/support/notes/1606542","1606542")</f>
        <v>1606542</v>
      </c>
      <c r="E4434">
        <v>2</v>
      </c>
      <c r="F4434" t="s">
        <v>4886</v>
      </c>
    </row>
    <row r="4435" spans="1:6" x14ac:dyDescent="0.25">
      <c r="A4435" t="s">
        <v>5200</v>
      </c>
      <c r="B4435" t="s">
        <v>207</v>
      </c>
      <c r="C4435" t="s">
        <v>208</v>
      </c>
      <c r="D4435" t="str">
        <f>HYPERLINK("http://service.sap.com/sap/support/notes/1610854","1610854")</f>
        <v>1610854</v>
      </c>
      <c r="E4435">
        <v>1</v>
      </c>
      <c r="F4435" t="s">
        <v>4887</v>
      </c>
    </row>
    <row r="4436" spans="1:6" x14ac:dyDescent="0.25">
      <c r="A4436" t="s">
        <v>5200</v>
      </c>
      <c r="B4436" t="s">
        <v>207</v>
      </c>
      <c r="C4436" t="s">
        <v>208</v>
      </c>
      <c r="D4436" t="str">
        <f>HYPERLINK("http://service.sap.com/sap/support/notes/1610858","1610858")</f>
        <v>1610858</v>
      </c>
      <c r="E4436">
        <v>1</v>
      </c>
      <c r="F4436" t="s">
        <v>4888</v>
      </c>
    </row>
    <row r="4437" spans="1:6" x14ac:dyDescent="0.25">
      <c r="A4437" t="s">
        <v>5200</v>
      </c>
      <c r="B4437" t="s">
        <v>4889</v>
      </c>
      <c r="C4437" t="s">
        <v>1662</v>
      </c>
      <c r="D4437" t="str">
        <f>HYPERLINK("http://service.sap.com/sap/support/notes/1608992","1608992")</f>
        <v>1608992</v>
      </c>
      <c r="E4437">
        <v>1</v>
      </c>
      <c r="F4437" t="s">
        <v>4890</v>
      </c>
    </row>
    <row r="4438" spans="1:6" x14ac:dyDescent="0.25">
      <c r="A4438" t="s">
        <v>5200</v>
      </c>
      <c r="B4438" t="s">
        <v>213</v>
      </c>
      <c r="C4438" t="s">
        <v>214</v>
      </c>
      <c r="D4438" t="str">
        <f>HYPERLINK("http://service.sap.com/sap/support/notes/1485608","1485608")</f>
        <v>1485608</v>
      </c>
      <c r="E4438">
        <v>1</v>
      </c>
      <c r="F4438" t="s">
        <v>979</v>
      </c>
    </row>
    <row r="4439" spans="1:6" x14ac:dyDescent="0.25">
      <c r="A4439" t="s">
        <v>5200</v>
      </c>
      <c r="B4439" t="s">
        <v>213</v>
      </c>
      <c r="C4439" t="s">
        <v>214</v>
      </c>
      <c r="D4439" t="str">
        <f>HYPERLINK("http://service.sap.com/sap/support/notes/1505581","1505581")</f>
        <v>1505581</v>
      </c>
      <c r="E4439">
        <v>7</v>
      </c>
      <c r="F4439" t="s">
        <v>4891</v>
      </c>
    </row>
    <row r="4440" spans="1:6" x14ac:dyDescent="0.25">
      <c r="A4440" t="s">
        <v>5200</v>
      </c>
      <c r="B4440" t="s">
        <v>213</v>
      </c>
      <c r="C4440" t="s">
        <v>214</v>
      </c>
      <c r="D4440" t="str">
        <f>HYPERLINK("http://service.sap.com/sap/support/notes/1539525","1539525")</f>
        <v>1539525</v>
      </c>
      <c r="E4440">
        <v>6</v>
      </c>
      <c r="F4440" t="s">
        <v>4892</v>
      </c>
    </row>
    <row r="4441" spans="1:6" x14ac:dyDescent="0.25">
      <c r="A4441" t="s">
        <v>5200</v>
      </c>
      <c r="B4441" t="s">
        <v>213</v>
      </c>
      <c r="C4441" t="s">
        <v>214</v>
      </c>
      <c r="D4441" t="str">
        <f>HYPERLINK("http://service.sap.com/sap/support/notes/1571893","1571893")</f>
        <v>1571893</v>
      </c>
      <c r="E4441">
        <v>3</v>
      </c>
      <c r="F4441" t="s">
        <v>4893</v>
      </c>
    </row>
    <row r="4442" spans="1:6" x14ac:dyDescent="0.25">
      <c r="A4442" t="s">
        <v>5200</v>
      </c>
      <c r="B4442" t="s">
        <v>213</v>
      </c>
      <c r="C4442" t="s">
        <v>214</v>
      </c>
      <c r="D4442" t="str">
        <f>HYPERLINK("http://service.sap.com/sap/support/notes/1586416","1586416")</f>
        <v>1586416</v>
      </c>
      <c r="E4442">
        <v>2</v>
      </c>
      <c r="F4442" t="s">
        <v>4894</v>
      </c>
    </row>
    <row r="4443" spans="1:6" x14ac:dyDescent="0.25">
      <c r="A4443" t="s">
        <v>5200</v>
      </c>
      <c r="B4443" t="s">
        <v>213</v>
      </c>
      <c r="C4443" t="s">
        <v>214</v>
      </c>
      <c r="D4443" t="str">
        <f>HYPERLINK("http://service.sap.com/sap/support/notes/1586856","1586856")</f>
        <v>1586856</v>
      </c>
      <c r="E4443">
        <v>6</v>
      </c>
      <c r="F4443" t="s">
        <v>4895</v>
      </c>
    </row>
    <row r="4444" spans="1:6" x14ac:dyDescent="0.25">
      <c r="A4444" t="s">
        <v>5200</v>
      </c>
      <c r="B4444" t="s">
        <v>213</v>
      </c>
      <c r="C4444" t="s">
        <v>214</v>
      </c>
      <c r="D4444" t="str">
        <f>HYPERLINK("http://service.sap.com/sap/support/notes/1591654","1591654")</f>
        <v>1591654</v>
      </c>
      <c r="E4444">
        <v>8</v>
      </c>
      <c r="F4444" t="s">
        <v>4896</v>
      </c>
    </row>
    <row r="4445" spans="1:6" x14ac:dyDescent="0.25">
      <c r="A4445" t="s">
        <v>5200</v>
      </c>
      <c r="B4445" t="s">
        <v>213</v>
      </c>
      <c r="C4445" t="s">
        <v>214</v>
      </c>
      <c r="D4445" t="str">
        <f>HYPERLINK("http://service.sap.com/sap/support/notes/1595812","1595812")</f>
        <v>1595812</v>
      </c>
      <c r="E4445">
        <v>3</v>
      </c>
      <c r="F4445" t="s">
        <v>4897</v>
      </c>
    </row>
    <row r="4446" spans="1:6" x14ac:dyDescent="0.25">
      <c r="A4446" t="s">
        <v>5200</v>
      </c>
      <c r="B4446" t="s">
        <v>213</v>
      </c>
      <c r="C4446" t="s">
        <v>214</v>
      </c>
      <c r="D4446" t="str">
        <f>HYPERLINK("http://service.sap.com/sap/support/notes/1598387","1598387")</f>
        <v>1598387</v>
      </c>
      <c r="E4446">
        <v>5</v>
      </c>
      <c r="F4446" t="s">
        <v>4898</v>
      </c>
    </row>
    <row r="4447" spans="1:6" x14ac:dyDescent="0.25">
      <c r="A4447" t="s">
        <v>5200</v>
      </c>
      <c r="B4447" t="s">
        <v>213</v>
      </c>
      <c r="C4447" t="s">
        <v>214</v>
      </c>
      <c r="D4447" t="str">
        <f>HYPERLINK("http://service.sap.com/sap/support/notes/1598945","1598945")</f>
        <v>1598945</v>
      </c>
      <c r="E4447">
        <v>2</v>
      </c>
      <c r="F4447" t="s">
        <v>4899</v>
      </c>
    </row>
    <row r="4448" spans="1:6" x14ac:dyDescent="0.25">
      <c r="A4448" t="s">
        <v>5200</v>
      </c>
      <c r="B4448" t="s">
        <v>213</v>
      </c>
      <c r="C4448" t="s">
        <v>214</v>
      </c>
      <c r="D4448" t="str">
        <f>HYPERLINK("http://service.sap.com/sap/support/notes/1601485","1601485")</f>
        <v>1601485</v>
      </c>
      <c r="E4448">
        <v>4</v>
      </c>
      <c r="F4448" t="s">
        <v>4900</v>
      </c>
    </row>
    <row r="4449" spans="1:6" x14ac:dyDescent="0.25">
      <c r="A4449" t="s">
        <v>5200</v>
      </c>
      <c r="B4449" t="s">
        <v>213</v>
      </c>
      <c r="C4449" t="s">
        <v>214</v>
      </c>
      <c r="D4449" t="str">
        <f>HYPERLINK("http://service.sap.com/sap/support/notes/1602022","1602022")</f>
        <v>1602022</v>
      </c>
      <c r="E4449">
        <v>3</v>
      </c>
      <c r="F4449" t="s">
        <v>4901</v>
      </c>
    </row>
    <row r="4450" spans="1:6" x14ac:dyDescent="0.25">
      <c r="A4450" t="s">
        <v>5200</v>
      </c>
      <c r="B4450" t="s">
        <v>213</v>
      </c>
      <c r="C4450" t="s">
        <v>214</v>
      </c>
      <c r="D4450" t="str">
        <f>HYPERLINK("http://service.sap.com/sap/support/notes/1606121","1606121")</f>
        <v>1606121</v>
      </c>
      <c r="E4450">
        <v>3</v>
      </c>
      <c r="F4450" t="s">
        <v>4902</v>
      </c>
    </row>
    <row r="4451" spans="1:6" x14ac:dyDescent="0.25">
      <c r="A4451" t="s">
        <v>5200</v>
      </c>
      <c r="B4451" t="s">
        <v>213</v>
      </c>
      <c r="C4451" t="s">
        <v>214</v>
      </c>
      <c r="D4451" t="str">
        <f>HYPERLINK("http://service.sap.com/sap/support/notes/1609498","1609498")</f>
        <v>1609498</v>
      </c>
      <c r="E4451">
        <v>2</v>
      </c>
      <c r="F4451" t="s">
        <v>4903</v>
      </c>
    </row>
    <row r="4452" spans="1:6" x14ac:dyDescent="0.25">
      <c r="A4452" t="s">
        <v>5200</v>
      </c>
      <c r="B4452" t="s">
        <v>223</v>
      </c>
      <c r="C4452" t="s">
        <v>49</v>
      </c>
      <c r="D4452" t="str">
        <f>HYPERLINK("http://service.sap.com/sap/support/notes/1606219","1606219")</f>
        <v>1606219</v>
      </c>
      <c r="E4452">
        <v>1</v>
      </c>
      <c r="F4452" t="s">
        <v>4904</v>
      </c>
    </row>
    <row r="4453" spans="1:6" x14ac:dyDescent="0.25">
      <c r="A4453" t="s">
        <v>5200</v>
      </c>
      <c r="B4453" t="s">
        <v>223</v>
      </c>
      <c r="C4453" t="s">
        <v>49</v>
      </c>
      <c r="D4453" t="str">
        <f>HYPERLINK("http://service.sap.com/sap/support/notes/1607128","1607128")</f>
        <v>1607128</v>
      </c>
      <c r="E4453">
        <v>2</v>
      </c>
      <c r="F4453" t="s">
        <v>4905</v>
      </c>
    </row>
    <row r="4454" spans="1:6" x14ac:dyDescent="0.25">
      <c r="A4454" t="s">
        <v>5200</v>
      </c>
      <c r="B4454" t="s">
        <v>226</v>
      </c>
      <c r="C4454" t="s">
        <v>52</v>
      </c>
      <c r="D4454" t="str">
        <f>HYPERLINK("http://service.sap.com/sap/support/notes/1604963","1604963")</f>
        <v>1604963</v>
      </c>
      <c r="E4454">
        <v>2</v>
      </c>
      <c r="F4454" t="s">
        <v>4906</v>
      </c>
    </row>
    <row r="4455" spans="1:6" x14ac:dyDescent="0.25">
      <c r="A4455" t="s">
        <v>5200</v>
      </c>
      <c r="B4455" t="s">
        <v>227</v>
      </c>
      <c r="C4455" t="s">
        <v>228</v>
      </c>
      <c r="D4455" t="str">
        <f>HYPERLINK("http://service.sap.com/sap/support/notes/1602564","1602564")</f>
        <v>1602564</v>
      </c>
      <c r="E4455">
        <v>1</v>
      </c>
      <c r="F4455" t="s">
        <v>4907</v>
      </c>
    </row>
    <row r="4456" spans="1:6" x14ac:dyDescent="0.25">
      <c r="A4456" t="s">
        <v>5200</v>
      </c>
      <c r="B4456" t="s">
        <v>227</v>
      </c>
      <c r="C4456" t="s">
        <v>228</v>
      </c>
      <c r="D4456" t="str">
        <f>HYPERLINK("http://service.sap.com/sap/support/notes/1606679","1606679")</f>
        <v>1606679</v>
      </c>
      <c r="E4456">
        <v>1</v>
      </c>
      <c r="F4456" t="s">
        <v>4908</v>
      </c>
    </row>
    <row r="4457" spans="1:6" x14ac:dyDescent="0.25">
      <c r="A4457" t="s">
        <v>5200</v>
      </c>
      <c r="B4457" t="s">
        <v>232</v>
      </c>
      <c r="C4457" t="s">
        <v>233</v>
      </c>
      <c r="D4457" t="str">
        <f>HYPERLINK("http://service.sap.com/sap/support/notes/1569672","1569672")</f>
        <v>1569672</v>
      </c>
      <c r="E4457">
        <v>1</v>
      </c>
      <c r="F4457" t="s">
        <v>4588</v>
      </c>
    </row>
    <row r="4458" spans="1:6" x14ac:dyDescent="0.25">
      <c r="A4458" t="s">
        <v>5200</v>
      </c>
      <c r="B4458" t="s">
        <v>232</v>
      </c>
      <c r="C4458" t="s">
        <v>233</v>
      </c>
      <c r="D4458" t="str">
        <f>HYPERLINK("http://service.sap.com/sap/support/notes/1603712","1603712")</f>
        <v>1603712</v>
      </c>
      <c r="E4458">
        <v>1</v>
      </c>
      <c r="F4458" t="s">
        <v>4909</v>
      </c>
    </row>
    <row r="4459" spans="1:6" x14ac:dyDescent="0.25">
      <c r="A4459" t="s">
        <v>5200</v>
      </c>
      <c r="B4459" t="s">
        <v>232</v>
      </c>
      <c r="C4459" t="s">
        <v>233</v>
      </c>
      <c r="D4459" t="str">
        <f>HYPERLINK("http://service.sap.com/sap/support/notes/1608306","1608306")</f>
        <v>1608306</v>
      </c>
      <c r="E4459">
        <v>5</v>
      </c>
      <c r="F4459" t="s">
        <v>4910</v>
      </c>
    </row>
    <row r="4460" spans="1:6" x14ac:dyDescent="0.25">
      <c r="A4460" t="s">
        <v>5200</v>
      </c>
      <c r="B4460" t="s">
        <v>232</v>
      </c>
      <c r="C4460" t="s">
        <v>233</v>
      </c>
      <c r="D4460" t="str">
        <f>HYPERLINK("http://service.sap.com/sap/support/notes/1608669","1608669")</f>
        <v>1608669</v>
      </c>
      <c r="E4460">
        <v>3</v>
      </c>
      <c r="F4460" t="s">
        <v>4911</v>
      </c>
    </row>
    <row r="4461" spans="1:6" x14ac:dyDescent="0.25">
      <c r="A4461" t="s">
        <v>5200</v>
      </c>
      <c r="B4461" t="s">
        <v>235</v>
      </c>
      <c r="C4461" t="s">
        <v>236</v>
      </c>
    </row>
    <row r="4462" spans="1:6" x14ac:dyDescent="0.25">
      <c r="A4462" t="s">
        <v>5200</v>
      </c>
      <c r="B4462" t="s">
        <v>237</v>
      </c>
      <c r="C4462" t="s">
        <v>238</v>
      </c>
      <c r="D4462" t="str">
        <f>HYPERLINK("http://service.sap.com/sap/support/notes/1596891","1596891")</f>
        <v>1596891</v>
      </c>
      <c r="E4462">
        <v>2</v>
      </c>
      <c r="F4462" t="s">
        <v>4912</v>
      </c>
    </row>
    <row r="4463" spans="1:6" x14ac:dyDescent="0.25">
      <c r="A4463" t="s">
        <v>5200</v>
      </c>
      <c r="B4463" t="s">
        <v>237</v>
      </c>
      <c r="C4463" t="s">
        <v>238</v>
      </c>
      <c r="D4463" t="str">
        <f>HYPERLINK("http://service.sap.com/sap/support/notes/1597356","1597356")</f>
        <v>1597356</v>
      </c>
      <c r="E4463">
        <v>2</v>
      </c>
      <c r="F4463" t="s">
        <v>4913</v>
      </c>
    </row>
    <row r="4464" spans="1:6" x14ac:dyDescent="0.25">
      <c r="A4464" t="s">
        <v>5200</v>
      </c>
      <c r="B4464" t="s">
        <v>237</v>
      </c>
      <c r="C4464" t="s">
        <v>238</v>
      </c>
      <c r="D4464" t="str">
        <f>HYPERLINK("http://service.sap.com/sap/support/notes/1605335","1605335")</f>
        <v>1605335</v>
      </c>
      <c r="E4464">
        <v>2</v>
      </c>
      <c r="F4464" t="s">
        <v>4914</v>
      </c>
    </row>
    <row r="4465" spans="1:6" x14ac:dyDescent="0.25">
      <c r="A4465" t="s">
        <v>5200</v>
      </c>
      <c r="B4465" t="s">
        <v>242</v>
      </c>
      <c r="C4465" t="s">
        <v>243</v>
      </c>
      <c r="D4465" t="str">
        <f>HYPERLINK("http://service.sap.com/sap/support/notes/1605095","1605095")</f>
        <v>1605095</v>
      </c>
      <c r="E4465">
        <v>1</v>
      </c>
      <c r="F4465" t="s">
        <v>4915</v>
      </c>
    </row>
    <row r="4466" spans="1:6" x14ac:dyDescent="0.25">
      <c r="A4466" t="s">
        <v>5200</v>
      </c>
      <c r="B4466" t="s">
        <v>246</v>
      </c>
      <c r="C4466" t="s">
        <v>247</v>
      </c>
      <c r="D4466" t="str">
        <f>HYPERLINK("http://service.sap.com/sap/support/notes/1606496","1606496")</f>
        <v>1606496</v>
      </c>
      <c r="E4466">
        <v>1</v>
      </c>
      <c r="F4466" t="s">
        <v>4302</v>
      </c>
    </row>
    <row r="4467" spans="1:6" x14ac:dyDescent="0.25">
      <c r="A4467" t="s">
        <v>5200</v>
      </c>
      <c r="B4467" t="s">
        <v>1009</v>
      </c>
      <c r="C4467" t="s">
        <v>1010</v>
      </c>
      <c r="D4467" t="str">
        <f>HYPERLINK("http://service.sap.com/sap/support/notes/1605898","1605898")</f>
        <v>1605898</v>
      </c>
      <c r="E4467">
        <v>1</v>
      </c>
      <c r="F4467" t="s">
        <v>4916</v>
      </c>
    </row>
    <row r="4468" spans="1:6" x14ac:dyDescent="0.25">
      <c r="A4468" t="s">
        <v>5200</v>
      </c>
      <c r="B4468" t="s">
        <v>4917</v>
      </c>
      <c r="C4468" t="s">
        <v>1662</v>
      </c>
      <c r="D4468" t="str">
        <f>HYPERLINK("http://service.sap.com/sap/support/notes/1610056","1610056")</f>
        <v>1610056</v>
      </c>
      <c r="E4468">
        <v>2</v>
      </c>
      <c r="F4468" t="s">
        <v>4918</v>
      </c>
    </row>
    <row r="4469" spans="1:6" x14ac:dyDescent="0.25">
      <c r="A4469" t="s">
        <v>5200</v>
      </c>
      <c r="B4469" t="s">
        <v>250</v>
      </c>
      <c r="C4469" t="s">
        <v>251</v>
      </c>
    </row>
    <row r="4470" spans="1:6" x14ac:dyDescent="0.25">
      <c r="A4470" t="s">
        <v>5200</v>
      </c>
      <c r="B4470" t="s">
        <v>252</v>
      </c>
      <c r="C4470" t="s">
        <v>253</v>
      </c>
      <c r="D4470" t="str">
        <f>HYPERLINK("http://service.sap.com/sap/support/notes/1535057","1535057")</f>
        <v>1535057</v>
      </c>
      <c r="E4470">
        <v>2</v>
      </c>
      <c r="F4470" t="s">
        <v>4919</v>
      </c>
    </row>
    <row r="4471" spans="1:6" x14ac:dyDescent="0.25">
      <c r="A4471" t="s">
        <v>5200</v>
      </c>
      <c r="B4471" t="s">
        <v>255</v>
      </c>
      <c r="C4471" t="s">
        <v>256</v>
      </c>
      <c r="D4471" t="str">
        <f>HYPERLINK("http://service.sap.com/sap/support/notes/146944","146944")</f>
        <v>146944</v>
      </c>
      <c r="E4471">
        <v>28</v>
      </c>
      <c r="F4471" t="s">
        <v>4920</v>
      </c>
    </row>
    <row r="4472" spans="1:6" x14ac:dyDescent="0.25">
      <c r="A4472" t="s">
        <v>5200</v>
      </c>
      <c r="B4472" t="s">
        <v>255</v>
      </c>
      <c r="C4472" t="s">
        <v>256</v>
      </c>
      <c r="D4472" t="str">
        <f>HYPERLINK("http://service.sap.com/sap/support/notes/1603617","1603617")</f>
        <v>1603617</v>
      </c>
      <c r="E4472">
        <v>3</v>
      </c>
      <c r="F4472" t="s">
        <v>4921</v>
      </c>
    </row>
    <row r="4473" spans="1:6" x14ac:dyDescent="0.25">
      <c r="A4473" t="s">
        <v>5200</v>
      </c>
      <c r="B4473" t="s">
        <v>255</v>
      </c>
      <c r="C4473" t="s">
        <v>256</v>
      </c>
      <c r="D4473" t="str">
        <f>HYPERLINK("http://service.sap.com/sap/support/notes/1605637","1605637")</f>
        <v>1605637</v>
      </c>
      <c r="E4473">
        <v>2</v>
      </c>
      <c r="F4473" t="s">
        <v>4922</v>
      </c>
    </row>
    <row r="4474" spans="1:6" x14ac:dyDescent="0.25">
      <c r="A4474" t="s">
        <v>5200</v>
      </c>
      <c r="B4474" t="s">
        <v>255</v>
      </c>
      <c r="C4474" t="s">
        <v>256</v>
      </c>
      <c r="D4474" t="str">
        <f>HYPERLINK("http://service.sap.com/sap/support/notes/1606984","1606984")</f>
        <v>1606984</v>
      </c>
      <c r="E4474">
        <v>1</v>
      </c>
      <c r="F4474" t="s">
        <v>4923</v>
      </c>
    </row>
    <row r="4475" spans="1:6" x14ac:dyDescent="0.25">
      <c r="A4475" t="s">
        <v>5200</v>
      </c>
      <c r="B4475" t="s">
        <v>258</v>
      </c>
      <c r="C4475" t="s">
        <v>259</v>
      </c>
      <c r="D4475" t="str">
        <f>HYPERLINK("http://service.sap.com/sap/support/notes/1592797","1592797")</f>
        <v>1592797</v>
      </c>
      <c r="E4475">
        <v>1</v>
      </c>
      <c r="F4475" t="s">
        <v>4173</v>
      </c>
    </row>
    <row r="4476" spans="1:6" x14ac:dyDescent="0.25">
      <c r="A4476" t="s">
        <v>5200</v>
      </c>
      <c r="B4476" t="s">
        <v>258</v>
      </c>
      <c r="C4476" t="s">
        <v>259</v>
      </c>
      <c r="D4476" t="str">
        <f>HYPERLINK("http://service.sap.com/sap/support/notes/1595650","1595650")</f>
        <v>1595650</v>
      </c>
      <c r="E4476">
        <v>1</v>
      </c>
      <c r="F4476" t="s">
        <v>4924</v>
      </c>
    </row>
    <row r="4477" spans="1:6" x14ac:dyDescent="0.25">
      <c r="A4477" t="s">
        <v>5200</v>
      </c>
      <c r="B4477" t="s">
        <v>258</v>
      </c>
      <c r="C4477" t="s">
        <v>259</v>
      </c>
      <c r="D4477" t="str">
        <f>HYPERLINK("http://service.sap.com/sap/support/notes/1597759","1597759")</f>
        <v>1597759</v>
      </c>
      <c r="E4477">
        <v>1</v>
      </c>
      <c r="F4477" t="s">
        <v>4925</v>
      </c>
    </row>
    <row r="4478" spans="1:6" x14ac:dyDescent="0.25">
      <c r="A4478" t="s">
        <v>5200</v>
      </c>
      <c r="B4478" t="s">
        <v>258</v>
      </c>
      <c r="C4478" t="s">
        <v>259</v>
      </c>
      <c r="D4478" t="str">
        <f>HYPERLINK("http://service.sap.com/sap/support/notes/1601899","1601899")</f>
        <v>1601899</v>
      </c>
      <c r="E4478">
        <v>1</v>
      </c>
      <c r="F4478" t="s">
        <v>4926</v>
      </c>
    </row>
    <row r="4479" spans="1:6" x14ac:dyDescent="0.25">
      <c r="A4479" t="s">
        <v>5200</v>
      </c>
      <c r="B4479" t="s">
        <v>258</v>
      </c>
      <c r="C4479" t="s">
        <v>259</v>
      </c>
      <c r="D4479" t="str">
        <f>HYPERLINK("http://service.sap.com/sap/support/notes/1603954","1603954")</f>
        <v>1603954</v>
      </c>
      <c r="E4479">
        <v>6</v>
      </c>
      <c r="F4479" t="s">
        <v>4927</v>
      </c>
    </row>
    <row r="4480" spans="1:6" x14ac:dyDescent="0.25">
      <c r="A4480" t="s">
        <v>5200</v>
      </c>
      <c r="B4480" t="s">
        <v>258</v>
      </c>
      <c r="C4480" t="s">
        <v>259</v>
      </c>
      <c r="D4480" t="str">
        <f>HYPERLINK("http://service.sap.com/sap/support/notes/1604180","1604180")</f>
        <v>1604180</v>
      </c>
      <c r="E4480">
        <v>2</v>
      </c>
      <c r="F4480" t="s">
        <v>4928</v>
      </c>
    </row>
    <row r="4481" spans="1:6" x14ac:dyDescent="0.25">
      <c r="A4481" t="s">
        <v>5200</v>
      </c>
      <c r="B4481" t="s">
        <v>258</v>
      </c>
      <c r="C4481" t="s">
        <v>259</v>
      </c>
      <c r="D4481" t="str">
        <f>HYPERLINK("http://service.sap.com/sap/support/notes/1605377","1605377")</f>
        <v>1605377</v>
      </c>
      <c r="E4481">
        <v>4</v>
      </c>
      <c r="F4481" t="s">
        <v>4929</v>
      </c>
    </row>
    <row r="4482" spans="1:6" x14ac:dyDescent="0.25">
      <c r="A4482" t="s">
        <v>5200</v>
      </c>
      <c r="B4482" t="s">
        <v>258</v>
      </c>
      <c r="C4482" t="s">
        <v>259</v>
      </c>
      <c r="D4482" t="str">
        <f>HYPERLINK("http://service.sap.com/sap/support/notes/1606024","1606024")</f>
        <v>1606024</v>
      </c>
      <c r="E4482">
        <v>7</v>
      </c>
      <c r="F4482" t="s">
        <v>4930</v>
      </c>
    </row>
    <row r="4483" spans="1:6" x14ac:dyDescent="0.25">
      <c r="A4483" t="s">
        <v>5200</v>
      </c>
      <c r="B4483" t="s">
        <v>258</v>
      </c>
      <c r="C4483" t="s">
        <v>259</v>
      </c>
      <c r="D4483" t="str">
        <f>HYPERLINK("http://service.sap.com/sap/support/notes/1606249","1606249")</f>
        <v>1606249</v>
      </c>
      <c r="E4483">
        <v>3</v>
      </c>
      <c r="F4483" t="s">
        <v>4931</v>
      </c>
    </row>
    <row r="4484" spans="1:6" x14ac:dyDescent="0.25">
      <c r="A4484" t="s">
        <v>5200</v>
      </c>
      <c r="B4484" t="s">
        <v>258</v>
      </c>
      <c r="C4484" t="s">
        <v>259</v>
      </c>
      <c r="D4484" t="str">
        <f>HYPERLINK("http://service.sap.com/sap/support/notes/1606574","1606574")</f>
        <v>1606574</v>
      </c>
      <c r="E4484">
        <v>1</v>
      </c>
      <c r="F4484" t="s">
        <v>4932</v>
      </c>
    </row>
    <row r="4485" spans="1:6" x14ac:dyDescent="0.25">
      <c r="A4485" t="s">
        <v>5200</v>
      </c>
      <c r="B4485" t="s">
        <v>258</v>
      </c>
      <c r="C4485" t="s">
        <v>259</v>
      </c>
      <c r="D4485" t="str">
        <f>HYPERLINK("http://service.sap.com/sap/support/notes/1607909","1607909")</f>
        <v>1607909</v>
      </c>
      <c r="E4485">
        <v>2</v>
      </c>
      <c r="F4485" t="s">
        <v>4933</v>
      </c>
    </row>
    <row r="4486" spans="1:6" x14ac:dyDescent="0.25">
      <c r="A4486" t="s">
        <v>5200</v>
      </c>
      <c r="B4486" t="s">
        <v>258</v>
      </c>
      <c r="C4486" t="s">
        <v>259</v>
      </c>
      <c r="D4486" t="str">
        <f>HYPERLINK("http://service.sap.com/sap/support/notes/1608214","1608214")</f>
        <v>1608214</v>
      </c>
      <c r="E4486">
        <v>2</v>
      </c>
      <c r="F4486" t="s">
        <v>4934</v>
      </c>
    </row>
    <row r="4487" spans="1:6" x14ac:dyDescent="0.25">
      <c r="A4487" t="s">
        <v>5200</v>
      </c>
      <c r="B4487" t="s">
        <v>258</v>
      </c>
      <c r="C4487" t="s">
        <v>259</v>
      </c>
      <c r="D4487" t="str">
        <f>HYPERLINK("http://service.sap.com/sap/support/notes/1608897","1608897")</f>
        <v>1608897</v>
      </c>
      <c r="E4487">
        <v>3</v>
      </c>
      <c r="F4487" t="s">
        <v>4935</v>
      </c>
    </row>
    <row r="4488" spans="1:6" x14ac:dyDescent="0.25">
      <c r="A4488" t="s">
        <v>5200</v>
      </c>
      <c r="B4488" t="s">
        <v>258</v>
      </c>
      <c r="C4488" t="s">
        <v>259</v>
      </c>
      <c r="D4488" t="str">
        <f>HYPERLINK("http://service.sap.com/sap/support/notes/1610523","1610523")</f>
        <v>1610523</v>
      </c>
      <c r="E4488">
        <v>1</v>
      </c>
      <c r="F4488" t="s">
        <v>4936</v>
      </c>
    </row>
    <row r="4489" spans="1:6" x14ac:dyDescent="0.25">
      <c r="A4489" t="s">
        <v>5200</v>
      </c>
      <c r="B4489" t="s">
        <v>258</v>
      </c>
      <c r="C4489" t="s">
        <v>259</v>
      </c>
      <c r="D4489" t="str">
        <f>HYPERLINK("http://service.sap.com/sap/support/notes/1611040","1611040")</f>
        <v>1611040</v>
      </c>
      <c r="E4489">
        <v>1</v>
      </c>
      <c r="F4489" t="s">
        <v>4937</v>
      </c>
    </row>
    <row r="4490" spans="1:6" x14ac:dyDescent="0.25">
      <c r="A4490" t="s">
        <v>5200</v>
      </c>
      <c r="B4490" t="s">
        <v>258</v>
      </c>
      <c r="C4490" t="s">
        <v>259</v>
      </c>
      <c r="D4490" t="str">
        <f>HYPERLINK("http://service.sap.com/sap/support/notes/1611633","1611633")</f>
        <v>1611633</v>
      </c>
      <c r="E4490">
        <v>4</v>
      </c>
      <c r="F4490" t="s">
        <v>4938</v>
      </c>
    </row>
    <row r="4491" spans="1:6" x14ac:dyDescent="0.25">
      <c r="A4491" t="s">
        <v>5200</v>
      </c>
      <c r="B4491" t="s">
        <v>258</v>
      </c>
      <c r="C4491" t="s">
        <v>259</v>
      </c>
      <c r="D4491" t="str">
        <f>HYPERLINK("http://service.sap.com/sap/support/notes/1611930","1611930")</f>
        <v>1611930</v>
      </c>
      <c r="E4491">
        <v>1</v>
      </c>
      <c r="F4491" t="s">
        <v>4939</v>
      </c>
    </row>
    <row r="4492" spans="1:6" x14ac:dyDescent="0.25">
      <c r="A4492" t="s">
        <v>5200</v>
      </c>
      <c r="B4492" t="s">
        <v>258</v>
      </c>
      <c r="C4492" t="s">
        <v>259</v>
      </c>
      <c r="D4492" t="str">
        <f>HYPERLINK("http://service.sap.com/sap/support/notes/1612206","1612206")</f>
        <v>1612206</v>
      </c>
      <c r="E4492">
        <v>1</v>
      </c>
      <c r="F4492" t="s">
        <v>4940</v>
      </c>
    </row>
    <row r="4493" spans="1:6" x14ac:dyDescent="0.25">
      <c r="A4493" t="s">
        <v>5200</v>
      </c>
      <c r="B4493" t="s">
        <v>1027</v>
      </c>
      <c r="C4493" t="s">
        <v>4607</v>
      </c>
      <c r="D4493" t="str">
        <f>HYPERLINK("http://service.sap.com/sap/support/notes/1543985","1543985")</f>
        <v>1543985</v>
      </c>
      <c r="E4493">
        <v>3</v>
      </c>
      <c r="F4493" t="s">
        <v>4941</v>
      </c>
    </row>
    <row r="4494" spans="1:6" x14ac:dyDescent="0.25">
      <c r="A4494" t="s">
        <v>5200</v>
      </c>
      <c r="B4494" t="s">
        <v>1027</v>
      </c>
      <c r="C4494" t="s">
        <v>4607</v>
      </c>
      <c r="D4494" t="str">
        <f>HYPERLINK("http://service.sap.com/sap/support/notes/1605426","1605426")</f>
        <v>1605426</v>
      </c>
      <c r="E4494">
        <v>2</v>
      </c>
      <c r="F4494" t="s">
        <v>4942</v>
      </c>
    </row>
    <row r="4495" spans="1:6" x14ac:dyDescent="0.25">
      <c r="A4495" t="s">
        <v>5200</v>
      </c>
      <c r="B4495" t="s">
        <v>264</v>
      </c>
      <c r="C4495" t="s">
        <v>265</v>
      </c>
      <c r="D4495" t="str">
        <f>HYPERLINK("http://service.sap.com/sap/support/notes/1602409","1602409")</f>
        <v>1602409</v>
      </c>
      <c r="E4495">
        <v>3</v>
      </c>
      <c r="F4495" t="s">
        <v>4943</v>
      </c>
    </row>
    <row r="4496" spans="1:6" x14ac:dyDescent="0.25">
      <c r="A4496" t="s">
        <v>5200</v>
      </c>
      <c r="B4496" t="s">
        <v>273</v>
      </c>
      <c r="C4496" t="s">
        <v>153</v>
      </c>
      <c r="D4496" t="str">
        <f>HYPERLINK("http://service.sap.com/sap/support/notes/1130453","1130453")</f>
        <v>1130453</v>
      </c>
      <c r="E4496">
        <v>4</v>
      </c>
      <c r="F4496" t="s">
        <v>4944</v>
      </c>
    </row>
    <row r="4497" spans="1:6" x14ac:dyDescent="0.25">
      <c r="A4497" t="s">
        <v>5200</v>
      </c>
      <c r="B4497" t="s">
        <v>273</v>
      </c>
      <c r="C4497" t="s">
        <v>153</v>
      </c>
      <c r="D4497" t="str">
        <f>HYPERLINK("http://service.sap.com/sap/support/notes/1601280","1601280")</f>
        <v>1601280</v>
      </c>
      <c r="E4497">
        <v>1</v>
      </c>
      <c r="F4497" t="s">
        <v>4945</v>
      </c>
    </row>
    <row r="4498" spans="1:6" x14ac:dyDescent="0.25">
      <c r="A4498" t="s">
        <v>5200</v>
      </c>
      <c r="B4498" t="s">
        <v>273</v>
      </c>
      <c r="C4498" t="s">
        <v>153</v>
      </c>
      <c r="D4498" t="str">
        <f>HYPERLINK("http://service.sap.com/sap/support/notes/1602830","1602830")</f>
        <v>1602830</v>
      </c>
      <c r="E4498">
        <v>1</v>
      </c>
      <c r="F4498" t="s">
        <v>4946</v>
      </c>
    </row>
    <row r="4499" spans="1:6" x14ac:dyDescent="0.25">
      <c r="A4499" t="s">
        <v>5200</v>
      </c>
      <c r="B4499" t="s">
        <v>273</v>
      </c>
      <c r="C4499" t="s">
        <v>153</v>
      </c>
      <c r="D4499" t="str">
        <f>HYPERLINK("http://service.sap.com/sap/support/notes/1606048","1606048")</f>
        <v>1606048</v>
      </c>
      <c r="E4499">
        <v>2</v>
      </c>
      <c r="F4499" t="s">
        <v>4947</v>
      </c>
    </row>
    <row r="4500" spans="1:6" x14ac:dyDescent="0.25">
      <c r="A4500" t="s">
        <v>5200</v>
      </c>
      <c r="B4500" t="s">
        <v>273</v>
      </c>
      <c r="C4500" t="s">
        <v>153</v>
      </c>
      <c r="D4500" t="str">
        <f>HYPERLINK("http://service.sap.com/sap/support/notes/1612295","1612295")</f>
        <v>1612295</v>
      </c>
      <c r="E4500">
        <v>5</v>
      </c>
      <c r="F4500" t="s">
        <v>4948</v>
      </c>
    </row>
    <row r="4501" spans="1:6" x14ac:dyDescent="0.25">
      <c r="A4501" t="s">
        <v>5200</v>
      </c>
      <c r="B4501" t="s">
        <v>284</v>
      </c>
      <c r="C4501" t="s">
        <v>285</v>
      </c>
      <c r="D4501" t="str">
        <f>HYPERLINK("http://service.sap.com/sap/support/notes/1591415","1591415")</f>
        <v>1591415</v>
      </c>
      <c r="E4501">
        <v>5</v>
      </c>
      <c r="F4501" t="s">
        <v>4949</v>
      </c>
    </row>
    <row r="4502" spans="1:6" x14ac:dyDescent="0.25">
      <c r="A4502" t="s">
        <v>5200</v>
      </c>
      <c r="B4502" t="s">
        <v>284</v>
      </c>
      <c r="C4502" t="s">
        <v>285</v>
      </c>
      <c r="D4502" t="str">
        <f>HYPERLINK("http://service.sap.com/sap/support/notes/1593564","1593564")</f>
        <v>1593564</v>
      </c>
      <c r="E4502">
        <v>2</v>
      </c>
      <c r="F4502" t="s">
        <v>4950</v>
      </c>
    </row>
    <row r="4503" spans="1:6" x14ac:dyDescent="0.25">
      <c r="A4503" t="s">
        <v>5200</v>
      </c>
      <c r="B4503" t="s">
        <v>284</v>
      </c>
      <c r="C4503" t="s">
        <v>285</v>
      </c>
      <c r="D4503" t="str">
        <f>HYPERLINK("http://service.sap.com/sap/support/notes/1598730","1598730")</f>
        <v>1598730</v>
      </c>
      <c r="E4503">
        <v>2</v>
      </c>
      <c r="F4503" t="s">
        <v>4951</v>
      </c>
    </row>
    <row r="4504" spans="1:6" x14ac:dyDescent="0.25">
      <c r="A4504" t="s">
        <v>5200</v>
      </c>
      <c r="B4504" t="s">
        <v>284</v>
      </c>
      <c r="C4504" t="s">
        <v>285</v>
      </c>
      <c r="D4504" t="str">
        <f>HYPERLINK("http://service.sap.com/sap/support/notes/1602948","1602948")</f>
        <v>1602948</v>
      </c>
      <c r="E4504">
        <v>2</v>
      </c>
      <c r="F4504" t="s">
        <v>4952</v>
      </c>
    </row>
    <row r="4505" spans="1:6" x14ac:dyDescent="0.25">
      <c r="A4505" t="s">
        <v>5200</v>
      </c>
      <c r="B4505" t="s">
        <v>284</v>
      </c>
      <c r="C4505" t="s">
        <v>285</v>
      </c>
      <c r="D4505" t="str">
        <f>HYPERLINK("http://service.sap.com/sap/support/notes/1603523","1603523")</f>
        <v>1603523</v>
      </c>
      <c r="E4505">
        <v>1</v>
      </c>
      <c r="F4505" t="s">
        <v>4953</v>
      </c>
    </row>
    <row r="4506" spans="1:6" x14ac:dyDescent="0.25">
      <c r="A4506" t="s">
        <v>5200</v>
      </c>
      <c r="B4506" t="s">
        <v>284</v>
      </c>
      <c r="C4506" t="s">
        <v>285</v>
      </c>
      <c r="D4506" t="str">
        <f>HYPERLINK("http://service.sap.com/sap/support/notes/1604134","1604134")</f>
        <v>1604134</v>
      </c>
      <c r="E4506">
        <v>1</v>
      </c>
      <c r="F4506" t="s">
        <v>4954</v>
      </c>
    </row>
    <row r="4507" spans="1:6" x14ac:dyDescent="0.25">
      <c r="A4507" t="s">
        <v>5200</v>
      </c>
      <c r="B4507" t="s">
        <v>284</v>
      </c>
      <c r="C4507" t="s">
        <v>285</v>
      </c>
      <c r="D4507" t="str">
        <f>HYPERLINK("http://service.sap.com/sap/support/notes/1604881","1604881")</f>
        <v>1604881</v>
      </c>
      <c r="E4507">
        <v>5</v>
      </c>
      <c r="F4507" t="s">
        <v>4955</v>
      </c>
    </row>
    <row r="4508" spans="1:6" x14ac:dyDescent="0.25">
      <c r="A4508" t="s">
        <v>5200</v>
      </c>
      <c r="B4508" t="s">
        <v>284</v>
      </c>
      <c r="C4508" t="s">
        <v>285</v>
      </c>
      <c r="D4508" t="str">
        <f>HYPERLINK("http://service.sap.com/sap/support/notes/1605336","1605336")</f>
        <v>1605336</v>
      </c>
      <c r="E4508">
        <v>3</v>
      </c>
      <c r="F4508" t="s">
        <v>4956</v>
      </c>
    </row>
    <row r="4509" spans="1:6" x14ac:dyDescent="0.25">
      <c r="A4509" t="s">
        <v>5200</v>
      </c>
      <c r="B4509" t="s">
        <v>284</v>
      </c>
      <c r="C4509" t="s">
        <v>285</v>
      </c>
      <c r="D4509" t="str">
        <f>HYPERLINK("http://service.sap.com/sap/support/notes/1605782","1605782")</f>
        <v>1605782</v>
      </c>
      <c r="E4509">
        <v>2</v>
      </c>
      <c r="F4509" t="s">
        <v>4957</v>
      </c>
    </row>
    <row r="4510" spans="1:6" x14ac:dyDescent="0.25">
      <c r="A4510" t="s">
        <v>5200</v>
      </c>
      <c r="B4510" t="s">
        <v>284</v>
      </c>
      <c r="C4510" t="s">
        <v>285</v>
      </c>
      <c r="D4510" t="str">
        <f>HYPERLINK("http://service.sap.com/sap/support/notes/1606133","1606133")</f>
        <v>1606133</v>
      </c>
      <c r="E4510">
        <v>1</v>
      </c>
      <c r="F4510" t="s">
        <v>4958</v>
      </c>
    </row>
    <row r="4511" spans="1:6" x14ac:dyDescent="0.25">
      <c r="A4511" t="s">
        <v>5200</v>
      </c>
      <c r="B4511" t="s">
        <v>284</v>
      </c>
      <c r="C4511" t="s">
        <v>285</v>
      </c>
      <c r="D4511" t="str">
        <f>HYPERLINK("http://service.sap.com/sap/support/notes/1606401","1606401")</f>
        <v>1606401</v>
      </c>
      <c r="E4511">
        <v>1</v>
      </c>
      <c r="F4511" t="s">
        <v>4959</v>
      </c>
    </row>
    <row r="4512" spans="1:6" x14ac:dyDescent="0.25">
      <c r="A4512" t="s">
        <v>5200</v>
      </c>
      <c r="B4512" t="s">
        <v>284</v>
      </c>
      <c r="C4512" t="s">
        <v>285</v>
      </c>
      <c r="D4512" t="str">
        <f>HYPERLINK("http://service.sap.com/sap/support/notes/1606902","1606902")</f>
        <v>1606902</v>
      </c>
      <c r="E4512">
        <v>3</v>
      </c>
      <c r="F4512" t="s">
        <v>4960</v>
      </c>
    </row>
    <row r="4513" spans="1:6" x14ac:dyDescent="0.25">
      <c r="A4513" t="s">
        <v>5200</v>
      </c>
      <c r="B4513" t="s">
        <v>284</v>
      </c>
      <c r="C4513" t="s">
        <v>285</v>
      </c>
      <c r="D4513" t="str">
        <f>HYPERLINK("http://service.sap.com/sap/support/notes/1607665","1607665")</f>
        <v>1607665</v>
      </c>
      <c r="E4513">
        <v>1</v>
      </c>
      <c r="F4513" t="s">
        <v>4961</v>
      </c>
    </row>
    <row r="4514" spans="1:6" x14ac:dyDescent="0.25">
      <c r="A4514" t="s">
        <v>5200</v>
      </c>
      <c r="B4514" t="s">
        <v>284</v>
      </c>
      <c r="C4514" t="s">
        <v>285</v>
      </c>
      <c r="D4514" t="str">
        <f>HYPERLINK("http://service.sap.com/sap/support/notes/1608700","1608700")</f>
        <v>1608700</v>
      </c>
      <c r="E4514">
        <v>1</v>
      </c>
      <c r="F4514" t="s">
        <v>4962</v>
      </c>
    </row>
    <row r="4515" spans="1:6" x14ac:dyDescent="0.25">
      <c r="A4515" t="s">
        <v>5200</v>
      </c>
      <c r="B4515" t="s">
        <v>284</v>
      </c>
      <c r="C4515" t="s">
        <v>285</v>
      </c>
      <c r="D4515" t="str">
        <f>HYPERLINK("http://service.sap.com/sap/support/notes/1610761","1610761")</f>
        <v>1610761</v>
      </c>
      <c r="E4515">
        <v>1</v>
      </c>
      <c r="F4515" t="s">
        <v>4963</v>
      </c>
    </row>
    <row r="4516" spans="1:6" x14ac:dyDescent="0.25">
      <c r="A4516" t="s">
        <v>5200</v>
      </c>
      <c r="B4516" t="s">
        <v>284</v>
      </c>
      <c r="C4516" t="s">
        <v>285</v>
      </c>
      <c r="D4516" t="str">
        <f>HYPERLINK("http://service.sap.com/sap/support/notes/1612525","1612525")</f>
        <v>1612525</v>
      </c>
      <c r="E4516">
        <v>1</v>
      </c>
      <c r="F4516" t="s">
        <v>4964</v>
      </c>
    </row>
    <row r="4517" spans="1:6" x14ac:dyDescent="0.25">
      <c r="A4517" t="s">
        <v>5200</v>
      </c>
      <c r="B4517" t="s">
        <v>293</v>
      </c>
      <c r="C4517" t="s">
        <v>294</v>
      </c>
      <c r="D4517" t="str">
        <f>HYPERLINK("http://service.sap.com/sap/support/notes/1599032","1599032")</f>
        <v>1599032</v>
      </c>
      <c r="E4517">
        <v>2</v>
      </c>
      <c r="F4517" t="s">
        <v>4965</v>
      </c>
    </row>
    <row r="4518" spans="1:6" x14ac:dyDescent="0.25">
      <c r="A4518" t="s">
        <v>5200</v>
      </c>
      <c r="B4518" t="s">
        <v>293</v>
      </c>
      <c r="C4518" t="s">
        <v>294</v>
      </c>
      <c r="D4518" t="str">
        <f>HYPERLINK("http://service.sap.com/sap/support/notes/1599908","1599908")</f>
        <v>1599908</v>
      </c>
      <c r="E4518">
        <v>1</v>
      </c>
      <c r="F4518" t="s">
        <v>4966</v>
      </c>
    </row>
    <row r="4519" spans="1:6" x14ac:dyDescent="0.25">
      <c r="A4519" t="s">
        <v>5200</v>
      </c>
      <c r="B4519" t="s">
        <v>293</v>
      </c>
      <c r="C4519" t="s">
        <v>294</v>
      </c>
      <c r="D4519" t="str">
        <f>HYPERLINK("http://service.sap.com/sap/support/notes/1603724","1603724")</f>
        <v>1603724</v>
      </c>
      <c r="E4519">
        <v>10</v>
      </c>
      <c r="F4519" t="s">
        <v>4967</v>
      </c>
    </row>
    <row r="4520" spans="1:6" x14ac:dyDescent="0.25">
      <c r="A4520" t="s">
        <v>5200</v>
      </c>
      <c r="B4520" t="s">
        <v>298</v>
      </c>
      <c r="C4520" t="s">
        <v>299</v>
      </c>
    </row>
    <row r="4521" spans="1:6" x14ac:dyDescent="0.25">
      <c r="A4521" t="s">
        <v>5200</v>
      </c>
      <c r="B4521" t="s">
        <v>300</v>
      </c>
      <c r="C4521" t="s">
        <v>301</v>
      </c>
      <c r="D4521" t="str">
        <f>HYPERLINK("http://service.sap.com/sap/support/notes/1599215","1599215")</f>
        <v>1599215</v>
      </c>
      <c r="E4521">
        <v>2</v>
      </c>
      <c r="F4521" t="s">
        <v>4968</v>
      </c>
    </row>
    <row r="4522" spans="1:6" x14ac:dyDescent="0.25">
      <c r="A4522" t="s">
        <v>5200</v>
      </c>
      <c r="B4522" t="s">
        <v>304</v>
      </c>
      <c r="C4522" t="s">
        <v>305</v>
      </c>
      <c r="D4522" t="str">
        <f>HYPERLINK("http://service.sap.com/sap/support/notes/1017716","1017716")</f>
        <v>1017716</v>
      </c>
      <c r="E4522">
        <v>1</v>
      </c>
      <c r="F4522" t="s">
        <v>1074</v>
      </c>
    </row>
    <row r="4523" spans="1:6" x14ac:dyDescent="0.25">
      <c r="A4523" t="s">
        <v>5200</v>
      </c>
      <c r="B4523" t="s">
        <v>304</v>
      </c>
      <c r="C4523" t="s">
        <v>305</v>
      </c>
      <c r="D4523" t="str">
        <f>HYPERLINK("http://service.sap.com/sap/support/notes/1562190","1562190")</f>
        <v>1562190</v>
      </c>
      <c r="E4523">
        <v>3</v>
      </c>
      <c r="F4523" t="s">
        <v>4969</v>
      </c>
    </row>
    <row r="4524" spans="1:6" x14ac:dyDescent="0.25">
      <c r="A4524" t="s">
        <v>5200</v>
      </c>
      <c r="B4524" t="s">
        <v>304</v>
      </c>
      <c r="C4524" t="s">
        <v>305</v>
      </c>
      <c r="D4524" t="str">
        <f>HYPERLINK("http://service.sap.com/sap/support/notes/1565030","1565030")</f>
        <v>1565030</v>
      </c>
      <c r="E4524">
        <v>9</v>
      </c>
      <c r="F4524" t="s">
        <v>4970</v>
      </c>
    </row>
    <row r="4525" spans="1:6" x14ac:dyDescent="0.25">
      <c r="A4525" t="s">
        <v>5200</v>
      </c>
      <c r="B4525" t="s">
        <v>304</v>
      </c>
      <c r="C4525" t="s">
        <v>305</v>
      </c>
      <c r="D4525" t="str">
        <f>HYPERLINK("http://service.sap.com/sap/support/notes/1565169","1565169")</f>
        <v>1565169</v>
      </c>
      <c r="E4525">
        <v>5</v>
      </c>
      <c r="F4525" t="s">
        <v>4971</v>
      </c>
    </row>
    <row r="4526" spans="1:6" x14ac:dyDescent="0.25">
      <c r="A4526" t="s">
        <v>5200</v>
      </c>
      <c r="B4526" t="s">
        <v>304</v>
      </c>
      <c r="C4526" t="s">
        <v>305</v>
      </c>
      <c r="D4526" t="str">
        <f>HYPERLINK("http://service.sap.com/sap/support/notes/1571787","1571787")</f>
        <v>1571787</v>
      </c>
      <c r="E4526">
        <v>13</v>
      </c>
      <c r="F4526" t="s">
        <v>4972</v>
      </c>
    </row>
    <row r="4527" spans="1:6" x14ac:dyDescent="0.25">
      <c r="A4527" t="s">
        <v>5200</v>
      </c>
      <c r="B4527" t="s">
        <v>304</v>
      </c>
      <c r="C4527" t="s">
        <v>305</v>
      </c>
      <c r="D4527" t="str">
        <f>HYPERLINK("http://service.sap.com/sap/support/notes/1574539","1574539")</f>
        <v>1574539</v>
      </c>
      <c r="E4527">
        <v>3</v>
      </c>
      <c r="F4527" t="s">
        <v>4973</v>
      </c>
    </row>
    <row r="4528" spans="1:6" x14ac:dyDescent="0.25">
      <c r="A4528" t="s">
        <v>5200</v>
      </c>
      <c r="B4528" t="s">
        <v>304</v>
      </c>
      <c r="C4528" t="s">
        <v>305</v>
      </c>
      <c r="D4528" t="str">
        <f>HYPERLINK("http://service.sap.com/sap/support/notes/1576362","1576362")</f>
        <v>1576362</v>
      </c>
      <c r="E4528">
        <v>3</v>
      </c>
      <c r="F4528" t="s">
        <v>4974</v>
      </c>
    </row>
    <row r="4529" spans="1:6" x14ac:dyDescent="0.25">
      <c r="A4529" t="s">
        <v>5200</v>
      </c>
      <c r="B4529" t="s">
        <v>304</v>
      </c>
      <c r="C4529" t="s">
        <v>305</v>
      </c>
      <c r="D4529" t="str">
        <f>HYPERLINK("http://service.sap.com/sap/support/notes/1578098","1578098")</f>
        <v>1578098</v>
      </c>
      <c r="E4529">
        <v>2</v>
      </c>
      <c r="F4529" t="s">
        <v>4975</v>
      </c>
    </row>
    <row r="4530" spans="1:6" x14ac:dyDescent="0.25">
      <c r="A4530" t="s">
        <v>5200</v>
      </c>
      <c r="B4530" t="s">
        <v>304</v>
      </c>
      <c r="C4530" t="s">
        <v>305</v>
      </c>
      <c r="D4530" t="str">
        <f>HYPERLINK("http://service.sap.com/sap/support/notes/1581265","1581265")</f>
        <v>1581265</v>
      </c>
      <c r="E4530">
        <v>7</v>
      </c>
      <c r="F4530" t="s">
        <v>4976</v>
      </c>
    </row>
    <row r="4531" spans="1:6" x14ac:dyDescent="0.25">
      <c r="A4531" t="s">
        <v>5200</v>
      </c>
      <c r="B4531" t="s">
        <v>304</v>
      </c>
      <c r="C4531" t="s">
        <v>305</v>
      </c>
      <c r="D4531" t="str">
        <f>HYPERLINK("http://service.sap.com/sap/support/notes/1581424","1581424")</f>
        <v>1581424</v>
      </c>
      <c r="E4531">
        <v>4</v>
      </c>
      <c r="F4531" t="s">
        <v>4977</v>
      </c>
    </row>
    <row r="4532" spans="1:6" x14ac:dyDescent="0.25">
      <c r="A4532" t="s">
        <v>5200</v>
      </c>
      <c r="B4532" t="s">
        <v>304</v>
      </c>
      <c r="C4532" t="s">
        <v>305</v>
      </c>
      <c r="D4532" t="str">
        <f>HYPERLINK("http://service.sap.com/sap/support/notes/1583049","1583049")</f>
        <v>1583049</v>
      </c>
      <c r="E4532">
        <v>2</v>
      </c>
      <c r="F4532" t="s">
        <v>4978</v>
      </c>
    </row>
    <row r="4533" spans="1:6" x14ac:dyDescent="0.25">
      <c r="A4533" t="s">
        <v>5200</v>
      </c>
      <c r="B4533" t="s">
        <v>304</v>
      </c>
      <c r="C4533" t="s">
        <v>305</v>
      </c>
      <c r="D4533" t="str">
        <f>HYPERLINK("http://service.sap.com/sap/support/notes/1583577","1583577")</f>
        <v>1583577</v>
      </c>
      <c r="E4533">
        <v>3</v>
      </c>
      <c r="F4533" t="s">
        <v>4979</v>
      </c>
    </row>
    <row r="4534" spans="1:6" x14ac:dyDescent="0.25">
      <c r="A4534" t="s">
        <v>5200</v>
      </c>
      <c r="B4534" t="s">
        <v>304</v>
      </c>
      <c r="C4534" t="s">
        <v>305</v>
      </c>
      <c r="D4534" t="str">
        <f>HYPERLINK("http://service.sap.com/sap/support/notes/1584945","1584945")</f>
        <v>1584945</v>
      </c>
      <c r="E4534">
        <v>2</v>
      </c>
      <c r="F4534" t="s">
        <v>4980</v>
      </c>
    </row>
    <row r="4535" spans="1:6" x14ac:dyDescent="0.25">
      <c r="A4535" t="s">
        <v>5200</v>
      </c>
      <c r="B4535" t="s">
        <v>304</v>
      </c>
      <c r="C4535" t="s">
        <v>305</v>
      </c>
      <c r="D4535" t="str">
        <f>HYPERLINK("http://service.sap.com/sap/support/notes/1585341","1585341")</f>
        <v>1585341</v>
      </c>
      <c r="E4535">
        <v>2</v>
      </c>
      <c r="F4535" t="s">
        <v>4981</v>
      </c>
    </row>
    <row r="4536" spans="1:6" x14ac:dyDescent="0.25">
      <c r="A4536" t="s">
        <v>5200</v>
      </c>
      <c r="B4536" t="s">
        <v>304</v>
      </c>
      <c r="C4536" t="s">
        <v>305</v>
      </c>
      <c r="D4536" t="str">
        <f>HYPERLINK("http://service.sap.com/sap/support/notes/1590585","1590585")</f>
        <v>1590585</v>
      </c>
      <c r="E4536">
        <v>1</v>
      </c>
      <c r="F4536" t="s">
        <v>4982</v>
      </c>
    </row>
    <row r="4537" spans="1:6" x14ac:dyDescent="0.25">
      <c r="A4537" t="s">
        <v>5200</v>
      </c>
      <c r="B4537" t="s">
        <v>304</v>
      </c>
      <c r="C4537" t="s">
        <v>305</v>
      </c>
      <c r="D4537" t="str">
        <f>HYPERLINK("http://service.sap.com/sap/support/notes/1592522","1592522")</f>
        <v>1592522</v>
      </c>
      <c r="E4537">
        <v>1</v>
      </c>
      <c r="F4537" t="s">
        <v>4983</v>
      </c>
    </row>
    <row r="4538" spans="1:6" x14ac:dyDescent="0.25">
      <c r="A4538" t="s">
        <v>5200</v>
      </c>
      <c r="B4538" t="s">
        <v>304</v>
      </c>
      <c r="C4538" t="s">
        <v>305</v>
      </c>
      <c r="D4538" t="str">
        <f>HYPERLINK("http://service.sap.com/sap/support/notes/1593725","1593725")</f>
        <v>1593725</v>
      </c>
      <c r="E4538">
        <v>4</v>
      </c>
      <c r="F4538" t="s">
        <v>4984</v>
      </c>
    </row>
    <row r="4539" spans="1:6" x14ac:dyDescent="0.25">
      <c r="A4539" t="s">
        <v>5200</v>
      </c>
      <c r="B4539" t="s">
        <v>304</v>
      </c>
      <c r="C4539" t="s">
        <v>305</v>
      </c>
      <c r="D4539" t="str">
        <f>HYPERLINK("http://service.sap.com/sap/support/notes/1594571","1594571")</f>
        <v>1594571</v>
      </c>
      <c r="E4539">
        <v>1</v>
      </c>
      <c r="F4539" t="s">
        <v>4985</v>
      </c>
    </row>
    <row r="4540" spans="1:6" x14ac:dyDescent="0.25">
      <c r="A4540" t="s">
        <v>5200</v>
      </c>
      <c r="B4540" t="s">
        <v>304</v>
      </c>
      <c r="C4540" t="s">
        <v>305</v>
      </c>
      <c r="D4540" t="str">
        <f>HYPERLINK("http://service.sap.com/sap/support/notes/1595773","1595773")</f>
        <v>1595773</v>
      </c>
      <c r="E4540">
        <v>3</v>
      </c>
      <c r="F4540" t="s">
        <v>4986</v>
      </c>
    </row>
    <row r="4541" spans="1:6" x14ac:dyDescent="0.25">
      <c r="A4541" t="s">
        <v>5200</v>
      </c>
      <c r="B4541" t="s">
        <v>304</v>
      </c>
      <c r="C4541" t="s">
        <v>305</v>
      </c>
      <c r="D4541" t="str">
        <f>HYPERLINK("http://service.sap.com/sap/support/notes/1595807","1595807")</f>
        <v>1595807</v>
      </c>
      <c r="E4541">
        <v>2</v>
      </c>
      <c r="F4541" t="s">
        <v>4987</v>
      </c>
    </row>
    <row r="4542" spans="1:6" x14ac:dyDescent="0.25">
      <c r="A4542" t="s">
        <v>5200</v>
      </c>
      <c r="B4542" t="s">
        <v>304</v>
      </c>
      <c r="C4542" t="s">
        <v>305</v>
      </c>
      <c r="D4542" t="str">
        <f>HYPERLINK("http://service.sap.com/sap/support/notes/1595849","1595849")</f>
        <v>1595849</v>
      </c>
      <c r="E4542">
        <v>4</v>
      </c>
      <c r="F4542" t="s">
        <v>4988</v>
      </c>
    </row>
    <row r="4543" spans="1:6" x14ac:dyDescent="0.25">
      <c r="A4543" t="s">
        <v>5200</v>
      </c>
      <c r="B4543" t="s">
        <v>304</v>
      </c>
      <c r="C4543" t="s">
        <v>305</v>
      </c>
      <c r="D4543" t="str">
        <f>HYPERLINK("http://service.sap.com/sap/support/notes/1596262","1596262")</f>
        <v>1596262</v>
      </c>
      <c r="E4543">
        <v>2</v>
      </c>
      <c r="F4543" t="s">
        <v>4989</v>
      </c>
    </row>
    <row r="4544" spans="1:6" x14ac:dyDescent="0.25">
      <c r="A4544" t="s">
        <v>5200</v>
      </c>
      <c r="B4544" t="s">
        <v>304</v>
      </c>
      <c r="C4544" t="s">
        <v>305</v>
      </c>
      <c r="D4544" t="str">
        <f>HYPERLINK("http://service.sap.com/sap/support/notes/1596551","1596551")</f>
        <v>1596551</v>
      </c>
      <c r="E4544">
        <v>6</v>
      </c>
      <c r="F4544" t="s">
        <v>4990</v>
      </c>
    </row>
    <row r="4545" spans="1:6" x14ac:dyDescent="0.25">
      <c r="A4545" t="s">
        <v>5200</v>
      </c>
      <c r="B4545" t="s">
        <v>304</v>
      </c>
      <c r="C4545" t="s">
        <v>305</v>
      </c>
      <c r="D4545" t="str">
        <f>HYPERLINK("http://service.sap.com/sap/support/notes/1597274","1597274")</f>
        <v>1597274</v>
      </c>
      <c r="E4545">
        <v>3</v>
      </c>
      <c r="F4545" t="s">
        <v>4991</v>
      </c>
    </row>
    <row r="4546" spans="1:6" x14ac:dyDescent="0.25">
      <c r="A4546" t="s">
        <v>5200</v>
      </c>
      <c r="B4546" t="s">
        <v>304</v>
      </c>
      <c r="C4546" t="s">
        <v>305</v>
      </c>
      <c r="D4546" t="str">
        <f>HYPERLINK("http://service.sap.com/sap/support/notes/1597433","1597433")</f>
        <v>1597433</v>
      </c>
      <c r="E4546">
        <v>4</v>
      </c>
      <c r="F4546" t="s">
        <v>4992</v>
      </c>
    </row>
    <row r="4547" spans="1:6" x14ac:dyDescent="0.25">
      <c r="A4547" t="s">
        <v>5200</v>
      </c>
      <c r="B4547" t="s">
        <v>304</v>
      </c>
      <c r="C4547" t="s">
        <v>305</v>
      </c>
      <c r="D4547" t="str">
        <f>HYPERLINK("http://service.sap.com/sap/support/notes/1597904","1597904")</f>
        <v>1597904</v>
      </c>
      <c r="E4547">
        <v>4</v>
      </c>
      <c r="F4547" t="s">
        <v>4993</v>
      </c>
    </row>
    <row r="4548" spans="1:6" x14ac:dyDescent="0.25">
      <c r="A4548" t="s">
        <v>5200</v>
      </c>
      <c r="B4548" t="s">
        <v>304</v>
      </c>
      <c r="C4548" t="s">
        <v>305</v>
      </c>
      <c r="D4548" t="str">
        <f>HYPERLINK("http://service.sap.com/sap/support/notes/1598937","1598937")</f>
        <v>1598937</v>
      </c>
      <c r="E4548">
        <v>6</v>
      </c>
      <c r="F4548" t="s">
        <v>4994</v>
      </c>
    </row>
    <row r="4549" spans="1:6" x14ac:dyDescent="0.25">
      <c r="A4549" t="s">
        <v>5200</v>
      </c>
      <c r="B4549" t="s">
        <v>304</v>
      </c>
      <c r="C4549" t="s">
        <v>305</v>
      </c>
      <c r="D4549" t="str">
        <f>HYPERLINK("http://service.sap.com/sap/support/notes/1601069","1601069")</f>
        <v>1601069</v>
      </c>
      <c r="E4549">
        <v>3</v>
      </c>
      <c r="F4549" t="s">
        <v>4995</v>
      </c>
    </row>
    <row r="4550" spans="1:6" x14ac:dyDescent="0.25">
      <c r="A4550" t="s">
        <v>5200</v>
      </c>
      <c r="B4550" t="s">
        <v>304</v>
      </c>
      <c r="C4550" t="s">
        <v>305</v>
      </c>
      <c r="D4550" t="str">
        <f>HYPERLINK("http://service.sap.com/sap/support/notes/1602450","1602450")</f>
        <v>1602450</v>
      </c>
      <c r="E4550">
        <v>3</v>
      </c>
      <c r="F4550" t="s">
        <v>4996</v>
      </c>
    </row>
    <row r="4551" spans="1:6" x14ac:dyDescent="0.25">
      <c r="A4551" t="s">
        <v>5200</v>
      </c>
      <c r="B4551" t="s">
        <v>304</v>
      </c>
      <c r="C4551" t="s">
        <v>305</v>
      </c>
      <c r="D4551" t="str">
        <f>HYPERLINK("http://service.sap.com/sap/support/notes/1602647","1602647")</f>
        <v>1602647</v>
      </c>
      <c r="E4551">
        <v>3</v>
      </c>
      <c r="F4551" t="s">
        <v>4997</v>
      </c>
    </row>
    <row r="4552" spans="1:6" x14ac:dyDescent="0.25">
      <c r="A4552" t="s">
        <v>5200</v>
      </c>
      <c r="B4552" t="s">
        <v>304</v>
      </c>
      <c r="C4552" t="s">
        <v>305</v>
      </c>
      <c r="D4552" t="str">
        <f>HYPERLINK("http://service.sap.com/sap/support/notes/1604239","1604239")</f>
        <v>1604239</v>
      </c>
      <c r="E4552">
        <v>2</v>
      </c>
      <c r="F4552" t="s">
        <v>4998</v>
      </c>
    </row>
    <row r="4553" spans="1:6" x14ac:dyDescent="0.25">
      <c r="A4553" t="s">
        <v>5200</v>
      </c>
      <c r="B4553" t="s">
        <v>304</v>
      </c>
      <c r="C4553" t="s">
        <v>305</v>
      </c>
      <c r="D4553" t="str">
        <f>HYPERLINK("http://service.sap.com/sap/support/notes/1604262","1604262")</f>
        <v>1604262</v>
      </c>
      <c r="E4553">
        <v>2</v>
      </c>
      <c r="F4553" t="s">
        <v>4999</v>
      </c>
    </row>
    <row r="4554" spans="1:6" x14ac:dyDescent="0.25">
      <c r="A4554" t="s">
        <v>5200</v>
      </c>
      <c r="B4554" t="s">
        <v>304</v>
      </c>
      <c r="C4554" t="s">
        <v>305</v>
      </c>
      <c r="D4554" t="str">
        <f>HYPERLINK("http://service.sap.com/sap/support/notes/1605231","1605231")</f>
        <v>1605231</v>
      </c>
      <c r="E4554">
        <v>4</v>
      </c>
      <c r="F4554" t="s">
        <v>5000</v>
      </c>
    </row>
    <row r="4555" spans="1:6" x14ac:dyDescent="0.25">
      <c r="A4555" t="s">
        <v>5200</v>
      </c>
      <c r="B4555" t="s">
        <v>304</v>
      </c>
      <c r="C4555" t="s">
        <v>305</v>
      </c>
      <c r="D4555" t="str">
        <f>HYPERLINK("http://service.sap.com/sap/support/notes/1607897","1607897")</f>
        <v>1607897</v>
      </c>
      <c r="E4555">
        <v>2</v>
      </c>
      <c r="F4555" t="s">
        <v>5001</v>
      </c>
    </row>
    <row r="4556" spans="1:6" x14ac:dyDescent="0.25">
      <c r="A4556" t="s">
        <v>5200</v>
      </c>
      <c r="B4556" t="s">
        <v>304</v>
      </c>
      <c r="C4556" t="s">
        <v>305</v>
      </c>
      <c r="D4556" t="str">
        <f>HYPERLINK("http://service.sap.com/sap/support/notes/1608439","1608439")</f>
        <v>1608439</v>
      </c>
      <c r="E4556">
        <v>3</v>
      </c>
      <c r="F4556" t="s">
        <v>5002</v>
      </c>
    </row>
    <row r="4557" spans="1:6" x14ac:dyDescent="0.25">
      <c r="A4557" t="s">
        <v>5200</v>
      </c>
      <c r="B4557" t="s">
        <v>304</v>
      </c>
      <c r="C4557" t="s">
        <v>305</v>
      </c>
      <c r="D4557" t="str">
        <f>HYPERLINK("http://service.sap.com/sap/support/notes/1608997","1608997")</f>
        <v>1608997</v>
      </c>
      <c r="E4557">
        <v>3</v>
      </c>
      <c r="F4557" t="s">
        <v>5003</v>
      </c>
    </row>
    <row r="4558" spans="1:6" x14ac:dyDescent="0.25">
      <c r="A4558" t="s">
        <v>5200</v>
      </c>
      <c r="B4558" t="s">
        <v>304</v>
      </c>
      <c r="C4558" t="s">
        <v>305</v>
      </c>
      <c r="D4558" t="str">
        <f>HYPERLINK("http://service.sap.com/sap/support/notes/1610021","1610021")</f>
        <v>1610021</v>
      </c>
      <c r="E4558">
        <v>5</v>
      </c>
      <c r="F4558" t="s">
        <v>5004</v>
      </c>
    </row>
    <row r="4559" spans="1:6" x14ac:dyDescent="0.25">
      <c r="A4559" t="s">
        <v>5200</v>
      </c>
      <c r="B4559" t="s">
        <v>304</v>
      </c>
      <c r="C4559" t="s">
        <v>305</v>
      </c>
      <c r="D4559" t="str">
        <f>HYPERLINK("http://service.sap.com/sap/support/notes/1612020","1612020")</f>
        <v>1612020</v>
      </c>
      <c r="E4559">
        <v>4</v>
      </c>
      <c r="F4559" t="s">
        <v>5005</v>
      </c>
    </row>
    <row r="4560" spans="1:6" x14ac:dyDescent="0.25">
      <c r="A4560" t="s">
        <v>5200</v>
      </c>
      <c r="B4560" t="s">
        <v>304</v>
      </c>
      <c r="C4560" t="s">
        <v>305</v>
      </c>
      <c r="D4560" t="str">
        <f>HYPERLINK("http://service.sap.com/sap/support/notes/1612440","1612440")</f>
        <v>1612440</v>
      </c>
      <c r="E4560">
        <v>2</v>
      </c>
      <c r="F4560" t="s">
        <v>5006</v>
      </c>
    </row>
    <row r="4561" spans="1:6" x14ac:dyDescent="0.25">
      <c r="A4561" t="s">
        <v>5200</v>
      </c>
      <c r="B4561" t="s">
        <v>5007</v>
      </c>
      <c r="C4561" t="s">
        <v>1662</v>
      </c>
      <c r="D4561" t="str">
        <f>HYPERLINK("http://service.sap.com/sap/support/notes/1611980","1611980")</f>
        <v>1611980</v>
      </c>
      <c r="E4561">
        <v>1</v>
      </c>
      <c r="F4561" t="s">
        <v>5008</v>
      </c>
    </row>
    <row r="4562" spans="1:6" x14ac:dyDescent="0.25">
      <c r="A4562" t="s">
        <v>5200</v>
      </c>
      <c r="B4562" t="s">
        <v>324</v>
      </c>
      <c r="C4562" t="s">
        <v>55</v>
      </c>
      <c r="D4562" t="str">
        <f>HYPERLINK("http://service.sap.com/sap/support/notes/1600727","1600727")</f>
        <v>1600727</v>
      </c>
      <c r="E4562">
        <v>1</v>
      </c>
      <c r="F4562" t="s">
        <v>4645</v>
      </c>
    </row>
    <row r="4563" spans="1:6" x14ac:dyDescent="0.25">
      <c r="A4563" t="s">
        <v>5200</v>
      </c>
      <c r="B4563" t="s">
        <v>324</v>
      </c>
      <c r="C4563" t="s">
        <v>55</v>
      </c>
      <c r="D4563" t="str">
        <f>HYPERLINK("http://service.sap.com/sap/support/notes/1602025","1602025")</f>
        <v>1602025</v>
      </c>
      <c r="E4563">
        <v>1</v>
      </c>
      <c r="F4563" t="s">
        <v>5009</v>
      </c>
    </row>
    <row r="4564" spans="1:6" x14ac:dyDescent="0.25">
      <c r="A4564" t="s">
        <v>5200</v>
      </c>
      <c r="B4564" t="s">
        <v>324</v>
      </c>
      <c r="C4564" t="s">
        <v>55</v>
      </c>
      <c r="D4564" t="str">
        <f>HYPERLINK("http://service.sap.com/sap/support/notes/1602399","1602399")</f>
        <v>1602399</v>
      </c>
      <c r="E4564">
        <v>1</v>
      </c>
      <c r="F4564" t="s">
        <v>5010</v>
      </c>
    </row>
    <row r="4565" spans="1:6" x14ac:dyDescent="0.25">
      <c r="A4565" t="s">
        <v>5200</v>
      </c>
      <c r="B4565" t="s">
        <v>324</v>
      </c>
      <c r="C4565" t="s">
        <v>55</v>
      </c>
      <c r="D4565" t="str">
        <f>HYPERLINK("http://service.sap.com/sap/support/notes/1609077","1609077")</f>
        <v>1609077</v>
      </c>
      <c r="E4565">
        <v>1</v>
      </c>
      <c r="F4565" t="s">
        <v>5011</v>
      </c>
    </row>
    <row r="4566" spans="1:6" x14ac:dyDescent="0.25">
      <c r="A4566" t="s">
        <v>5200</v>
      </c>
      <c r="B4566" t="s">
        <v>324</v>
      </c>
      <c r="C4566" t="s">
        <v>55</v>
      </c>
      <c r="D4566" t="str">
        <f>HYPERLINK("http://service.sap.com/sap/support/notes/1612621","1612621")</f>
        <v>1612621</v>
      </c>
      <c r="E4566">
        <v>1</v>
      </c>
      <c r="F4566" t="s">
        <v>5012</v>
      </c>
    </row>
    <row r="4567" spans="1:6" x14ac:dyDescent="0.25">
      <c r="A4567" t="s">
        <v>5200</v>
      </c>
      <c r="B4567" t="s">
        <v>328</v>
      </c>
      <c r="C4567" t="s">
        <v>58</v>
      </c>
      <c r="D4567" t="str">
        <f>HYPERLINK("http://service.sap.com/sap/support/notes/1577168","1577168")</f>
        <v>1577168</v>
      </c>
      <c r="E4567">
        <v>15</v>
      </c>
      <c r="F4567" t="s">
        <v>5013</v>
      </c>
    </row>
    <row r="4568" spans="1:6" x14ac:dyDescent="0.25">
      <c r="A4568" t="s">
        <v>5200</v>
      </c>
      <c r="B4568" t="s">
        <v>328</v>
      </c>
      <c r="C4568" t="s">
        <v>58</v>
      </c>
      <c r="D4568" t="str">
        <f>HYPERLINK("http://service.sap.com/sap/support/notes/1589888","1589888")</f>
        <v>1589888</v>
      </c>
      <c r="E4568">
        <v>10</v>
      </c>
      <c r="F4568" t="s">
        <v>5014</v>
      </c>
    </row>
    <row r="4569" spans="1:6" x14ac:dyDescent="0.25">
      <c r="A4569" t="s">
        <v>5200</v>
      </c>
      <c r="B4569" t="s">
        <v>328</v>
      </c>
      <c r="C4569" t="s">
        <v>58</v>
      </c>
      <c r="D4569" t="str">
        <f>HYPERLINK("http://service.sap.com/sap/support/notes/1590145","1590145")</f>
        <v>1590145</v>
      </c>
      <c r="E4569">
        <v>3</v>
      </c>
      <c r="F4569" t="s">
        <v>5015</v>
      </c>
    </row>
    <row r="4570" spans="1:6" x14ac:dyDescent="0.25">
      <c r="A4570" t="s">
        <v>5200</v>
      </c>
      <c r="B4570" t="s">
        <v>328</v>
      </c>
      <c r="C4570" t="s">
        <v>58</v>
      </c>
      <c r="D4570" t="str">
        <f>HYPERLINK("http://service.sap.com/sap/support/notes/1590266","1590266")</f>
        <v>1590266</v>
      </c>
      <c r="E4570">
        <v>3</v>
      </c>
      <c r="F4570" t="s">
        <v>5016</v>
      </c>
    </row>
    <row r="4571" spans="1:6" x14ac:dyDescent="0.25">
      <c r="A4571" t="s">
        <v>5200</v>
      </c>
      <c r="B4571" t="s">
        <v>328</v>
      </c>
      <c r="C4571" t="s">
        <v>58</v>
      </c>
      <c r="D4571" t="str">
        <f>HYPERLINK("http://service.sap.com/sap/support/notes/1597214","1597214")</f>
        <v>1597214</v>
      </c>
      <c r="E4571">
        <v>1</v>
      </c>
      <c r="F4571" t="s">
        <v>5017</v>
      </c>
    </row>
    <row r="4572" spans="1:6" x14ac:dyDescent="0.25">
      <c r="A4572" t="s">
        <v>5200</v>
      </c>
      <c r="B4572" t="s">
        <v>328</v>
      </c>
      <c r="C4572" t="s">
        <v>58</v>
      </c>
      <c r="D4572" t="str">
        <f>HYPERLINK("http://service.sap.com/sap/support/notes/1598004","1598004")</f>
        <v>1598004</v>
      </c>
      <c r="E4572">
        <v>3</v>
      </c>
      <c r="F4572" t="s">
        <v>5018</v>
      </c>
    </row>
    <row r="4573" spans="1:6" x14ac:dyDescent="0.25">
      <c r="A4573" t="s">
        <v>5200</v>
      </c>
      <c r="B4573" t="s">
        <v>328</v>
      </c>
      <c r="C4573" t="s">
        <v>58</v>
      </c>
      <c r="D4573" t="str">
        <f>HYPERLINK("http://service.sap.com/sap/support/notes/1599105","1599105")</f>
        <v>1599105</v>
      </c>
      <c r="E4573">
        <v>2</v>
      </c>
      <c r="F4573" t="s">
        <v>5019</v>
      </c>
    </row>
    <row r="4574" spans="1:6" x14ac:dyDescent="0.25">
      <c r="A4574" t="s">
        <v>5200</v>
      </c>
      <c r="B4574" t="s">
        <v>328</v>
      </c>
      <c r="C4574" t="s">
        <v>58</v>
      </c>
      <c r="D4574" t="str">
        <f>HYPERLINK("http://service.sap.com/sap/support/notes/1602328","1602328")</f>
        <v>1602328</v>
      </c>
      <c r="E4574">
        <v>1</v>
      </c>
      <c r="F4574" t="s">
        <v>5020</v>
      </c>
    </row>
    <row r="4575" spans="1:6" x14ac:dyDescent="0.25">
      <c r="A4575" t="s">
        <v>5200</v>
      </c>
      <c r="B4575" t="s">
        <v>328</v>
      </c>
      <c r="C4575" t="s">
        <v>58</v>
      </c>
      <c r="D4575" t="str">
        <f>HYPERLINK("http://service.sap.com/sap/support/notes/1602401","1602401")</f>
        <v>1602401</v>
      </c>
      <c r="E4575">
        <v>1</v>
      </c>
      <c r="F4575" t="s">
        <v>5021</v>
      </c>
    </row>
    <row r="4576" spans="1:6" x14ac:dyDescent="0.25">
      <c r="A4576" t="s">
        <v>5200</v>
      </c>
      <c r="B4576" t="s">
        <v>328</v>
      </c>
      <c r="C4576" t="s">
        <v>58</v>
      </c>
      <c r="D4576" t="str">
        <f>HYPERLINK("http://service.sap.com/sap/support/notes/1602475","1602475")</f>
        <v>1602475</v>
      </c>
      <c r="E4576">
        <v>1</v>
      </c>
      <c r="F4576" t="s">
        <v>5022</v>
      </c>
    </row>
    <row r="4577" spans="1:6" x14ac:dyDescent="0.25">
      <c r="A4577" t="s">
        <v>5200</v>
      </c>
      <c r="B4577" t="s">
        <v>328</v>
      </c>
      <c r="C4577" t="s">
        <v>58</v>
      </c>
      <c r="D4577" t="str">
        <f>HYPERLINK("http://service.sap.com/sap/support/notes/1603585","1603585")</f>
        <v>1603585</v>
      </c>
      <c r="E4577">
        <v>1</v>
      </c>
      <c r="F4577" t="s">
        <v>5023</v>
      </c>
    </row>
    <row r="4578" spans="1:6" x14ac:dyDescent="0.25">
      <c r="A4578" t="s">
        <v>5200</v>
      </c>
      <c r="B4578" t="s">
        <v>328</v>
      </c>
      <c r="C4578" t="s">
        <v>58</v>
      </c>
      <c r="D4578" t="str">
        <f>HYPERLINK("http://service.sap.com/sap/support/notes/1604233","1604233")</f>
        <v>1604233</v>
      </c>
      <c r="E4578">
        <v>1</v>
      </c>
      <c r="F4578" t="s">
        <v>5024</v>
      </c>
    </row>
    <row r="4579" spans="1:6" x14ac:dyDescent="0.25">
      <c r="A4579" t="s">
        <v>5200</v>
      </c>
      <c r="B4579" t="s">
        <v>328</v>
      </c>
      <c r="C4579" t="s">
        <v>58</v>
      </c>
      <c r="D4579" t="str">
        <f>HYPERLINK("http://service.sap.com/sap/support/notes/1604603","1604603")</f>
        <v>1604603</v>
      </c>
      <c r="E4579">
        <v>1</v>
      </c>
      <c r="F4579" t="s">
        <v>5025</v>
      </c>
    </row>
    <row r="4580" spans="1:6" x14ac:dyDescent="0.25">
      <c r="A4580" t="s">
        <v>5200</v>
      </c>
      <c r="B4580" t="s">
        <v>328</v>
      </c>
      <c r="C4580" t="s">
        <v>58</v>
      </c>
      <c r="D4580" t="str">
        <f>HYPERLINK("http://service.sap.com/sap/support/notes/1605903","1605903")</f>
        <v>1605903</v>
      </c>
      <c r="E4580">
        <v>2</v>
      </c>
      <c r="F4580" t="s">
        <v>5026</v>
      </c>
    </row>
    <row r="4581" spans="1:6" x14ac:dyDescent="0.25">
      <c r="A4581" t="s">
        <v>5200</v>
      </c>
      <c r="B4581" t="s">
        <v>328</v>
      </c>
      <c r="C4581" t="s">
        <v>58</v>
      </c>
      <c r="D4581" t="str">
        <f>HYPERLINK("http://service.sap.com/sap/support/notes/1610193","1610193")</f>
        <v>1610193</v>
      </c>
      <c r="E4581">
        <v>5</v>
      </c>
      <c r="F4581" t="s">
        <v>5027</v>
      </c>
    </row>
    <row r="4582" spans="1:6" x14ac:dyDescent="0.25">
      <c r="A4582" t="s">
        <v>5200</v>
      </c>
      <c r="B4582" t="s">
        <v>5028</v>
      </c>
      <c r="C4582" t="s">
        <v>1662</v>
      </c>
      <c r="D4582" t="str">
        <f>HYPERLINK("http://service.sap.com/sap/support/notes/1598851","1598851")</f>
        <v>1598851</v>
      </c>
      <c r="E4582">
        <v>1</v>
      </c>
      <c r="F4582" t="s">
        <v>5029</v>
      </c>
    </row>
    <row r="4583" spans="1:6" x14ac:dyDescent="0.25">
      <c r="A4583" t="s">
        <v>5200</v>
      </c>
      <c r="B4583" t="s">
        <v>5028</v>
      </c>
      <c r="C4583" t="s">
        <v>1662</v>
      </c>
      <c r="D4583" t="str">
        <f>HYPERLINK("http://service.sap.com/sap/support/notes/1611981","1611981")</f>
        <v>1611981</v>
      </c>
      <c r="E4583">
        <v>1</v>
      </c>
      <c r="F4583" t="s">
        <v>5030</v>
      </c>
    </row>
    <row r="4584" spans="1:6" x14ac:dyDescent="0.25">
      <c r="A4584" t="s">
        <v>5200</v>
      </c>
      <c r="B4584" t="s">
        <v>2415</v>
      </c>
      <c r="C4584" t="s">
        <v>153</v>
      </c>
      <c r="D4584" t="str">
        <f>HYPERLINK("http://service.sap.com/sap/support/notes/1597844","1597844")</f>
        <v>1597844</v>
      </c>
      <c r="E4584">
        <v>4</v>
      </c>
      <c r="F4584" t="s">
        <v>5031</v>
      </c>
    </row>
    <row r="4585" spans="1:6" x14ac:dyDescent="0.25">
      <c r="A4585" t="s">
        <v>5200</v>
      </c>
      <c r="B4585" t="s">
        <v>343</v>
      </c>
      <c r="C4585" t="s">
        <v>344</v>
      </c>
      <c r="D4585" t="str">
        <f>HYPERLINK("http://service.sap.com/sap/support/notes/1574561","1574561")</f>
        <v>1574561</v>
      </c>
      <c r="E4585">
        <v>1</v>
      </c>
      <c r="F4585" t="s">
        <v>5032</v>
      </c>
    </row>
    <row r="4586" spans="1:6" x14ac:dyDescent="0.25">
      <c r="A4586" t="s">
        <v>5200</v>
      </c>
      <c r="B4586" t="s">
        <v>343</v>
      </c>
      <c r="C4586" t="s">
        <v>344</v>
      </c>
      <c r="D4586" t="str">
        <f>HYPERLINK("http://service.sap.com/sap/support/notes/1603548","1603548")</f>
        <v>1603548</v>
      </c>
      <c r="E4586">
        <v>2</v>
      </c>
      <c r="F4586" t="s">
        <v>5033</v>
      </c>
    </row>
    <row r="4587" spans="1:6" x14ac:dyDescent="0.25">
      <c r="A4587" t="s">
        <v>5200</v>
      </c>
      <c r="B4587" t="s">
        <v>2021</v>
      </c>
      <c r="C4587" t="s">
        <v>1010</v>
      </c>
    </row>
    <row r="4588" spans="1:6" x14ac:dyDescent="0.25">
      <c r="A4588" t="s">
        <v>5200</v>
      </c>
      <c r="B4588" t="s">
        <v>2022</v>
      </c>
      <c r="C4588" t="s">
        <v>2023</v>
      </c>
      <c r="D4588" t="str">
        <f>HYPERLINK("http://service.sap.com/sap/support/notes/1603578","1603578")</f>
        <v>1603578</v>
      </c>
      <c r="E4588">
        <v>1</v>
      </c>
      <c r="F4588" t="s">
        <v>5034</v>
      </c>
    </row>
    <row r="4589" spans="1:6" x14ac:dyDescent="0.25">
      <c r="A4589" t="s">
        <v>5200</v>
      </c>
      <c r="B4589" t="s">
        <v>2022</v>
      </c>
      <c r="C4589" t="s">
        <v>2023</v>
      </c>
      <c r="D4589" t="str">
        <f>HYPERLINK("http://service.sap.com/sap/support/notes/1604941","1604941")</f>
        <v>1604941</v>
      </c>
      <c r="E4589">
        <v>1</v>
      </c>
      <c r="F4589" t="s">
        <v>5035</v>
      </c>
    </row>
    <row r="4590" spans="1:6" x14ac:dyDescent="0.25">
      <c r="A4590" t="s">
        <v>5200</v>
      </c>
      <c r="B4590" t="s">
        <v>2022</v>
      </c>
      <c r="C4590" t="s">
        <v>2023</v>
      </c>
      <c r="D4590" t="str">
        <f>HYPERLINK("http://service.sap.com/sap/support/notes/1606775","1606775")</f>
        <v>1606775</v>
      </c>
      <c r="E4590">
        <v>1</v>
      </c>
      <c r="F4590" t="s">
        <v>5036</v>
      </c>
    </row>
    <row r="4591" spans="1:6" x14ac:dyDescent="0.25">
      <c r="A4591" t="s">
        <v>5200</v>
      </c>
      <c r="B4591" t="s">
        <v>2022</v>
      </c>
      <c r="C4591" t="s">
        <v>2023</v>
      </c>
      <c r="D4591" t="str">
        <f>HYPERLINK("http://service.sap.com/sap/support/notes/1607869","1607869")</f>
        <v>1607869</v>
      </c>
      <c r="E4591">
        <v>1</v>
      </c>
      <c r="F4591" t="s">
        <v>5037</v>
      </c>
    </row>
    <row r="4592" spans="1:6" x14ac:dyDescent="0.25">
      <c r="A4592" t="s">
        <v>5200</v>
      </c>
      <c r="B4592" t="s">
        <v>2022</v>
      </c>
      <c r="C4592" t="s">
        <v>2023</v>
      </c>
      <c r="D4592" t="str">
        <f>HYPERLINK("http://service.sap.com/sap/support/notes/1611762","1611762")</f>
        <v>1611762</v>
      </c>
      <c r="E4592">
        <v>1</v>
      </c>
      <c r="F4592" t="s">
        <v>5038</v>
      </c>
    </row>
    <row r="4593" spans="1:6" x14ac:dyDescent="0.25">
      <c r="A4593" t="s">
        <v>5200</v>
      </c>
      <c r="B4593" t="s">
        <v>5039</v>
      </c>
      <c r="C4593" t="s">
        <v>1662</v>
      </c>
      <c r="D4593" t="str">
        <f>HYPERLINK("http://service.sap.com/sap/support/notes/1612417","1612417")</f>
        <v>1612417</v>
      </c>
      <c r="E4593">
        <v>1</v>
      </c>
      <c r="F4593" t="s">
        <v>5040</v>
      </c>
    </row>
    <row r="4594" spans="1:6" x14ac:dyDescent="0.25">
      <c r="A4594" t="s">
        <v>5200</v>
      </c>
      <c r="B4594" t="s">
        <v>1121</v>
      </c>
      <c r="C4594" t="s">
        <v>251</v>
      </c>
    </row>
    <row r="4595" spans="1:6" x14ac:dyDescent="0.25">
      <c r="A4595" t="s">
        <v>5200</v>
      </c>
      <c r="B4595" t="s">
        <v>1122</v>
      </c>
      <c r="C4595" t="s">
        <v>1123</v>
      </c>
      <c r="D4595" t="str">
        <f>HYPERLINK("http://service.sap.com/sap/support/notes/1596696","1596696")</f>
        <v>1596696</v>
      </c>
      <c r="E4595">
        <v>2</v>
      </c>
      <c r="F4595" t="s">
        <v>5041</v>
      </c>
    </row>
    <row r="4596" spans="1:6" x14ac:dyDescent="0.25">
      <c r="A4596" t="s">
        <v>5200</v>
      </c>
      <c r="B4596" t="s">
        <v>349</v>
      </c>
      <c r="C4596" t="s">
        <v>299</v>
      </c>
      <c r="D4596" t="str">
        <f>HYPERLINK("http://service.sap.com/sap/support/notes/1609742","1609742")</f>
        <v>1609742</v>
      </c>
      <c r="E4596">
        <v>1</v>
      </c>
      <c r="F4596" t="s">
        <v>5042</v>
      </c>
    </row>
    <row r="4597" spans="1:6" x14ac:dyDescent="0.25">
      <c r="A4597" t="s">
        <v>5200</v>
      </c>
      <c r="B4597" t="s">
        <v>350</v>
      </c>
      <c r="C4597" t="s">
        <v>351</v>
      </c>
      <c r="D4597" t="str">
        <f>HYPERLINK("http://service.sap.com/sap/support/notes/1452192","1452192")</f>
        <v>1452192</v>
      </c>
      <c r="E4597">
        <v>3</v>
      </c>
      <c r="F4597" t="s">
        <v>5043</v>
      </c>
    </row>
    <row r="4598" spans="1:6" x14ac:dyDescent="0.25">
      <c r="A4598" t="s">
        <v>5200</v>
      </c>
      <c r="B4598" t="s">
        <v>350</v>
      </c>
      <c r="C4598" t="s">
        <v>351</v>
      </c>
      <c r="D4598" t="str">
        <f>HYPERLINK("http://service.sap.com/sap/support/notes/1596618","1596618")</f>
        <v>1596618</v>
      </c>
      <c r="E4598">
        <v>2</v>
      </c>
      <c r="F4598" t="s">
        <v>5044</v>
      </c>
    </row>
    <row r="4599" spans="1:6" x14ac:dyDescent="0.25">
      <c r="A4599" t="s">
        <v>5200</v>
      </c>
      <c r="B4599" t="s">
        <v>350</v>
      </c>
      <c r="C4599" t="s">
        <v>351</v>
      </c>
      <c r="D4599" t="str">
        <f>HYPERLINK("http://service.sap.com/sap/support/notes/1596924","1596924")</f>
        <v>1596924</v>
      </c>
      <c r="E4599">
        <v>4</v>
      </c>
      <c r="F4599" t="s">
        <v>5045</v>
      </c>
    </row>
    <row r="4600" spans="1:6" x14ac:dyDescent="0.25">
      <c r="A4600" t="s">
        <v>5200</v>
      </c>
      <c r="B4600" t="s">
        <v>350</v>
      </c>
      <c r="C4600" t="s">
        <v>351</v>
      </c>
      <c r="D4600" t="str">
        <f>HYPERLINK("http://service.sap.com/sap/support/notes/1601016","1601016")</f>
        <v>1601016</v>
      </c>
      <c r="E4600">
        <v>1</v>
      </c>
      <c r="F4600" t="s">
        <v>5046</v>
      </c>
    </row>
    <row r="4601" spans="1:6" x14ac:dyDescent="0.25">
      <c r="A4601" t="s">
        <v>5200</v>
      </c>
      <c r="B4601" t="s">
        <v>350</v>
      </c>
      <c r="C4601" t="s">
        <v>351</v>
      </c>
      <c r="D4601" t="str">
        <f>HYPERLINK("http://service.sap.com/sap/support/notes/1601384","1601384")</f>
        <v>1601384</v>
      </c>
      <c r="E4601">
        <v>1</v>
      </c>
      <c r="F4601" t="s">
        <v>5047</v>
      </c>
    </row>
    <row r="4602" spans="1:6" x14ac:dyDescent="0.25">
      <c r="A4602" t="s">
        <v>5200</v>
      </c>
      <c r="B4602" t="s">
        <v>350</v>
      </c>
      <c r="C4602" t="s">
        <v>351</v>
      </c>
      <c r="D4602" t="str">
        <f>HYPERLINK("http://service.sap.com/sap/support/notes/1601657","1601657")</f>
        <v>1601657</v>
      </c>
      <c r="E4602">
        <v>1</v>
      </c>
      <c r="F4602" t="s">
        <v>5048</v>
      </c>
    </row>
    <row r="4603" spans="1:6" x14ac:dyDescent="0.25">
      <c r="A4603" t="s">
        <v>5200</v>
      </c>
      <c r="B4603" t="s">
        <v>350</v>
      </c>
      <c r="C4603" t="s">
        <v>351</v>
      </c>
      <c r="D4603" t="str">
        <f>HYPERLINK("http://service.sap.com/sap/support/notes/1603624","1603624")</f>
        <v>1603624</v>
      </c>
      <c r="E4603">
        <v>1</v>
      </c>
      <c r="F4603" t="s">
        <v>5049</v>
      </c>
    </row>
    <row r="4604" spans="1:6" x14ac:dyDescent="0.25">
      <c r="A4604" t="s">
        <v>5200</v>
      </c>
      <c r="B4604" t="s">
        <v>350</v>
      </c>
      <c r="C4604" t="s">
        <v>351</v>
      </c>
      <c r="D4604" t="str">
        <f>HYPERLINK("http://service.sap.com/sap/support/notes/1604459","1604459")</f>
        <v>1604459</v>
      </c>
      <c r="E4604">
        <v>1</v>
      </c>
      <c r="F4604" t="s">
        <v>5050</v>
      </c>
    </row>
    <row r="4605" spans="1:6" x14ac:dyDescent="0.25">
      <c r="A4605" t="s">
        <v>5200</v>
      </c>
      <c r="B4605" t="s">
        <v>350</v>
      </c>
      <c r="C4605" t="s">
        <v>351</v>
      </c>
      <c r="D4605" t="str">
        <f>HYPERLINK("http://service.sap.com/sap/support/notes/1605352","1605352")</f>
        <v>1605352</v>
      </c>
      <c r="E4605">
        <v>1</v>
      </c>
      <c r="F4605" t="s">
        <v>5051</v>
      </c>
    </row>
    <row r="4606" spans="1:6" x14ac:dyDescent="0.25">
      <c r="A4606" t="s">
        <v>5200</v>
      </c>
      <c r="B4606" t="s">
        <v>350</v>
      </c>
      <c r="C4606" t="s">
        <v>351</v>
      </c>
      <c r="D4606" t="str">
        <f>HYPERLINK("http://service.sap.com/sap/support/notes/1605460","1605460")</f>
        <v>1605460</v>
      </c>
      <c r="E4606">
        <v>1</v>
      </c>
      <c r="F4606" t="s">
        <v>5052</v>
      </c>
    </row>
    <row r="4607" spans="1:6" x14ac:dyDescent="0.25">
      <c r="A4607" t="s">
        <v>5200</v>
      </c>
      <c r="B4607" t="s">
        <v>350</v>
      </c>
      <c r="C4607" t="s">
        <v>351</v>
      </c>
      <c r="D4607" t="str">
        <f>HYPERLINK("http://service.sap.com/sap/support/notes/1605577","1605577")</f>
        <v>1605577</v>
      </c>
      <c r="E4607">
        <v>3</v>
      </c>
      <c r="F4607" t="s">
        <v>5053</v>
      </c>
    </row>
    <row r="4608" spans="1:6" x14ac:dyDescent="0.25">
      <c r="A4608" t="s">
        <v>5200</v>
      </c>
      <c r="B4608" t="s">
        <v>350</v>
      </c>
      <c r="C4608" t="s">
        <v>351</v>
      </c>
      <c r="D4608" t="str">
        <f>HYPERLINK("http://service.sap.com/sap/support/notes/1606794","1606794")</f>
        <v>1606794</v>
      </c>
      <c r="E4608">
        <v>2</v>
      </c>
      <c r="F4608" t="s">
        <v>5054</v>
      </c>
    </row>
    <row r="4609" spans="1:6" x14ac:dyDescent="0.25">
      <c r="A4609" t="s">
        <v>5200</v>
      </c>
      <c r="B4609" t="s">
        <v>350</v>
      </c>
      <c r="C4609" t="s">
        <v>351</v>
      </c>
      <c r="D4609" t="str">
        <f>HYPERLINK("http://service.sap.com/sap/support/notes/1614100","1614100")</f>
        <v>1614100</v>
      </c>
      <c r="E4609">
        <v>1</v>
      </c>
      <c r="F4609" t="s">
        <v>5055</v>
      </c>
    </row>
    <row r="4610" spans="1:6" x14ac:dyDescent="0.25">
      <c r="A4610" t="s">
        <v>5200</v>
      </c>
      <c r="B4610" t="s">
        <v>353</v>
      </c>
      <c r="C4610" t="s">
        <v>354</v>
      </c>
      <c r="D4610" t="str">
        <f>HYPERLINK("http://service.sap.com/sap/support/notes/1602700","1602700")</f>
        <v>1602700</v>
      </c>
      <c r="E4610">
        <v>1</v>
      </c>
      <c r="F4610" t="s">
        <v>5056</v>
      </c>
    </row>
    <row r="4611" spans="1:6" x14ac:dyDescent="0.25">
      <c r="A4611" t="s">
        <v>5200</v>
      </c>
      <c r="B4611" t="s">
        <v>353</v>
      </c>
      <c r="C4611" t="s">
        <v>354</v>
      </c>
      <c r="D4611" t="str">
        <f>HYPERLINK("http://service.sap.com/sap/support/notes/1604947","1604947")</f>
        <v>1604947</v>
      </c>
      <c r="E4611">
        <v>2</v>
      </c>
      <c r="F4611" t="s">
        <v>5057</v>
      </c>
    </row>
    <row r="4612" spans="1:6" x14ac:dyDescent="0.25">
      <c r="A4612" t="s">
        <v>5200</v>
      </c>
      <c r="B4612" t="s">
        <v>353</v>
      </c>
      <c r="C4612" t="s">
        <v>354</v>
      </c>
      <c r="D4612" t="str">
        <f>HYPERLINK("http://service.sap.com/sap/support/notes/1605251","1605251")</f>
        <v>1605251</v>
      </c>
      <c r="E4612">
        <v>1</v>
      </c>
      <c r="F4612" t="s">
        <v>5058</v>
      </c>
    </row>
    <row r="4613" spans="1:6" x14ac:dyDescent="0.25">
      <c r="A4613" t="s">
        <v>5200</v>
      </c>
      <c r="B4613" t="s">
        <v>353</v>
      </c>
      <c r="C4613" t="s">
        <v>354</v>
      </c>
      <c r="D4613" t="str">
        <f>HYPERLINK("http://service.sap.com/sap/support/notes/1606230","1606230")</f>
        <v>1606230</v>
      </c>
      <c r="E4613">
        <v>1</v>
      </c>
      <c r="F4613" t="s">
        <v>5059</v>
      </c>
    </row>
    <row r="4614" spans="1:6" x14ac:dyDescent="0.25">
      <c r="A4614" t="s">
        <v>5200</v>
      </c>
      <c r="B4614" t="s">
        <v>353</v>
      </c>
      <c r="C4614" t="s">
        <v>354</v>
      </c>
      <c r="D4614" t="str">
        <f>HYPERLINK("http://service.sap.com/sap/support/notes/1606242","1606242")</f>
        <v>1606242</v>
      </c>
      <c r="E4614">
        <v>1</v>
      </c>
      <c r="F4614" t="s">
        <v>5060</v>
      </c>
    </row>
    <row r="4615" spans="1:6" x14ac:dyDescent="0.25">
      <c r="A4615" t="s">
        <v>5200</v>
      </c>
      <c r="B4615" t="s">
        <v>353</v>
      </c>
      <c r="C4615" t="s">
        <v>354</v>
      </c>
      <c r="D4615" t="str">
        <f>HYPERLINK("http://service.sap.com/sap/support/notes/1607133","1607133")</f>
        <v>1607133</v>
      </c>
      <c r="E4615">
        <v>1</v>
      </c>
      <c r="F4615" t="s">
        <v>5061</v>
      </c>
    </row>
    <row r="4616" spans="1:6" x14ac:dyDescent="0.25">
      <c r="A4616" t="s">
        <v>5200</v>
      </c>
      <c r="B4616" t="s">
        <v>353</v>
      </c>
      <c r="C4616" t="s">
        <v>354</v>
      </c>
      <c r="D4616" t="str">
        <f>HYPERLINK("http://service.sap.com/sap/support/notes/1609499","1609499")</f>
        <v>1609499</v>
      </c>
      <c r="E4616">
        <v>2</v>
      </c>
      <c r="F4616" t="s">
        <v>5062</v>
      </c>
    </row>
    <row r="4617" spans="1:6" x14ac:dyDescent="0.25">
      <c r="A4617" t="s">
        <v>5200</v>
      </c>
      <c r="B4617" t="s">
        <v>356</v>
      </c>
      <c r="C4617" t="s">
        <v>71</v>
      </c>
      <c r="D4617" t="str">
        <f>HYPERLINK("http://service.sap.com/sap/support/notes/1599013","1599013")</f>
        <v>1599013</v>
      </c>
      <c r="E4617">
        <v>1</v>
      </c>
      <c r="F4617" t="s">
        <v>5063</v>
      </c>
    </row>
    <row r="4618" spans="1:6" x14ac:dyDescent="0.25">
      <c r="A4618" t="s">
        <v>5200</v>
      </c>
      <c r="B4618" t="s">
        <v>356</v>
      </c>
      <c r="C4618" t="s">
        <v>71</v>
      </c>
      <c r="D4618" t="str">
        <f>HYPERLINK("http://service.sap.com/sap/support/notes/1611546","1611546")</f>
        <v>1611546</v>
      </c>
      <c r="E4618">
        <v>1</v>
      </c>
      <c r="F4618" t="s">
        <v>5064</v>
      </c>
    </row>
    <row r="4619" spans="1:6" x14ac:dyDescent="0.25">
      <c r="A4619" t="s">
        <v>5200</v>
      </c>
      <c r="B4619" t="s">
        <v>358</v>
      </c>
      <c r="C4619" t="s">
        <v>359</v>
      </c>
      <c r="D4619" t="str">
        <f>HYPERLINK("http://service.sap.com/sap/support/notes/1147798","1147798")</f>
        <v>1147798</v>
      </c>
      <c r="E4619">
        <v>1</v>
      </c>
      <c r="F4619" t="s">
        <v>360</v>
      </c>
    </row>
    <row r="4620" spans="1:6" x14ac:dyDescent="0.25">
      <c r="A4620" t="s">
        <v>5200</v>
      </c>
      <c r="B4620" t="s">
        <v>358</v>
      </c>
      <c r="C4620" t="s">
        <v>359</v>
      </c>
      <c r="D4620" t="str">
        <f>HYPERLINK("http://service.sap.com/sap/support/notes/1556625","1556625")</f>
        <v>1556625</v>
      </c>
      <c r="E4620">
        <v>1</v>
      </c>
      <c r="F4620" t="s">
        <v>2807</v>
      </c>
    </row>
    <row r="4621" spans="1:6" x14ac:dyDescent="0.25">
      <c r="A4621" t="s">
        <v>5200</v>
      </c>
      <c r="B4621" t="s">
        <v>358</v>
      </c>
      <c r="C4621" t="s">
        <v>359</v>
      </c>
      <c r="D4621" t="str">
        <f>HYPERLINK("http://service.sap.com/sap/support/notes/1568769","1568769")</f>
        <v>1568769</v>
      </c>
      <c r="E4621">
        <v>1</v>
      </c>
      <c r="F4621" t="s">
        <v>5065</v>
      </c>
    </row>
    <row r="4622" spans="1:6" x14ac:dyDescent="0.25">
      <c r="A4622" t="s">
        <v>5200</v>
      </c>
      <c r="B4622" t="s">
        <v>358</v>
      </c>
      <c r="C4622" t="s">
        <v>359</v>
      </c>
      <c r="D4622" t="str">
        <f>HYPERLINK("http://service.sap.com/sap/support/notes/1577008","1577008")</f>
        <v>1577008</v>
      </c>
      <c r="E4622">
        <v>3</v>
      </c>
      <c r="F4622" t="s">
        <v>5066</v>
      </c>
    </row>
    <row r="4623" spans="1:6" x14ac:dyDescent="0.25">
      <c r="A4623" t="s">
        <v>5200</v>
      </c>
      <c r="B4623" t="s">
        <v>358</v>
      </c>
      <c r="C4623" t="s">
        <v>359</v>
      </c>
      <c r="D4623" t="str">
        <f>HYPERLINK("http://service.sap.com/sap/support/notes/1600915","1600915")</f>
        <v>1600915</v>
      </c>
      <c r="E4623">
        <v>1</v>
      </c>
      <c r="F4623" t="s">
        <v>5067</v>
      </c>
    </row>
    <row r="4624" spans="1:6" x14ac:dyDescent="0.25">
      <c r="A4624" t="s">
        <v>5200</v>
      </c>
      <c r="B4624" t="s">
        <v>358</v>
      </c>
      <c r="C4624" t="s">
        <v>359</v>
      </c>
      <c r="D4624" t="str">
        <f>HYPERLINK("http://service.sap.com/sap/support/notes/1603341","1603341")</f>
        <v>1603341</v>
      </c>
      <c r="E4624">
        <v>1</v>
      </c>
      <c r="F4624" t="s">
        <v>5068</v>
      </c>
    </row>
    <row r="4625" spans="1:6" x14ac:dyDescent="0.25">
      <c r="A4625" t="s">
        <v>5200</v>
      </c>
      <c r="B4625" t="s">
        <v>358</v>
      </c>
      <c r="C4625" t="s">
        <v>359</v>
      </c>
      <c r="D4625" t="str">
        <f>HYPERLINK("http://service.sap.com/sap/support/notes/1603364","1603364")</f>
        <v>1603364</v>
      </c>
      <c r="E4625">
        <v>1</v>
      </c>
      <c r="F4625" t="s">
        <v>5069</v>
      </c>
    </row>
    <row r="4626" spans="1:6" x14ac:dyDescent="0.25">
      <c r="A4626" t="s">
        <v>5200</v>
      </c>
      <c r="B4626" t="s">
        <v>358</v>
      </c>
      <c r="C4626" t="s">
        <v>359</v>
      </c>
      <c r="D4626" t="str">
        <f>HYPERLINK("http://service.sap.com/sap/support/notes/1606162","1606162")</f>
        <v>1606162</v>
      </c>
      <c r="E4626">
        <v>2</v>
      </c>
      <c r="F4626" t="s">
        <v>5070</v>
      </c>
    </row>
    <row r="4627" spans="1:6" x14ac:dyDescent="0.25">
      <c r="A4627" t="s">
        <v>5200</v>
      </c>
      <c r="B4627" t="s">
        <v>358</v>
      </c>
      <c r="C4627" t="s">
        <v>359</v>
      </c>
      <c r="D4627" t="str">
        <f>HYPERLINK("http://service.sap.com/sap/support/notes/1608104","1608104")</f>
        <v>1608104</v>
      </c>
      <c r="E4627">
        <v>2</v>
      </c>
      <c r="F4627" t="s">
        <v>5071</v>
      </c>
    </row>
    <row r="4628" spans="1:6" x14ac:dyDescent="0.25">
      <c r="A4628" t="s">
        <v>5200</v>
      </c>
      <c r="B4628" t="s">
        <v>358</v>
      </c>
      <c r="C4628" t="s">
        <v>359</v>
      </c>
      <c r="D4628" t="str">
        <f>HYPERLINK("http://service.sap.com/sap/support/notes/1609308","1609308")</f>
        <v>1609308</v>
      </c>
      <c r="E4628">
        <v>1</v>
      </c>
      <c r="F4628" t="s">
        <v>5072</v>
      </c>
    </row>
    <row r="4629" spans="1:6" x14ac:dyDescent="0.25">
      <c r="A4629" t="s">
        <v>5200</v>
      </c>
      <c r="B4629" t="s">
        <v>363</v>
      </c>
      <c r="C4629" t="s">
        <v>74</v>
      </c>
      <c r="D4629" t="str">
        <f>HYPERLINK("http://service.sap.com/sap/support/notes/1477212","1477212")</f>
        <v>1477212</v>
      </c>
      <c r="E4629">
        <v>1</v>
      </c>
      <c r="F4629" t="s">
        <v>5073</v>
      </c>
    </row>
    <row r="4630" spans="1:6" x14ac:dyDescent="0.25">
      <c r="A4630" t="s">
        <v>5200</v>
      </c>
      <c r="B4630" t="s">
        <v>363</v>
      </c>
      <c r="C4630" t="s">
        <v>74</v>
      </c>
      <c r="D4630" t="str">
        <f>HYPERLINK("http://service.sap.com/sap/support/notes/1519215","1519215")</f>
        <v>1519215</v>
      </c>
      <c r="E4630">
        <v>3</v>
      </c>
      <c r="F4630" t="s">
        <v>5074</v>
      </c>
    </row>
    <row r="4631" spans="1:6" x14ac:dyDescent="0.25">
      <c r="A4631" t="s">
        <v>5200</v>
      </c>
      <c r="B4631" t="s">
        <v>363</v>
      </c>
      <c r="C4631" t="s">
        <v>74</v>
      </c>
      <c r="D4631" t="str">
        <f>HYPERLINK("http://service.sap.com/sap/support/notes/1541146","1541146")</f>
        <v>1541146</v>
      </c>
      <c r="E4631">
        <v>4</v>
      </c>
      <c r="F4631" t="s">
        <v>5075</v>
      </c>
    </row>
    <row r="4632" spans="1:6" x14ac:dyDescent="0.25">
      <c r="A4632" t="s">
        <v>5200</v>
      </c>
      <c r="B4632" t="s">
        <v>363</v>
      </c>
      <c r="C4632" t="s">
        <v>74</v>
      </c>
      <c r="D4632" t="str">
        <f>HYPERLINK("http://service.sap.com/sap/support/notes/1547302","1547302")</f>
        <v>1547302</v>
      </c>
      <c r="E4632">
        <v>1</v>
      </c>
      <c r="F4632" t="s">
        <v>5076</v>
      </c>
    </row>
    <row r="4633" spans="1:6" x14ac:dyDescent="0.25">
      <c r="A4633" t="s">
        <v>5200</v>
      </c>
      <c r="B4633" t="s">
        <v>363</v>
      </c>
      <c r="C4633" t="s">
        <v>74</v>
      </c>
      <c r="D4633" t="str">
        <f>HYPERLINK("http://service.sap.com/sap/support/notes/1582489","1582489")</f>
        <v>1582489</v>
      </c>
      <c r="E4633">
        <v>3</v>
      </c>
      <c r="F4633" t="s">
        <v>5077</v>
      </c>
    </row>
    <row r="4634" spans="1:6" x14ac:dyDescent="0.25">
      <c r="A4634" t="s">
        <v>5200</v>
      </c>
      <c r="B4634" t="s">
        <v>363</v>
      </c>
      <c r="C4634" t="s">
        <v>74</v>
      </c>
      <c r="D4634" t="str">
        <f>HYPERLINK("http://service.sap.com/sap/support/notes/1591160","1591160")</f>
        <v>1591160</v>
      </c>
      <c r="E4634">
        <v>2</v>
      </c>
      <c r="F4634" t="s">
        <v>5078</v>
      </c>
    </row>
    <row r="4635" spans="1:6" x14ac:dyDescent="0.25">
      <c r="A4635" t="s">
        <v>5200</v>
      </c>
      <c r="B4635" t="s">
        <v>363</v>
      </c>
      <c r="C4635" t="s">
        <v>74</v>
      </c>
      <c r="D4635" t="str">
        <f>HYPERLINK("http://service.sap.com/sap/support/notes/1594948","1594948")</f>
        <v>1594948</v>
      </c>
      <c r="E4635">
        <v>2</v>
      </c>
      <c r="F4635" t="s">
        <v>5079</v>
      </c>
    </row>
    <row r="4636" spans="1:6" x14ac:dyDescent="0.25">
      <c r="A4636" t="s">
        <v>5200</v>
      </c>
      <c r="B4636" t="s">
        <v>363</v>
      </c>
      <c r="C4636" t="s">
        <v>74</v>
      </c>
      <c r="D4636" t="str">
        <f>HYPERLINK("http://service.sap.com/sap/support/notes/1597019","1597019")</f>
        <v>1597019</v>
      </c>
      <c r="E4636">
        <v>1</v>
      </c>
      <c r="F4636" t="s">
        <v>5080</v>
      </c>
    </row>
    <row r="4637" spans="1:6" x14ac:dyDescent="0.25">
      <c r="A4637" t="s">
        <v>5200</v>
      </c>
      <c r="B4637" t="s">
        <v>363</v>
      </c>
      <c r="C4637" t="s">
        <v>74</v>
      </c>
      <c r="D4637" t="str">
        <f>HYPERLINK("http://service.sap.com/sap/support/notes/1598608","1598608")</f>
        <v>1598608</v>
      </c>
      <c r="E4637">
        <v>4</v>
      </c>
      <c r="F4637" t="s">
        <v>5081</v>
      </c>
    </row>
    <row r="4638" spans="1:6" x14ac:dyDescent="0.25">
      <c r="A4638" t="s">
        <v>5200</v>
      </c>
      <c r="B4638" t="s">
        <v>363</v>
      </c>
      <c r="C4638" t="s">
        <v>74</v>
      </c>
      <c r="D4638" t="str">
        <f>HYPERLINK("http://service.sap.com/sap/support/notes/1600744","1600744")</f>
        <v>1600744</v>
      </c>
      <c r="E4638">
        <v>1</v>
      </c>
      <c r="F4638" t="s">
        <v>5082</v>
      </c>
    </row>
    <row r="4639" spans="1:6" x14ac:dyDescent="0.25">
      <c r="A4639" t="s">
        <v>5200</v>
      </c>
      <c r="B4639" t="s">
        <v>363</v>
      </c>
      <c r="C4639" t="s">
        <v>74</v>
      </c>
      <c r="D4639" t="str">
        <f>HYPERLINK("http://service.sap.com/sap/support/notes/1601734","1601734")</f>
        <v>1601734</v>
      </c>
      <c r="E4639">
        <v>2</v>
      </c>
      <c r="F4639" t="s">
        <v>5083</v>
      </c>
    </row>
    <row r="4640" spans="1:6" x14ac:dyDescent="0.25">
      <c r="A4640" t="s">
        <v>5200</v>
      </c>
      <c r="B4640" t="s">
        <v>363</v>
      </c>
      <c r="C4640" t="s">
        <v>74</v>
      </c>
      <c r="D4640" t="str">
        <f>HYPERLINK("http://service.sap.com/sap/support/notes/1602053","1602053")</f>
        <v>1602053</v>
      </c>
      <c r="E4640">
        <v>2</v>
      </c>
      <c r="F4640" t="s">
        <v>5084</v>
      </c>
    </row>
    <row r="4641" spans="1:6" x14ac:dyDescent="0.25">
      <c r="A4641" t="s">
        <v>5200</v>
      </c>
      <c r="B4641" t="s">
        <v>363</v>
      </c>
      <c r="C4641" t="s">
        <v>74</v>
      </c>
      <c r="D4641" t="str">
        <f>HYPERLINK("http://service.sap.com/sap/support/notes/1602783","1602783")</f>
        <v>1602783</v>
      </c>
      <c r="E4641">
        <v>2</v>
      </c>
      <c r="F4641" t="s">
        <v>5085</v>
      </c>
    </row>
    <row r="4642" spans="1:6" x14ac:dyDescent="0.25">
      <c r="A4642" t="s">
        <v>5200</v>
      </c>
      <c r="B4642" t="s">
        <v>363</v>
      </c>
      <c r="C4642" t="s">
        <v>74</v>
      </c>
      <c r="D4642" t="str">
        <f>HYPERLINK("http://service.sap.com/sap/support/notes/1603167","1603167")</f>
        <v>1603167</v>
      </c>
      <c r="E4642">
        <v>2</v>
      </c>
      <c r="F4642" t="s">
        <v>5086</v>
      </c>
    </row>
    <row r="4643" spans="1:6" x14ac:dyDescent="0.25">
      <c r="A4643" t="s">
        <v>5200</v>
      </c>
      <c r="B4643" t="s">
        <v>363</v>
      </c>
      <c r="C4643" t="s">
        <v>74</v>
      </c>
      <c r="D4643" t="str">
        <f>HYPERLINK("http://service.sap.com/sap/support/notes/1605657","1605657")</f>
        <v>1605657</v>
      </c>
      <c r="E4643">
        <v>1</v>
      </c>
      <c r="F4643" t="s">
        <v>5087</v>
      </c>
    </row>
    <row r="4644" spans="1:6" x14ac:dyDescent="0.25">
      <c r="A4644" t="s">
        <v>5200</v>
      </c>
      <c r="B4644" t="s">
        <v>363</v>
      </c>
      <c r="C4644" t="s">
        <v>74</v>
      </c>
      <c r="D4644" t="str">
        <f>HYPERLINK("http://service.sap.com/sap/support/notes/1605861","1605861")</f>
        <v>1605861</v>
      </c>
      <c r="E4644">
        <v>5</v>
      </c>
      <c r="F4644" t="s">
        <v>5088</v>
      </c>
    </row>
    <row r="4645" spans="1:6" x14ac:dyDescent="0.25">
      <c r="A4645" t="s">
        <v>5200</v>
      </c>
      <c r="B4645" t="s">
        <v>363</v>
      </c>
      <c r="C4645" t="s">
        <v>74</v>
      </c>
      <c r="D4645" t="str">
        <f>HYPERLINK("http://service.sap.com/sap/support/notes/1606657","1606657")</f>
        <v>1606657</v>
      </c>
      <c r="E4645">
        <v>2</v>
      </c>
      <c r="F4645" t="s">
        <v>5089</v>
      </c>
    </row>
    <row r="4646" spans="1:6" x14ac:dyDescent="0.25">
      <c r="A4646" t="s">
        <v>5200</v>
      </c>
      <c r="B4646" t="s">
        <v>363</v>
      </c>
      <c r="C4646" t="s">
        <v>74</v>
      </c>
      <c r="D4646" t="str">
        <f>HYPERLINK("http://service.sap.com/sap/support/notes/1607386","1607386")</f>
        <v>1607386</v>
      </c>
      <c r="E4646">
        <v>2</v>
      </c>
      <c r="F4646" t="s">
        <v>5090</v>
      </c>
    </row>
    <row r="4647" spans="1:6" x14ac:dyDescent="0.25">
      <c r="A4647" t="s">
        <v>5200</v>
      </c>
      <c r="B4647" t="s">
        <v>363</v>
      </c>
      <c r="C4647" t="s">
        <v>74</v>
      </c>
      <c r="D4647" t="str">
        <f>HYPERLINK("http://service.sap.com/sap/support/notes/1607969","1607969")</f>
        <v>1607969</v>
      </c>
      <c r="E4647">
        <v>2</v>
      </c>
      <c r="F4647" t="s">
        <v>5091</v>
      </c>
    </row>
    <row r="4648" spans="1:6" x14ac:dyDescent="0.25">
      <c r="A4648" t="s">
        <v>5200</v>
      </c>
      <c r="B4648" t="s">
        <v>363</v>
      </c>
      <c r="C4648" t="s">
        <v>74</v>
      </c>
      <c r="D4648" t="str">
        <f>HYPERLINK("http://service.sap.com/sap/support/notes/1608449","1608449")</f>
        <v>1608449</v>
      </c>
      <c r="E4648">
        <v>2</v>
      </c>
      <c r="F4648" t="s">
        <v>5092</v>
      </c>
    </row>
    <row r="4649" spans="1:6" x14ac:dyDescent="0.25">
      <c r="A4649" t="s">
        <v>5200</v>
      </c>
      <c r="B4649" t="s">
        <v>363</v>
      </c>
      <c r="C4649" t="s">
        <v>74</v>
      </c>
      <c r="D4649" t="str">
        <f>HYPERLINK("http://service.sap.com/sap/support/notes/1608647","1608647")</f>
        <v>1608647</v>
      </c>
      <c r="E4649">
        <v>2</v>
      </c>
      <c r="F4649" t="s">
        <v>5093</v>
      </c>
    </row>
    <row r="4650" spans="1:6" x14ac:dyDescent="0.25">
      <c r="A4650" t="s">
        <v>5200</v>
      </c>
      <c r="B4650" t="s">
        <v>374</v>
      </c>
      <c r="C4650" t="s">
        <v>77</v>
      </c>
      <c r="D4650" t="str">
        <f>HYPERLINK("http://service.sap.com/sap/support/notes/1594233","1594233")</f>
        <v>1594233</v>
      </c>
      <c r="E4650">
        <v>2</v>
      </c>
      <c r="F4650" t="s">
        <v>5094</v>
      </c>
    </row>
    <row r="4651" spans="1:6" x14ac:dyDescent="0.25">
      <c r="A4651" t="s">
        <v>5200</v>
      </c>
      <c r="B4651" t="s">
        <v>374</v>
      </c>
      <c r="C4651" t="s">
        <v>77</v>
      </c>
      <c r="D4651" t="str">
        <f>HYPERLINK("http://service.sap.com/sap/support/notes/1594648","1594648")</f>
        <v>1594648</v>
      </c>
      <c r="E4651">
        <v>2</v>
      </c>
      <c r="F4651" t="s">
        <v>5095</v>
      </c>
    </row>
    <row r="4652" spans="1:6" x14ac:dyDescent="0.25">
      <c r="A4652" t="s">
        <v>5200</v>
      </c>
      <c r="B4652" t="s">
        <v>374</v>
      </c>
      <c r="C4652" t="s">
        <v>77</v>
      </c>
      <c r="D4652" t="str">
        <f>HYPERLINK("http://service.sap.com/sap/support/notes/1595756","1595756")</f>
        <v>1595756</v>
      </c>
      <c r="E4652">
        <v>4</v>
      </c>
      <c r="F4652" t="s">
        <v>5096</v>
      </c>
    </row>
    <row r="4653" spans="1:6" x14ac:dyDescent="0.25">
      <c r="A4653" t="s">
        <v>5200</v>
      </c>
      <c r="B4653" t="s">
        <v>374</v>
      </c>
      <c r="C4653" t="s">
        <v>77</v>
      </c>
      <c r="D4653" t="str">
        <f>HYPERLINK("http://service.sap.com/sap/support/notes/1595791","1595791")</f>
        <v>1595791</v>
      </c>
      <c r="E4653">
        <v>4</v>
      </c>
      <c r="F4653" t="s">
        <v>5097</v>
      </c>
    </row>
    <row r="4654" spans="1:6" x14ac:dyDescent="0.25">
      <c r="A4654" t="s">
        <v>5200</v>
      </c>
      <c r="B4654" t="s">
        <v>374</v>
      </c>
      <c r="C4654" t="s">
        <v>77</v>
      </c>
      <c r="D4654" t="str">
        <f>HYPERLINK("http://service.sap.com/sap/support/notes/1601609","1601609")</f>
        <v>1601609</v>
      </c>
      <c r="E4654">
        <v>1</v>
      </c>
      <c r="F4654" t="s">
        <v>5098</v>
      </c>
    </row>
    <row r="4655" spans="1:6" x14ac:dyDescent="0.25">
      <c r="A4655" t="s">
        <v>5200</v>
      </c>
      <c r="B4655" t="s">
        <v>374</v>
      </c>
      <c r="C4655" t="s">
        <v>77</v>
      </c>
      <c r="D4655" t="str">
        <f>HYPERLINK("http://service.sap.com/sap/support/notes/1602631","1602631")</f>
        <v>1602631</v>
      </c>
      <c r="E4655">
        <v>2</v>
      </c>
      <c r="F4655" t="s">
        <v>5099</v>
      </c>
    </row>
    <row r="4656" spans="1:6" x14ac:dyDescent="0.25">
      <c r="A4656" t="s">
        <v>5200</v>
      </c>
      <c r="B4656" t="s">
        <v>374</v>
      </c>
      <c r="C4656" t="s">
        <v>77</v>
      </c>
      <c r="D4656" t="str">
        <f>HYPERLINK("http://service.sap.com/sap/support/notes/1605223","1605223")</f>
        <v>1605223</v>
      </c>
      <c r="E4656">
        <v>4</v>
      </c>
      <c r="F4656" t="s">
        <v>5100</v>
      </c>
    </row>
    <row r="4657" spans="1:6" x14ac:dyDescent="0.25">
      <c r="A4657" t="s">
        <v>5200</v>
      </c>
      <c r="B4657" t="s">
        <v>374</v>
      </c>
      <c r="C4657" t="s">
        <v>77</v>
      </c>
      <c r="D4657" t="str">
        <f>HYPERLINK("http://service.sap.com/sap/support/notes/1609471","1609471")</f>
        <v>1609471</v>
      </c>
      <c r="E4657">
        <v>1</v>
      </c>
      <c r="F4657" t="s">
        <v>5101</v>
      </c>
    </row>
    <row r="4658" spans="1:6" x14ac:dyDescent="0.25">
      <c r="A4658" t="s">
        <v>5200</v>
      </c>
      <c r="B4658" t="s">
        <v>379</v>
      </c>
      <c r="C4658" t="s">
        <v>80</v>
      </c>
      <c r="D4658" t="str">
        <f>HYPERLINK("http://service.sap.com/sap/support/notes/1494243","1494243")</f>
        <v>1494243</v>
      </c>
      <c r="E4658">
        <v>9</v>
      </c>
      <c r="F4658" t="s">
        <v>380</v>
      </c>
    </row>
    <row r="4659" spans="1:6" x14ac:dyDescent="0.25">
      <c r="A4659" t="s">
        <v>5200</v>
      </c>
      <c r="B4659" t="s">
        <v>379</v>
      </c>
      <c r="C4659" t="s">
        <v>80</v>
      </c>
      <c r="D4659" t="str">
        <f>HYPERLINK("http://service.sap.com/sap/support/notes/1601838","1601838")</f>
        <v>1601838</v>
      </c>
      <c r="E4659">
        <v>1</v>
      </c>
      <c r="F4659" t="s">
        <v>5102</v>
      </c>
    </row>
    <row r="4660" spans="1:6" x14ac:dyDescent="0.25">
      <c r="A4660" t="s">
        <v>5200</v>
      </c>
      <c r="B4660" t="s">
        <v>379</v>
      </c>
      <c r="C4660" t="s">
        <v>80</v>
      </c>
      <c r="D4660" t="str">
        <f>HYPERLINK("http://service.sap.com/sap/support/notes/1602752","1602752")</f>
        <v>1602752</v>
      </c>
      <c r="E4660">
        <v>1</v>
      </c>
      <c r="F4660" t="s">
        <v>5103</v>
      </c>
    </row>
    <row r="4661" spans="1:6" x14ac:dyDescent="0.25">
      <c r="A4661" t="s">
        <v>5200</v>
      </c>
      <c r="B4661" t="s">
        <v>379</v>
      </c>
      <c r="C4661" t="s">
        <v>80</v>
      </c>
      <c r="D4661" t="str">
        <f>HYPERLINK("http://service.sap.com/sap/support/notes/1603861","1603861")</f>
        <v>1603861</v>
      </c>
      <c r="E4661">
        <v>1</v>
      </c>
      <c r="F4661" t="s">
        <v>5104</v>
      </c>
    </row>
    <row r="4662" spans="1:6" x14ac:dyDescent="0.25">
      <c r="A4662" t="s">
        <v>5200</v>
      </c>
      <c r="B4662" t="s">
        <v>379</v>
      </c>
      <c r="C4662" t="s">
        <v>80</v>
      </c>
      <c r="D4662" t="str">
        <f>HYPERLINK("http://service.sap.com/sap/support/notes/1603947","1603947")</f>
        <v>1603947</v>
      </c>
      <c r="E4662">
        <v>1</v>
      </c>
      <c r="F4662" t="s">
        <v>5105</v>
      </c>
    </row>
    <row r="4663" spans="1:6" x14ac:dyDescent="0.25">
      <c r="A4663" t="s">
        <v>5200</v>
      </c>
      <c r="B4663" t="s">
        <v>379</v>
      </c>
      <c r="C4663" t="s">
        <v>80</v>
      </c>
      <c r="D4663" t="str">
        <f>HYPERLINK("http://service.sap.com/sap/support/notes/1606386","1606386")</f>
        <v>1606386</v>
      </c>
      <c r="E4663">
        <v>1</v>
      </c>
      <c r="F4663" t="s">
        <v>5106</v>
      </c>
    </row>
    <row r="4664" spans="1:6" x14ac:dyDescent="0.25">
      <c r="A4664" t="s">
        <v>5200</v>
      </c>
      <c r="B4664" t="s">
        <v>379</v>
      </c>
      <c r="C4664" t="s">
        <v>80</v>
      </c>
      <c r="D4664" t="str">
        <f>HYPERLINK("http://service.sap.com/sap/support/notes/1609094","1609094")</f>
        <v>1609094</v>
      </c>
      <c r="E4664">
        <v>3</v>
      </c>
      <c r="F4664" t="s">
        <v>5107</v>
      </c>
    </row>
    <row r="4665" spans="1:6" x14ac:dyDescent="0.25">
      <c r="A4665" t="s">
        <v>5200</v>
      </c>
      <c r="B4665" t="s">
        <v>379</v>
      </c>
      <c r="C4665" t="s">
        <v>80</v>
      </c>
      <c r="D4665" t="str">
        <f>HYPERLINK("http://service.sap.com/sap/support/notes/1611521","1611521")</f>
        <v>1611521</v>
      </c>
      <c r="E4665">
        <v>1</v>
      </c>
      <c r="F4665" t="s">
        <v>5108</v>
      </c>
    </row>
    <row r="4666" spans="1:6" x14ac:dyDescent="0.25">
      <c r="A4666" t="s">
        <v>5200</v>
      </c>
      <c r="B4666" t="s">
        <v>388</v>
      </c>
      <c r="C4666" t="s">
        <v>87</v>
      </c>
      <c r="D4666" t="str">
        <f>HYPERLINK("http://service.sap.com/sap/support/notes/1596311","1596311")</f>
        <v>1596311</v>
      </c>
      <c r="E4666">
        <v>4</v>
      </c>
      <c r="F4666" t="s">
        <v>5109</v>
      </c>
    </row>
    <row r="4667" spans="1:6" x14ac:dyDescent="0.25">
      <c r="A4667" t="s">
        <v>5200</v>
      </c>
      <c r="B4667" t="s">
        <v>388</v>
      </c>
      <c r="C4667" t="s">
        <v>87</v>
      </c>
      <c r="D4667" t="str">
        <f>HYPERLINK("http://service.sap.com/sap/support/notes/1596744","1596744")</f>
        <v>1596744</v>
      </c>
      <c r="E4667">
        <v>2</v>
      </c>
      <c r="F4667" t="s">
        <v>5110</v>
      </c>
    </row>
    <row r="4668" spans="1:6" x14ac:dyDescent="0.25">
      <c r="A4668" t="s">
        <v>5200</v>
      </c>
      <c r="B4668" t="s">
        <v>388</v>
      </c>
      <c r="C4668" t="s">
        <v>87</v>
      </c>
      <c r="D4668" t="str">
        <f>HYPERLINK("http://service.sap.com/sap/support/notes/1602175","1602175")</f>
        <v>1602175</v>
      </c>
      <c r="E4668">
        <v>2</v>
      </c>
      <c r="F4668" t="s">
        <v>5111</v>
      </c>
    </row>
    <row r="4669" spans="1:6" x14ac:dyDescent="0.25">
      <c r="A4669" t="s">
        <v>5200</v>
      </c>
      <c r="B4669" t="s">
        <v>388</v>
      </c>
      <c r="C4669" t="s">
        <v>87</v>
      </c>
      <c r="D4669" t="str">
        <f>HYPERLINK("http://service.sap.com/sap/support/notes/1607164","1607164")</f>
        <v>1607164</v>
      </c>
      <c r="E4669">
        <v>1</v>
      </c>
      <c r="F4669" t="s">
        <v>5112</v>
      </c>
    </row>
    <row r="4670" spans="1:6" x14ac:dyDescent="0.25">
      <c r="A4670" t="s">
        <v>5200</v>
      </c>
      <c r="B4670" t="s">
        <v>388</v>
      </c>
      <c r="C4670" t="s">
        <v>87</v>
      </c>
      <c r="D4670" t="str">
        <f>HYPERLINK("http://service.sap.com/sap/support/notes/1610141","1610141")</f>
        <v>1610141</v>
      </c>
      <c r="E4670">
        <v>3</v>
      </c>
      <c r="F4670" t="s">
        <v>5113</v>
      </c>
    </row>
    <row r="4671" spans="1:6" x14ac:dyDescent="0.25">
      <c r="A4671" t="s">
        <v>5200</v>
      </c>
      <c r="B4671" t="s">
        <v>388</v>
      </c>
      <c r="C4671" t="s">
        <v>87</v>
      </c>
      <c r="D4671" t="str">
        <f>HYPERLINK("http://service.sap.com/sap/support/notes/1610582","1610582")</f>
        <v>1610582</v>
      </c>
      <c r="E4671">
        <v>1</v>
      </c>
      <c r="F4671" t="s">
        <v>5114</v>
      </c>
    </row>
    <row r="4672" spans="1:6" x14ac:dyDescent="0.25">
      <c r="A4672" t="s">
        <v>5200</v>
      </c>
      <c r="B4672" t="s">
        <v>388</v>
      </c>
      <c r="C4672" t="s">
        <v>87</v>
      </c>
      <c r="D4672" t="str">
        <f>HYPERLINK("http://service.sap.com/sap/support/notes/1612120","1612120")</f>
        <v>1612120</v>
      </c>
      <c r="E4672">
        <v>2</v>
      </c>
      <c r="F4672" t="s">
        <v>5115</v>
      </c>
    </row>
    <row r="4673" spans="1:6" x14ac:dyDescent="0.25">
      <c r="A4673" t="s">
        <v>5200</v>
      </c>
      <c r="B4673" t="s">
        <v>396</v>
      </c>
      <c r="C4673" t="s">
        <v>397</v>
      </c>
      <c r="D4673" t="str">
        <f>HYPERLINK("http://service.sap.com/sap/support/notes/1556370","1556370")</f>
        <v>1556370</v>
      </c>
      <c r="E4673">
        <v>4</v>
      </c>
      <c r="F4673" t="s">
        <v>5116</v>
      </c>
    </row>
    <row r="4674" spans="1:6" x14ac:dyDescent="0.25">
      <c r="A4674" t="s">
        <v>5200</v>
      </c>
      <c r="B4674" t="s">
        <v>396</v>
      </c>
      <c r="C4674" t="s">
        <v>397</v>
      </c>
      <c r="D4674" t="str">
        <f>HYPERLINK("http://service.sap.com/sap/support/notes/1557015","1557015")</f>
        <v>1557015</v>
      </c>
      <c r="E4674">
        <v>6</v>
      </c>
      <c r="F4674" t="s">
        <v>5117</v>
      </c>
    </row>
    <row r="4675" spans="1:6" x14ac:dyDescent="0.25">
      <c r="A4675" t="s">
        <v>5200</v>
      </c>
      <c r="B4675" t="s">
        <v>396</v>
      </c>
      <c r="C4675" t="s">
        <v>397</v>
      </c>
      <c r="D4675" t="str">
        <f>HYPERLINK("http://service.sap.com/sap/support/notes/1593035","1593035")</f>
        <v>1593035</v>
      </c>
      <c r="E4675">
        <v>2</v>
      </c>
      <c r="F4675" t="s">
        <v>5118</v>
      </c>
    </row>
    <row r="4676" spans="1:6" x14ac:dyDescent="0.25">
      <c r="A4676" t="s">
        <v>5200</v>
      </c>
      <c r="B4676" t="s">
        <v>396</v>
      </c>
      <c r="C4676" t="s">
        <v>397</v>
      </c>
      <c r="D4676" t="str">
        <f>HYPERLINK("http://service.sap.com/sap/support/notes/1594632","1594632")</f>
        <v>1594632</v>
      </c>
      <c r="E4676">
        <v>2</v>
      </c>
      <c r="F4676" t="s">
        <v>5119</v>
      </c>
    </row>
    <row r="4677" spans="1:6" x14ac:dyDescent="0.25">
      <c r="A4677" t="s">
        <v>5200</v>
      </c>
      <c r="B4677" t="s">
        <v>396</v>
      </c>
      <c r="C4677" t="s">
        <v>397</v>
      </c>
      <c r="D4677" t="str">
        <f>HYPERLINK("http://service.sap.com/sap/support/notes/1604272","1604272")</f>
        <v>1604272</v>
      </c>
      <c r="E4677">
        <v>2</v>
      </c>
      <c r="F4677" t="s">
        <v>5120</v>
      </c>
    </row>
    <row r="4678" spans="1:6" x14ac:dyDescent="0.25">
      <c r="A4678" t="s">
        <v>5200</v>
      </c>
      <c r="B4678" t="s">
        <v>405</v>
      </c>
      <c r="C4678" t="s">
        <v>90</v>
      </c>
      <c r="D4678" t="str">
        <f>HYPERLINK("http://service.sap.com/sap/support/notes/1558106","1558106")</f>
        <v>1558106</v>
      </c>
      <c r="E4678">
        <v>1</v>
      </c>
      <c r="F4678" t="s">
        <v>5121</v>
      </c>
    </row>
    <row r="4679" spans="1:6" x14ac:dyDescent="0.25">
      <c r="A4679" t="s">
        <v>5200</v>
      </c>
      <c r="B4679" t="s">
        <v>405</v>
      </c>
      <c r="C4679" t="s">
        <v>90</v>
      </c>
      <c r="D4679" t="str">
        <f>HYPERLINK("http://service.sap.com/sap/support/notes/1601142","1601142")</f>
        <v>1601142</v>
      </c>
      <c r="E4679">
        <v>1</v>
      </c>
      <c r="F4679" t="s">
        <v>5122</v>
      </c>
    </row>
    <row r="4680" spans="1:6" x14ac:dyDescent="0.25">
      <c r="A4680" t="s">
        <v>5200</v>
      </c>
      <c r="B4680" t="s">
        <v>405</v>
      </c>
      <c r="C4680" t="s">
        <v>90</v>
      </c>
      <c r="D4680" t="str">
        <f>HYPERLINK("http://service.sap.com/sap/support/notes/1606273","1606273")</f>
        <v>1606273</v>
      </c>
      <c r="E4680">
        <v>1</v>
      </c>
      <c r="F4680" t="s">
        <v>5123</v>
      </c>
    </row>
    <row r="4681" spans="1:6" x14ac:dyDescent="0.25">
      <c r="A4681" t="s">
        <v>5200</v>
      </c>
      <c r="B4681" t="s">
        <v>405</v>
      </c>
      <c r="C4681" t="s">
        <v>90</v>
      </c>
      <c r="D4681" t="str">
        <f>HYPERLINK("http://service.sap.com/sap/support/notes/1607273","1607273")</f>
        <v>1607273</v>
      </c>
      <c r="E4681">
        <v>1</v>
      </c>
      <c r="F4681" t="s">
        <v>5124</v>
      </c>
    </row>
    <row r="4682" spans="1:6" x14ac:dyDescent="0.25">
      <c r="A4682" t="s">
        <v>5200</v>
      </c>
      <c r="B4682" t="s">
        <v>405</v>
      </c>
      <c r="C4682" t="s">
        <v>90</v>
      </c>
      <c r="D4682" t="str">
        <f>HYPERLINK("http://service.sap.com/sap/support/notes/1609568","1609568")</f>
        <v>1609568</v>
      </c>
      <c r="E4682">
        <v>1</v>
      </c>
      <c r="F4682" t="s">
        <v>5125</v>
      </c>
    </row>
    <row r="4683" spans="1:6" x14ac:dyDescent="0.25">
      <c r="A4683" t="s">
        <v>5200</v>
      </c>
      <c r="B4683" t="s">
        <v>405</v>
      </c>
      <c r="C4683" t="s">
        <v>90</v>
      </c>
      <c r="D4683" t="str">
        <f>HYPERLINK("http://service.sap.com/sap/support/notes/1611149","1611149")</f>
        <v>1611149</v>
      </c>
      <c r="E4683">
        <v>1</v>
      </c>
      <c r="F4683" t="s">
        <v>5126</v>
      </c>
    </row>
    <row r="4684" spans="1:6" x14ac:dyDescent="0.25">
      <c r="A4684" t="s">
        <v>5200</v>
      </c>
      <c r="B4684" t="s">
        <v>411</v>
      </c>
      <c r="C4684" t="s">
        <v>412</v>
      </c>
      <c r="D4684" t="str">
        <f>HYPERLINK("http://service.sap.com/sap/support/notes/1584671","1584671")</f>
        <v>1584671</v>
      </c>
      <c r="E4684">
        <v>1</v>
      </c>
      <c r="F4684" t="s">
        <v>5127</v>
      </c>
    </row>
    <row r="4685" spans="1:6" x14ac:dyDescent="0.25">
      <c r="A4685" t="s">
        <v>5200</v>
      </c>
      <c r="B4685" t="s">
        <v>411</v>
      </c>
      <c r="C4685" t="s">
        <v>412</v>
      </c>
      <c r="D4685" t="str">
        <f>HYPERLINK("http://service.sap.com/sap/support/notes/1602442","1602442")</f>
        <v>1602442</v>
      </c>
      <c r="E4685">
        <v>2</v>
      </c>
      <c r="F4685" t="s">
        <v>5128</v>
      </c>
    </row>
    <row r="4686" spans="1:6" x14ac:dyDescent="0.25">
      <c r="A4686" t="s">
        <v>5200</v>
      </c>
      <c r="B4686" t="s">
        <v>415</v>
      </c>
      <c r="C4686" t="s">
        <v>416</v>
      </c>
      <c r="D4686" t="str">
        <f>HYPERLINK("http://service.sap.com/sap/support/notes/1576430","1576430")</f>
        <v>1576430</v>
      </c>
      <c r="E4686">
        <v>2</v>
      </c>
      <c r="F4686" t="s">
        <v>5129</v>
      </c>
    </row>
    <row r="4687" spans="1:6" x14ac:dyDescent="0.25">
      <c r="A4687" t="s">
        <v>5200</v>
      </c>
      <c r="B4687" t="s">
        <v>415</v>
      </c>
      <c r="C4687" t="s">
        <v>416</v>
      </c>
      <c r="D4687" t="str">
        <f>HYPERLINK("http://service.sap.com/sap/support/notes/1597501","1597501")</f>
        <v>1597501</v>
      </c>
      <c r="E4687">
        <v>1</v>
      </c>
      <c r="F4687" t="s">
        <v>5130</v>
      </c>
    </row>
    <row r="4688" spans="1:6" x14ac:dyDescent="0.25">
      <c r="A4688" t="s">
        <v>5200</v>
      </c>
      <c r="B4688" t="s">
        <v>415</v>
      </c>
      <c r="C4688" t="s">
        <v>416</v>
      </c>
      <c r="D4688" t="str">
        <f>HYPERLINK("http://service.sap.com/sap/support/notes/1597905","1597905")</f>
        <v>1597905</v>
      </c>
      <c r="E4688">
        <v>9</v>
      </c>
      <c r="F4688" t="s">
        <v>5131</v>
      </c>
    </row>
    <row r="4689" spans="1:6" x14ac:dyDescent="0.25">
      <c r="A4689" t="s">
        <v>5200</v>
      </c>
      <c r="B4689" t="s">
        <v>415</v>
      </c>
      <c r="C4689" t="s">
        <v>416</v>
      </c>
      <c r="D4689" t="str">
        <f>HYPERLINK("http://service.sap.com/sap/support/notes/1601324","1601324")</f>
        <v>1601324</v>
      </c>
      <c r="E4689">
        <v>1</v>
      </c>
      <c r="F4689" t="s">
        <v>5132</v>
      </c>
    </row>
    <row r="4690" spans="1:6" x14ac:dyDescent="0.25">
      <c r="A4690" t="s">
        <v>5200</v>
      </c>
      <c r="B4690" t="s">
        <v>415</v>
      </c>
      <c r="C4690" t="s">
        <v>416</v>
      </c>
      <c r="D4690" t="str">
        <f>HYPERLINK("http://service.sap.com/sap/support/notes/1602177","1602177")</f>
        <v>1602177</v>
      </c>
      <c r="E4690">
        <v>2</v>
      </c>
      <c r="F4690" t="s">
        <v>5133</v>
      </c>
    </row>
    <row r="4691" spans="1:6" x14ac:dyDescent="0.25">
      <c r="A4691" t="s">
        <v>5200</v>
      </c>
      <c r="B4691" t="s">
        <v>415</v>
      </c>
      <c r="C4691" t="s">
        <v>416</v>
      </c>
      <c r="D4691" t="str">
        <f>HYPERLINK("http://service.sap.com/sap/support/notes/1603243","1603243")</f>
        <v>1603243</v>
      </c>
      <c r="E4691">
        <v>1</v>
      </c>
      <c r="F4691" t="s">
        <v>5134</v>
      </c>
    </row>
    <row r="4692" spans="1:6" x14ac:dyDescent="0.25">
      <c r="A4692" t="s">
        <v>5200</v>
      </c>
      <c r="B4692" t="s">
        <v>415</v>
      </c>
      <c r="C4692" t="s">
        <v>416</v>
      </c>
      <c r="D4692" t="str">
        <f>HYPERLINK("http://service.sap.com/sap/support/notes/1604144","1604144")</f>
        <v>1604144</v>
      </c>
      <c r="E4692">
        <v>2</v>
      </c>
      <c r="F4692" t="s">
        <v>5135</v>
      </c>
    </row>
    <row r="4693" spans="1:6" x14ac:dyDescent="0.25">
      <c r="A4693" t="s">
        <v>5200</v>
      </c>
      <c r="B4693" t="s">
        <v>415</v>
      </c>
      <c r="C4693" t="s">
        <v>416</v>
      </c>
      <c r="D4693" t="str">
        <f>HYPERLINK("http://service.sap.com/sap/support/notes/1605909","1605909")</f>
        <v>1605909</v>
      </c>
      <c r="E4693">
        <v>3</v>
      </c>
      <c r="F4693" t="s">
        <v>5136</v>
      </c>
    </row>
    <row r="4694" spans="1:6" x14ac:dyDescent="0.25">
      <c r="A4694" t="s">
        <v>5200</v>
      </c>
      <c r="B4694" t="s">
        <v>415</v>
      </c>
      <c r="C4694" t="s">
        <v>416</v>
      </c>
      <c r="D4694" t="str">
        <f>HYPERLINK("http://service.sap.com/sap/support/notes/1606829","1606829")</f>
        <v>1606829</v>
      </c>
      <c r="E4694">
        <v>1</v>
      </c>
      <c r="F4694" t="s">
        <v>5137</v>
      </c>
    </row>
    <row r="4695" spans="1:6" x14ac:dyDescent="0.25">
      <c r="A4695" t="s">
        <v>5200</v>
      </c>
      <c r="B4695" t="s">
        <v>415</v>
      </c>
      <c r="C4695" t="s">
        <v>416</v>
      </c>
      <c r="D4695" t="str">
        <f>HYPERLINK("http://service.sap.com/sap/support/notes/1607983","1607983")</f>
        <v>1607983</v>
      </c>
      <c r="E4695">
        <v>1</v>
      </c>
      <c r="F4695" t="s">
        <v>5138</v>
      </c>
    </row>
    <row r="4696" spans="1:6" x14ac:dyDescent="0.25">
      <c r="A4696" t="s">
        <v>5200</v>
      </c>
      <c r="B4696" t="s">
        <v>415</v>
      </c>
      <c r="C4696" t="s">
        <v>416</v>
      </c>
      <c r="D4696" t="str">
        <f>HYPERLINK("http://service.sap.com/sap/support/notes/1610775","1610775")</f>
        <v>1610775</v>
      </c>
      <c r="E4696">
        <v>1</v>
      </c>
      <c r="F4696" t="s">
        <v>5139</v>
      </c>
    </row>
    <row r="4697" spans="1:6" x14ac:dyDescent="0.25">
      <c r="A4697" t="s">
        <v>5200</v>
      </c>
      <c r="B4697" t="s">
        <v>415</v>
      </c>
      <c r="C4697" t="s">
        <v>416</v>
      </c>
      <c r="D4697" t="str">
        <f>HYPERLINK("http://service.sap.com/sap/support/notes/1611141","1611141")</f>
        <v>1611141</v>
      </c>
      <c r="E4697">
        <v>1</v>
      </c>
      <c r="F4697" t="s">
        <v>5140</v>
      </c>
    </row>
    <row r="4698" spans="1:6" x14ac:dyDescent="0.25">
      <c r="A4698" t="s">
        <v>5200</v>
      </c>
      <c r="B4698" t="s">
        <v>425</v>
      </c>
      <c r="C4698" t="s">
        <v>426</v>
      </c>
      <c r="D4698" t="str">
        <f>HYPERLINK("http://service.sap.com/sap/support/notes/1488474","1488474")</f>
        <v>1488474</v>
      </c>
      <c r="E4698">
        <v>1</v>
      </c>
      <c r="F4698" t="s">
        <v>427</v>
      </c>
    </row>
    <row r="4699" spans="1:6" x14ac:dyDescent="0.25">
      <c r="A4699" t="s">
        <v>5200</v>
      </c>
      <c r="B4699" t="s">
        <v>425</v>
      </c>
      <c r="C4699" t="s">
        <v>426</v>
      </c>
      <c r="D4699" t="str">
        <f>HYPERLINK("http://service.sap.com/sap/support/notes/1546946","1546946")</f>
        <v>1546946</v>
      </c>
      <c r="E4699">
        <v>1</v>
      </c>
      <c r="F4699" t="s">
        <v>5141</v>
      </c>
    </row>
    <row r="4700" spans="1:6" x14ac:dyDescent="0.25">
      <c r="A4700" t="s">
        <v>5200</v>
      </c>
      <c r="B4700" t="s">
        <v>425</v>
      </c>
      <c r="C4700" t="s">
        <v>426</v>
      </c>
      <c r="D4700" t="str">
        <f>HYPERLINK("http://service.sap.com/sap/support/notes/1555276","1555276")</f>
        <v>1555276</v>
      </c>
      <c r="E4700">
        <v>1</v>
      </c>
      <c r="F4700" t="s">
        <v>5142</v>
      </c>
    </row>
    <row r="4701" spans="1:6" x14ac:dyDescent="0.25">
      <c r="A4701" t="s">
        <v>5200</v>
      </c>
      <c r="B4701" t="s">
        <v>425</v>
      </c>
      <c r="C4701" t="s">
        <v>426</v>
      </c>
      <c r="D4701" t="str">
        <f>HYPERLINK("http://service.sap.com/sap/support/notes/1601923","1601923")</f>
        <v>1601923</v>
      </c>
      <c r="E4701">
        <v>1</v>
      </c>
      <c r="F4701" t="s">
        <v>5143</v>
      </c>
    </row>
    <row r="4702" spans="1:6" x14ac:dyDescent="0.25">
      <c r="A4702" t="s">
        <v>5200</v>
      </c>
      <c r="B4702" t="s">
        <v>431</v>
      </c>
      <c r="C4702" t="s">
        <v>432</v>
      </c>
      <c r="D4702" t="str">
        <f>HYPERLINK("http://service.sap.com/sap/support/notes/1600926","1600926")</f>
        <v>1600926</v>
      </c>
      <c r="E4702">
        <v>1</v>
      </c>
      <c r="F4702" t="s">
        <v>5144</v>
      </c>
    </row>
    <row r="4703" spans="1:6" x14ac:dyDescent="0.25">
      <c r="A4703" t="s">
        <v>5200</v>
      </c>
      <c r="B4703" t="s">
        <v>431</v>
      </c>
      <c r="C4703" t="s">
        <v>432</v>
      </c>
      <c r="D4703" t="str">
        <f>HYPERLINK("http://service.sap.com/sap/support/notes/1602793","1602793")</f>
        <v>1602793</v>
      </c>
      <c r="E4703">
        <v>1</v>
      </c>
      <c r="F4703" t="s">
        <v>5145</v>
      </c>
    </row>
    <row r="4704" spans="1:6" x14ac:dyDescent="0.25">
      <c r="A4704" t="s">
        <v>5200</v>
      </c>
      <c r="B4704" t="s">
        <v>431</v>
      </c>
      <c r="C4704" t="s">
        <v>432</v>
      </c>
      <c r="D4704" t="str">
        <f>HYPERLINK("http://service.sap.com/sap/support/notes/1605803","1605803")</f>
        <v>1605803</v>
      </c>
      <c r="E4704">
        <v>2</v>
      </c>
      <c r="F4704" t="s">
        <v>5146</v>
      </c>
    </row>
    <row r="4705" spans="1:6" x14ac:dyDescent="0.25">
      <c r="A4705" t="s">
        <v>5200</v>
      </c>
      <c r="B4705" t="s">
        <v>431</v>
      </c>
      <c r="C4705" t="s">
        <v>432</v>
      </c>
      <c r="D4705" t="str">
        <f>HYPERLINK("http://service.sap.com/sap/support/notes/1605922","1605922")</f>
        <v>1605922</v>
      </c>
      <c r="E4705">
        <v>1</v>
      </c>
      <c r="F4705" t="s">
        <v>5147</v>
      </c>
    </row>
    <row r="4706" spans="1:6" x14ac:dyDescent="0.25">
      <c r="A4706" t="s">
        <v>5200</v>
      </c>
      <c r="B4706" t="s">
        <v>440</v>
      </c>
      <c r="C4706" t="s">
        <v>441</v>
      </c>
      <c r="D4706" t="str">
        <f>HYPERLINK("http://service.sap.com/sap/support/notes/1554428","1554428")</f>
        <v>1554428</v>
      </c>
      <c r="E4706">
        <v>5</v>
      </c>
      <c r="F4706" t="s">
        <v>5148</v>
      </c>
    </row>
    <row r="4707" spans="1:6" x14ac:dyDescent="0.25">
      <c r="A4707" t="s">
        <v>5200</v>
      </c>
      <c r="B4707" t="s">
        <v>440</v>
      </c>
      <c r="C4707" t="s">
        <v>441</v>
      </c>
      <c r="D4707" t="str">
        <f>HYPERLINK("http://service.sap.com/sap/support/notes/1591094","1591094")</f>
        <v>1591094</v>
      </c>
      <c r="E4707">
        <v>1</v>
      </c>
      <c r="F4707" t="s">
        <v>3914</v>
      </c>
    </row>
    <row r="4708" spans="1:6" x14ac:dyDescent="0.25">
      <c r="A4708" t="s">
        <v>5200</v>
      </c>
      <c r="B4708" t="s">
        <v>440</v>
      </c>
      <c r="C4708" t="s">
        <v>441</v>
      </c>
      <c r="D4708" t="str">
        <f>HYPERLINK("http://service.sap.com/sap/support/notes/1594587","1594587")</f>
        <v>1594587</v>
      </c>
      <c r="E4708">
        <v>5</v>
      </c>
      <c r="F4708" t="s">
        <v>5149</v>
      </c>
    </row>
    <row r="4709" spans="1:6" x14ac:dyDescent="0.25">
      <c r="A4709" t="s">
        <v>5200</v>
      </c>
      <c r="B4709" t="s">
        <v>440</v>
      </c>
      <c r="C4709" t="s">
        <v>441</v>
      </c>
      <c r="D4709" t="str">
        <f>HYPERLINK("http://service.sap.com/sap/support/notes/1599456","1599456")</f>
        <v>1599456</v>
      </c>
      <c r="E4709">
        <v>2</v>
      </c>
      <c r="F4709" t="s">
        <v>5150</v>
      </c>
    </row>
    <row r="4710" spans="1:6" x14ac:dyDescent="0.25">
      <c r="A4710" t="s">
        <v>5200</v>
      </c>
      <c r="B4710" t="s">
        <v>440</v>
      </c>
      <c r="C4710" t="s">
        <v>441</v>
      </c>
      <c r="D4710" t="str">
        <f>HYPERLINK("http://service.sap.com/sap/support/notes/1600592","1600592")</f>
        <v>1600592</v>
      </c>
      <c r="E4710">
        <v>3</v>
      </c>
      <c r="F4710" t="s">
        <v>5151</v>
      </c>
    </row>
    <row r="4711" spans="1:6" x14ac:dyDescent="0.25">
      <c r="A4711" t="s">
        <v>5200</v>
      </c>
      <c r="B4711" t="s">
        <v>440</v>
      </c>
      <c r="C4711" t="s">
        <v>441</v>
      </c>
      <c r="D4711" t="str">
        <f>HYPERLINK("http://service.sap.com/sap/support/notes/1602595","1602595")</f>
        <v>1602595</v>
      </c>
      <c r="E4711">
        <v>4</v>
      </c>
      <c r="F4711" t="s">
        <v>5152</v>
      </c>
    </row>
    <row r="4712" spans="1:6" x14ac:dyDescent="0.25">
      <c r="A4712" t="s">
        <v>5200</v>
      </c>
      <c r="B4712" t="s">
        <v>440</v>
      </c>
      <c r="C4712" t="s">
        <v>441</v>
      </c>
      <c r="D4712" t="str">
        <f>HYPERLINK("http://service.sap.com/sap/support/notes/1603329","1603329")</f>
        <v>1603329</v>
      </c>
      <c r="E4712">
        <v>1</v>
      </c>
      <c r="F4712" t="s">
        <v>5153</v>
      </c>
    </row>
    <row r="4713" spans="1:6" x14ac:dyDescent="0.25">
      <c r="A4713" t="s">
        <v>5200</v>
      </c>
      <c r="B4713" t="s">
        <v>440</v>
      </c>
      <c r="C4713" t="s">
        <v>441</v>
      </c>
      <c r="D4713" t="str">
        <f>HYPERLINK("http://service.sap.com/sap/support/notes/1610596","1610596")</f>
        <v>1610596</v>
      </c>
      <c r="E4713">
        <v>1</v>
      </c>
      <c r="F4713" t="s">
        <v>5154</v>
      </c>
    </row>
    <row r="4714" spans="1:6" x14ac:dyDescent="0.25">
      <c r="A4714" t="s">
        <v>5200</v>
      </c>
      <c r="B4714" t="s">
        <v>449</v>
      </c>
      <c r="C4714" t="s">
        <v>450</v>
      </c>
      <c r="D4714" t="str">
        <f>HYPERLINK("http://service.sap.com/sap/support/notes/1552955","1552955")</f>
        <v>1552955</v>
      </c>
      <c r="E4714">
        <v>2</v>
      </c>
      <c r="F4714" t="s">
        <v>5155</v>
      </c>
    </row>
    <row r="4715" spans="1:6" x14ac:dyDescent="0.25">
      <c r="A4715" t="s">
        <v>5200</v>
      </c>
      <c r="B4715" t="s">
        <v>449</v>
      </c>
      <c r="C4715" t="s">
        <v>450</v>
      </c>
      <c r="D4715" t="str">
        <f>HYPERLINK("http://service.sap.com/sap/support/notes/1592582","1592582")</f>
        <v>1592582</v>
      </c>
      <c r="E4715">
        <v>2</v>
      </c>
      <c r="F4715" t="s">
        <v>5156</v>
      </c>
    </row>
    <row r="4716" spans="1:6" x14ac:dyDescent="0.25">
      <c r="A4716" t="s">
        <v>5200</v>
      </c>
      <c r="B4716" t="s">
        <v>460</v>
      </c>
      <c r="C4716" t="s">
        <v>461</v>
      </c>
      <c r="D4716" t="str">
        <f>HYPERLINK("http://service.sap.com/sap/support/notes/1543287","1543287")</f>
        <v>1543287</v>
      </c>
      <c r="E4716">
        <v>6</v>
      </c>
      <c r="F4716" t="s">
        <v>2116</v>
      </c>
    </row>
    <row r="4717" spans="1:6" x14ac:dyDescent="0.25">
      <c r="A4717" t="s">
        <v>5200</v>
      </c>
      <c r="B4717" t="s">
        <v>460</v>
      </c>
      <c r="C4717" t="s">
        <v>461</v>
      </c>
      <c r="D4717" t="str">
        <f>HYPERLINK("http://service.sap.com/sap/support/notes/1596498","1596498")</f>
        <v>1596498</v>
      </c>
      <c r="E4717">
        <v>1</v>
      </c>
      <c r="F4717" t="s">
        <v>4747</v>
      </c>
    </row>
    <row r="4718" spans="1:6" x14ac:dyDescent="0.25">
      <c r="A4718" t="s">
        <v>5200</v>
      </c>
      <c r="B4718" t="s">
        <v>460</v>
      </c>
      <c r="C4718" t="s">
        <v>461</v>
      </c>
      <c r="D4718" t="str">
        <f>HYPERLINK("http://service.sap.com/sap/support/notes/1604710","1604710")</f>
        <v>1604710</v>
      </c>
      <c r="E4718">
        <v>1</v>
      </c>
      <c r="F4718" t="s">
        <v>5157</v>
      </c>
    </row>
    <row r="4719" spans="1:6" x14ac:dyDescent="0.25">
      <c r="A4719" t="s">
        <v>5200</v>
      </c>
      <c r="B4719" t="s">
        <v>460</v>
      </c>
      <c r="C4719" t="s">
        <v>461</v>
      </c>
      <c r="D4719" t="str">
        <f>HYPERLINK("http://service.sap.com/sap/support/notes/1610820","1610820")</f>
        <v>1610820</v>
      </c>
      <c r="E4719">
        <v>1</v>
      </c>
      <c r="F4719" t="s">
        <v>5158</v>
      </c>
    </row>
    <row r="4720" spans="1:6" x14ac:dyDescent="0.25">
      <c r="A4720" t="s">
        <v>5200</v>
      </c>
      <c r="B4720" t="s">
        <v>460</v>
      </c>
      <c r="C4720" t="s">
        <v>461</v>
      </c>
      <c r="D4720" t="str">
        <f>HYPERLINK("http://service.sap.com/sap/support/notes/1612886","1612886")</f>
        <v>1612886</v>
      </c>
      <c r="E4720">
        <v>1</v>
      </c>
      <c r="F4720" t="s">
        <v>5159</v>
      </c>
    </row>
    <row r="4721" spans="1:6" x14ac:dyDescent="0.25">
      <c r="A4721" t="s">
        <v>5200</v>
      </c>
      <c r="B4721" t="s">
        <v>472</v>
      </c>
      <c r="C4721" t="s">
        <v>473</v>
      </c>
      <c r="D4721" t="str">
        <f>HYPERLINK("http://service.sap.com/sap/support/notes/1576750","1576750")</f>
        <v>1576750</v>
      </c>
      <c r="E4721">
        <v>1</v>
      </c>
      <c r="F4721" t="s">
        <v>5160</v>
      </c>
    </row>
    <row r="4722" spans="1:6" x14ac:dyDescent="0.25">
      <c r="A4722" t="s">
        <v>5200</v>
      </c>
      <c r="B4722" t="s">
        <v>472</v>
      </c>
      <c r="C4722" t="s">
        <v>473</v>
      </c>
      <c r="D4722" t="str">
        <f>HYPERLINK("http://service.sap.com/sap/support/notes/1595810","1595810")</f>
        <v>1595810</v>
      </c>
      <c r="E4722">
        <v>2</v>
      </c>
      <c r="F4722" t="s">
        <v>5161</v>
      </c>
    </row>
    <row r="4723" spans="1:6" x14ac:dyDescent="0.25">
      <c r="A4723" t="s">
        <v>5200</v>
      </c>
      <c r="B4723" t="s">
        <v>472</v>
      </c>
      <c r="C4723" t="s">
        <v>473</v>
      </c>
      <c r="D4723" t="str">
        <f>HYPERLINK("http://service.sap.com/sap/support/notes/1605386","1605386")</f>
        <v>1605386</v>
      </c>
      <c r="E4723">
        <v>1</v>
      </c>
      <c r="F4723" t="s">
        <v>5162</v>
      </c>
    </row>
    <row r="4724" spans="1:6" x14ac:dyDescent="0.25">
      <c r="A4724" t="s">
        <v>5200</v>
      </c>
      <c r="B4724" t="s">
        <v>472</v>
      </c>
      <c r="C4724" t="s">
        <v>473</v>
      </c>
      <c r="D4724" t="str">
        <f>HYPERLINK("http://service.sap.com/sap/support/notes/1607179","1607179")</f>
        <v>1607179</v>
      </c>
      <c r="E4724">
        <v>1</v>
      </c>
      <c r="F4724" t="s">
        <v>5163</v>
      </c>
    </row>
    <row r="4725" spans="1:6" x14ac:dyDescent="0.25">
      <c r="A4725" t="s">
        <v>5200</v>
      </c>
      <c r="B4725" t="s">
        <v>479</v>
      </c>
      <c r="C4725" t="s">
        <v>480</v>
      </c>
      <c r="D4725" t="str">
        <f>HYPERLINK("http://service.sap.com/sap/support/notes/1571546","1571546")</f>
        <v>1571546</v>
      </c>
      <c r="E4725">
        <v>1</v>
      </c>
      <c r="F4725" t="s">
        <v>5164</v>
      </c>
    </row>
    <row r="4726" spans="1:6" x14ac:dyDescent="0.25">
      <c r="A4726" t="s">
        <v>5200</v>
      </c>
      <c r="B4726" t="s">
        <v>479</v>
      </c>
      <c r="C4726" t="s">
        <v>480</v>
      </c>
      <c r="D4726" t="str">
        <f>HYPERLINK("http://service.sap.com/sap/support/notes/1603301","1603301")</f>
        <v>1603301</v>
      </c>
      <c r="E4726">
        <v>3</v>
      </c>
      <c r="F4726" t="s">
        <v>5165</v>
      </c>
    </row>
    <row r="4727" spans="1:6" x14ac:dyDescent="0.25">
      <c r="A4727" t="s">
        <v>5200</v>
      </c>
      <c r="B4727" t="s">
        <v>479</v>
      </c>
      <c r="C4727" t="s">
        <v>480</v>
      </c>
      <c r="D4727" t="str">
        <f>HYPERLINK("http://service.sap.com/sap/support/notes/1603493","1603493")</f>
        <v>1603493</v>
      </c>
      <c r="E4727">
        <v>1</v>
      </c>
      <c r="F4727" t="s">
        <v>5166</v>
      </c>
    </row>
    <row r="4728" spans="1:6" x14ac:dyDescent="0.25">
      <c r="A4728" t="s">
        <v>5200</v>
      </c>
      <c r="B4728" t="s">
        <v>479</v>
      </c>
      <c r="C4728" t="s">
        <v>480</v>
      </c>
      <c r="D4728" t="str">
        <f>HYPERLINK("http://service.sap.com/sap/support/notes/1606873","1606873")</f>
        <v>1606873</v>
      </c>
      <c r="E4728">
        <v>1</v>
      </c>
      <c r="F4728" t="s">
        <v>5167</v>
      </c>
    </row>
    <row r="4729" spans="1:6" x14ac:dyDescent="0.25">
      <c r="A4729" t="s">
        <v>5200</v>
      </c>
      <c r="B4729" t="s">
        <v>479</v>
      </c>
      <c r="C4729" t="s">
        <v>480</v>
      </c>
      <c r="D4729" t="str">
        <f>HYPERLINK("http://service.sap.com/sap/support/notes/1608254","1608254")</f>
        <v>1608254</v>
      </c>
      <c r="E4729">
        <v>1</v>
      </c>
      <c r="F4729" t="s">
        <v>5168</v>
      </c>
    </row>
    <row r="4730" spans="1:6" x14ac:dyDescent="0.25">
      <c r="A4730" t="s">
        <v>5200</v>
      </c>
      <c r="B4730" t="s">
        <v>479</v>
      </c>
      <c r="C4730" t="s">
        <v>480</v>
      </c>
      <c r="D4730" t="str">
        <f>HYPERLINK("http://service.sap.com/sap/support/notes/1610234","1610234")</f>
        <v>1610234</v>
      </c>
      <c r="E4730">
        <v>1</v>
      </c>
      <c r="F4730" t="s">
        <v>5169</v>
      </c>
    </row>
    <row r="4731" spans="1:6" x14ac:dyDescent="0.25">
      <c r="A4731" t="s">
        <v>5200</v>
      </c>
      <c r="B4731" t="s">
        <v>479</v>
      </c>
      <c r="C4731" t="s">
        <v>480</v>
      </c>
      <c r="D4731" t="str">
        <f>HYPERLINK("http://service.sap.com/sap/support/notes/1611590","1611590")</f>
        <v>1611590</v>
      </c>
      <c r="E4731">
        <v>1</v>
      </c>
      <c r="F4731" t="s">
        <v>5170</v>
      </c>
    </row>
    <row r="4732" spans="1:6" x14ac:dyDescent="0.25">
      <c r="A4732" t="s">
        <v>5200</v>
      </c>
      <c r="B4732" t="s">
        <v>489</v>
      </c>
      <c r="C4732" t="s">
        <v>104</v>
      </c>
      <c r="D4732" t="str">
        <f>HYPERLINK("http://service.sap.com/sap/support/notes/1570577","1570577")</f>
        <v>1570577</v>
      </c>
      <c r="E4732">
        <v>4</v>
      </c>
      <c r="F4732" t="s">
        <v>5171</v>
      </c>
    </row>
    <row r="4733" spans="1:6" x14ac:dyDescent="0.25">
      <c r="A4733" t="s">
        <v>5200</v>
      </c>
      <c r="B4733" t="s">
        <v>489</v>
      </c>
      <c r="C4733" t="s">
        <v>104</v>
      </c>
      <c r="D4733" t="str">
        <f>HYPERLINK("http://service.sap.com/sap/support/notes/1595892","1595892")</f>
        <v>1595892</v>
      </c>
      <c r="E4733">
        <v>1</v>
      </c>
      <c r="F4733" t="s">
        <v>4765</v>
      </c>
    </row>
    <row r="4734" spans="1:6" x14ac:dyDescent="0.25">
      <c r="A4734" t="s">
        <v>5200</v>
      </c>
      <c r="B4734" t="s">
        <v>489</v>
      </c>
      <c r="C4734" t="s">
        <v>104</v>
      </c>
      <c r="D4734" t="str">
        <f>HYPERLINK("http://service.sap.com/sap/support/notes/1598980","1598980")</f>
        <v>1598980</v>
      </c>
      <c r="E4734">
        <v>1</v>
      </c>
      <c r="F4734" t="s">
        <v>5172</v>
      </c>
    </row>
    <row r="4735" spans="1:6" x14ac:dyDescent="0.25">
      <c r="A4735" t="s">
        <v>5200</v>
      </c>
      <c r="B4735" t="s">
        <v>489</v>
      </c>
      <c r="C4735" t="s">
        <v>104</v>
      </c>
      <c r="D4735" t="str">
        <f>HYPERLINK("http://service.sap.com/sap/support/notes/1602112","1602112")</f>
        <v>1602112</v>
      </c>
      <c r="E4735">
        <v>1</v>
      </c>
      <c r="F4735" t="s">
        <v>5173</v>
      </c>
    </row>
    <row r="4736" spans="1:6" x14ac:dyDescent="0.25">
      <c r="A4736" t="s">
        <v>5200</v>
      </c>
      <c r="B4736" t="s">
        <v>489</v>
      </c>
      <c r="C4736" t="s">
        <v>104</v>
      </c>
      <c r="D4736" t="str">
        <f>HYPERLINK("http://service.sap.com/sap/support/notes/1604815","1604815")</f>
        <v>1604815</v>
      </c>
      <c r="E4736">
        <v>1</v>
      </c>
      <c r="F4736" t="s">
        <v>5174</v>
      </c>
    </row>
    <row r="4737" spans="1:6" x14ac:dyDescent="0.25">
      <c r="A4737" t="s">
        <v>5200</v>
      </c>
      <c r="B4737" t="s">
        <v>495</v>
      </c>
      <c r="C4737" t="s">
        <v>496</v>
      </c>
      <c r="D4737" t="str">
        <f>HYPERLINK("http://service.sap.com/sap/support/notes/1598506","1598506")</f>
        <v>1598506</v>
      </c>
      <c r="E4737">
        <v>1</v>
      </c>
      <c r="F4737" t="s">
        <v>5175</v>
      </c>
    </row>
    <row r="4738" spans="1:6" x14ac:dyDescent="0.25">
      <c r="A4738" t="s">
        <v>5200</v>
      </c>
      <c r="B4738" t="s">
        <v>495</v>
      </c>
      <c r="C4738" t="s">
        <v>496</v>
      </c>
      <c r="D4738" t="str">
        <f>HYPERLINK("http://service.sap.com/sap/support/notes/1610679","1610679")</f>
        <v>1610679</v>
      </c>
      <c r="E4738">
        <v>1</v>
      </c>
      <c r="F4738" t="s">
        <v>5176</v>
      </c>
    </row>
    <row r="4739" spans="1:6" x14ac:dyDescent="0.25">
      <c r="A4739" t="s">
        <v>5200</v>
      </c>
      <c r="B4739" t="s">
        <v>499</v>
      </c>
      <c r="C4739" t="s">
        <v>108</v>
      </c>
    </row>
    <row r="4740" spans="1:6" x14ac:dyDescent="0.25">
      <c r="A4740" t="s">
        <v>5200</v>
      </c>
      <c r="B4740" t="s">
        <v>4181</v>
      </c>
      <c r="C4740" t="s">
        <v>4182</v>
      </c>
      <c r="D4740" t="str">
        <f>HYPERLINK("http://service.sap.com/sap/support/notes/1600187","1600187")</f>
        <v>1600187</v>
      </c>
      <c r="E4740">
        <v>2</v>
      </c>
      <c r="F4740" t="s">
        <v>4183</v>
      </c>
    </row>
    <row r="4741" spans="1:6" x14ac:dyDescent="0.25">
      <c r="A4741" t="s">
        <v>5200</v>
      </c>
      <c r="B4741" t="s">
        <v>505</v>
      </c>
      <c r="C4741" t="s">
        <v>299</v>
      </c>
      <c r="D4741" t="str">
        <f>HYPERLINK("http://service.sap.com/sap/support/notes/1550765","1550765")</f>
        <v>1550765</v>
      </c>
      <c r="E4741">
        <v>5</v>
      </c>
      <c r="F4741" t="s">
        <v>5177</v>
      </c>
    </row>
    <row r="4742" spans="1:6" x14ac:dyDescent="0.25">
      <c r="A4742" t="s">
        <v>5200</v>
      </c>
      <c r="B4742" t="s">
        <v>505</v>
      </c>
      <c r="C4742" t="s">
        <v>299</v>
      </c>
      <c r="D4742" t="str">
        <f>HYPERLINK("http://service.sap.com/sap/support/notes/1604316","1604316")</f>
        <v>1604316</v>
      </c>
      <c r="E4742">
        <v>3</v>
      </c>
      <c r="F4742" t="s">
        <v>5178</v>
      </c>
    </row>
    <row r="4743" spans="1:6" x14ac:dyDescent="0.25">
      <c r="A4743" t="s">
        <v>5200</v>
      </c>
      <c r="B4743" t="s">
        <v>505</v>
      </c>
      <c r="C4743" t="s">
        <v>299</v>
      </c>
      <c r="D4743" t="str">
        <f>HYPERLINK("http://service.sap.com/sap/support/notes/1605754","1605754")</f>
        <v>1605754</v>
      </c>
      <c r="E4743">
        <v>4</v>
      </c>
      <c r="F4743" t="s">
        <v>4308</v>
      </c>
    </row>
    <row r="4744" spans="1:6" x14ac:dyDescent="0.25">
      <c r="A4744" t="s">
        <v>5200</v>
      </c>
      <c r="B4744" t="s">
        <v>508</v>
      </c>
      <c r="C4744" t="s">
        <v>509</v>
      </c>
      <c r="D4744" t="str">
        <f>HYPERLINK("http://service.sap.com/sap/support/notes/1583948","1583948")</f>
        <v>1583948</v>
      </c>
      <c r="E4744">
        <v>2</v>
      </c>
      <c r="F4744" t="s">
        <v>5179</v>
      </c>
    </row>
    <row r="4745" spans="1:6" x14ac:dyDescent="0.25">
      <c r="A4745" t="s">
        <v>5200</v>
      </c>
      <c r="B4745" t="s">
        <v>508</v>
      </c>
      <c r="C4745" t="s">
        <v>509</v>
      </c>
      <c r="D4745" t="str">
        <f>HYPERLINK("http://service.sap.com/sap/support/notes/1585502","1585502")</f>
        <v>1585502</v>
      </c>
      <c r="E4745">
        <v>3</v>
      </c>
      <c r="F4745" t="s">
        <v>5180</v>
      </c>
    </row>
    <row r="4746" spans="1:6" x14ac:dyDescent="0.25">
      <c r="A4746" t="s">
        <v>5200</v>
      </c>
      <c r="B4746" t="s">
        <v>508</v>
      </c>
      <c r="C4746" t="s">
        <v>509</v>
      </c>
      <c r="D4746" t="str">
        <f>HYPERLINK("http://service.sap.com/sap/support/notes/1586564","1586564")</f>
        <v>1586564</v>
      </c>
      <c r="E4746">
        <v>3</v>
      </c>
      <c r="F4746" t="s">
        <v>5181</v>
      </c>
    </row>
    <row r="4747" spans="1:6" x14ac:dyDescent="0.25">
      <c r="A4747" t="s">
        <v>5200</v>
      </c>
      <c r="B4747" t="s">
        <v>508</v>
      </c>
      <c r="C4747" t="s">
        <v>509</v>
      </c>
      <c r="D4747" t="str">
        <f>HYPERLINK("http://service.sap.com/sap/support/notes/1588892","1588892")</f>
        <v>1588892</v>
      </c>
      <c r="E4747">
        <v>3</v>
      </c>
      <c r="F4747" t="s">
        <v>5182</v>
      </c>
    </row>
    <row r="4748" spans="1:6" x14ac:dyDescent="0.25">
      <c r="A4748" t="s">
        <v>5200</v>
      </c>
      <c r="B4748" t="s">
        <v>508</v>
      </c>
      <c r="C4748" t="s">
        <v>509</v>
      </c>
      <c r="D4748" t="str">
        <f>HYPERLINK("http://service.sap.com/sap/support/notes/1590890","1590890")</f>
        <v>1590890</v>
      </c>
      <c r="E4748">
        <v>1</v>
      </c>
      <c r="F4748" t="s">
        <v>5183</v>
      </c>
    </row>
    <row r="4749" spans="1:6" x14ac:dyDescent="0.25">
      <c r="A4749" t="s">
        <v>5200</v>
      </c>
      <c r="B4749" t="s">
        <v>508</v>
      </c>
      <c r="C4749" t="s">
        <v>509</v>
      </c>
      <c r="D4749" t="str">
        <f>HYPERLINK("http://service.sap.com/sap/support/notes/1611475","1611475")</f>
        <v>1611475</v>
      </c>
      <c r="E4749">
        <v>2</v>
      </c>
      <c r="F4749" t="s">
        <v>5184</v>
      </c>
    </row>
    <row r="4750" spans="1:6" x14ac:dyDescent="0.25">
      <c r="A4750" t="s">
        <v>5200</v>
      </c>
      <c r="B4750" t="s">
        <v>525</v>
      </c>
      <c r="C4750" t="s">
        <v>526</v>
      </c>
      <c r="D4750" t="str">
        <f>HYPERLINK("http://service.sap.com/sap/support/notes/1594617","1594617")</f>
        <v>1594617</v>
      </c>
      <c r="E4750">
        <v>4</v>
      </c>
      <c r="F4750" t="s">
        <v>5185</v>
      </c>
    </row>
    <row r="4751" spans="1:6" x14ac:dyDescent="0.25">
      <c r="A4751" t="s">
        <v>5200</v>
      </c>
      <c r="B4751" t="s">
        <v>525</v>
      </c>
      <c r="C4751" t="s">
        <v>526</v>
      </c>
      <c r="D4751" t="str">
        <f>HYPERLINK("http://service.sap.com/sap/support/notes/1599678","1599678")</f>
        <v>1599678</v>
      </c>
      <c r="E4751">
        <v>2</v>
      </c>
      <c r="F4751" t="s">
        <v>5186</v>
      </c>
    </row>
    <row r="4752" spans="1:6" x14ac:dyDescent="0.25">
      <c r="A4752" t="s">
        <v>5200</v>
      </c>
      <c r="B4752" t="s">
        <v>528</v>
      </c>
      <c r="C4752" t="s">
        <v>529</v>
      </c>
      <c r="D4752" t="str">
        <f>HYPERLINK("http://service.sap.com/sap/support/notes/1530078","1530078")</f>
        <v>1530078</v>
      </c>
      <c r="E4752">
        <v>3</v>
      </c>
      <c r="F4752" t="s">
        <v>5187</v>
      </c>
    </row>
    <row r="4753" spans="1:6" x14ac:dyDescent="0.25">
      <c r="A4753" t="s">
        <v>5200</v>
      </c>
      <c r="B4753" t="s">
        <v>534</v>
      </c>
      <c r="C4753" t="s">
        <v>535</v>
      </c>
      <c r="D4753" t="str">
        <f>HYPERLINK("http://service.sap.com/sap/support/notes/1175233","1175233")</f>
        <v>1175233</v>
      </c>
      <c r="E4753">
        <v>1</v>
      </c>
      <c r="F4753" t="s">
        <v>2939</v>
      </c>
    </row>
    <row r="4754" spans="1:6" x14ac:dyDescent="0.25">
      <c r="A4754" t="s">
        <v>5200</v>
      </c>
      <c r="B4754" t="s">
        <v>534</v>
      </c>
      <c r="C4754" t="s">
        <v>535</v>
      </c>
      <c r="D4754" t="str">
        <f>HYPERLINK("http://service.sap.com/sap/support/notes/1600742","1600742")</f>
        <v>1600742</v>
      </c>
      <c r="E4754">
        <v>1</v>
      </c>
      <c r="F4754" t="s">
        <v>5188</v>
      </c>
    </row>
    <row r="4755" spans="1:6" x14ac:dyDescent="0.25">
      <c r="A4755" t="s">
        <v>5200</v>
      </c>
      <c r="B4755" t="s">
        <v>534</v>
      </c>
      <c r="C4755" t="s">
        <v>535</v>
      </c>
      <c r="D4755" t="str">
        <f>HYPERLINK("http://service.sap.com/sap/support/notes/1604937","1604937")</f>
        <v>1604937</v>
      </c>
      <c r="E4755">
        <v>1</v>
      </c>
      <c r="F4755" t="s">
        <v>5189</v>
      </c>
    </row>
    <row r="4756" spans="1:6" x14ac:dyDescent="0.25">
      <c r="A4756" t="s">
        <v>5200</v>
      </c>
      <c r="B4756" t="s">
        <v>534</v>
      </c>
      <c r="C4756" t="s">
        <v>535</v>
      </c>
      <c r="D4756" t="str">
        <f>HYPERLINK("http://service.sap.com/sap/support/notes/1606715","1606715")</f>
        <v>1606715</v>
      </c>
      <c r="E4756">
        <v>1</v>
      </c>
      <c r="F4756" t="s">
        <v>5190</v>
      </c>
    </row>
    <row r="4757" spans="1:6" x14ac:dyDescent="0.25">
      <c r="A4757" t="s">
        <v>5200</v>
      </c>
      <c r="B4757" t="s">
        <v>534</v>
      </c>
      <c r="C4757" t="s">
        <v>535</v>
      </c>
      <c r="D4757" t="str">
        <f>HYPERLINK("http://service.sap.com/sap/support/notes/1608728","1608728")</f>
        <v>1608728</v>
      </c>
      <c r="E4757">
        <v>1</v>
      </c>
      <c r="F4757" t="s">
        <v>5191</v>
      </c>
    </row>
    <row r="4758" spans="1:6" x14ac:dyDescent="0.25">
      <c r="A4758" t="s">
        <v>5200</v>
      </c>
      <c r="B4758" t="s">
        <v>534</v>
      </c>
      <c r="C4758" t="s">
        <v>535</v>
      </c>
      <c r="D4758" t="str">
        <f>HYPERLINK("http://service.sap.com/sap/support/notes/1612270","1612270")</f>
        <v>1612270</v>
      </c>
      <c r="E4758">
        <v>1</v>
      </c>
      <c r="F4758" t="s">
        <v>5192</v>
      </c>
    </row>
    <row r="4759" spans="1:6" x14ac:dyDescent="0.25">
      <c r="A4759" t="s">
        <v>5200</v>
      </c>
      <c r="B4759" t="s">
        <v>543</v>
      </c>
      <c r="C4759" t="s">
        <v>544</v>
      </c>
    </row>
    <row r="4760" spans="1:6" x14ac:dyDescent="0.25">
      <c r="A4760" t="s">
        <v>5200</v>
      </c>
      <c r="B4760" t="s">
        <v>2560</v>
      </c>
      <c r="C4760" t="s">
        <v>2561</v>
      </c>
    </row>
    <row r="4761" spans="1:6" x14ac:dyDescent="0.25">
      <c r="A4761" t="s">
        <v>5200</v>
      </c>
      <c r="B4761" t="s">
        <v>5193</v>
      </c>
      <c r="C4761" t="s">
        <v>5194</v>
      </c>
      <c r="D4761" t="str">
        <f>HYPERLINK("http://service.sap.com/sap/support/notes/1609396","1609396")</f>
        <v>1609396</v>
      </c>
      <c r="E4761">
        <v>2</v>
      </c>
      <c r="F4761" t="s">
        <v>5195</v>
      </c>
    </row>
    <row r="4762" spans="1:6" x14ac:dyDescent="0.25">
      <c r="A4762" t="s">
        <v>5200</v>
      </c>
      <c r="B4762" t="s">
        <v>5193</v>
      </c>
      <c r="C4762" t="s">
        <v>5194</v>
      </c>
      <c r="D4762" t="str">
        <f>HYPERLINK("http://service.sap.com/sap/support/notes/1611778","1611778")</f>
        <v>1611778</v>
      </c>
      <c r="E4762">
        <v>3</v>
      </c>
      <c r="F4762" t="s">
        <v>5196</v>
      </c>
    </row>
    <row r="4763" spans="1:6" x14ac:dyDescent="0.25">
      <c r="A4763" t="s">
        <v>5200</v>
      </c>
      <c r="B4763" t="s">
        <v>5197</v>
      </c>
      <c r="C4763" t="s">
        <v>5198</v>
      </c>
      <c r="D4763" t="str">
        <f>HYPERLINK("http://service.sap.com/sap/support/notes/1612208","1612208")</f>
        <v>1612208</v>
      </c>
      <c r="E4763">
        <v>2</v>
      </c>
      <c r="F4763" t="s">
        <v>5199</v>
      </c>
    </row>
    <row r="4764" spans="1:6" x14ac:dyDescent="0.25">
      <c r="A4764" t="s">
        <v>5510</v>
      </c>
      <c r="B4764" t="s">
        <v>20</v>
      </c>
      <c r="C4764" t="s">
        <v>21</v>
      </c>
    </row>
    <row r="4765" spans="1:6" x14ac:dyDescent="0.25">
      <c r="A4765" t="s">
        <v>5510</v>
      </c>
      <c r="B4765" t="s">
        <v>22</v>
      </c>
      <c r="C4765" t="s">
        <v>23</v>
      </c>
      <c r="D4765" t="str">
        <f>HYPERLINK("http://service.sap.com/sap/support/notes/1583529","1583529")</f>
        <v>1583529</v>
      </c>
      <c r="E4765">
        <v>8</v>
      </c>
      <c r="F4765" t="s">
        <v>3384</v>
      </c>
    </row>
    <row r="4766" spans="1:6" x14ac:dyDescent="0.25">
      <c r="A4766" t="s">
        <v>5510</v>
      </c>
      <c r="B4766" t="s">
        <v>22</v>
      </c>
      <c r="C4766" t="s">
        <v>23</v>
      </c>
      <c r="D4766" t="str">
        <f>HYPERLINK("http://service.sap.com/sap/support/notes/1621318","1621318")</f>
        <v>1621318</v>
      </c>
      <c r="E4766">
        <v>1</v>
      </c>
      <c r="F4766" t="s">
        <v>5201</v>
      </c>
    </row>
    <row r="4767" spans="1:6" x14ac:dyDescent="0.25">
      <c r="A4767" t="s">
        <v>5510</v>
      </c>
      <c r="B4767" t="s">
        <v>27</v>
      </c>
      <c r="C4767" t="s">
        <v>13</v>
      </c>
    </row>
    <row r="4768" spans="1:6" x14ac:dyDescent="0.25">
      <c r="A4768" t="s">
        <v>5510</v>
      </c>
      <c r="B4768" t="s">
        <v>38</v>
      </c>
      <c r="C4768" t="s">
        <v>39</v>
      </c>
    </row>
    <row r="4769" spans="1:6" x14ac:dyDescent="0.25">
      <c r="A4769" t="s">
        <v>5510</v>
      </c>
      <c r="B4769" t="s">
        <v>665</v>
      </c>
      <c r="C4769" t="s">
        <v>134</v>
      </c>
      <c r="D4769" t="str">
        <f>HYPERLINK("http://service.sap.com/sap/support/notes/1041427","1041427")</f>
        <v>1041427</v>
      </c>
      <c r="E4769">
        <v>1</v>
      </c>
      <c r="F4769" t="s">
        <v>666</v>
      </c>
    </row>
    <row r="4770" spans="1:6" x14ac:dyDescent="0.25">
      <c r="A4770" t="s">
        <v>5510</v>
      </c>
      <c r="B4770" t="s">
        <v>40</v>
      </c>
      <c r="C4770" t="s">
        <v>41</v>
      </c>
      <c r="D4770" t="str">
        <f>HYPERLINK("http://service.sap.com/sap/support/notes/1613907","1613907")</f>
        <v>1613907</v>
      </c>
      <c r="E4770">
        <v>3</v>
      </c>
      <c r="F4770" t="s">
        <v>5202</v>
      </c>
    </row>
    <row r="4771" spans="1:6" x14ac:dyDescent="0.25">
      <c r="A4771" t="s">
        <v>5510</v>
      </c>
      <c r="B4771" t="s">
        <v>40</v>
      </c>
      <c r="C4771" t="s">
        <v>41</v>
      </c>
      <c r="D4771" t="str">
        <f>HYPERLINK("http://service.sap.com/sap/support/notes/1615038","1615038")</f>
        <v>1615038</v>
      </c>
      <c r="E4771">
        <v>2</v>
      </c>
      <c r="F4771" t="s">
        <v>5203</v>
      </c>
    </row>
    <row r="4772" spans="1:6" x14ac:dyDescent="0.25">
      <c r="A4772" t="s">
        <v>5510</v>
      </c>
      <c r="B4772" t="s">
        <v>40</v>
      </c>
      <c r="C4772" t="s">
        <v>41</v>
      </c>
      <c r="D4772" t="str">
        <f>HYPERLINK("http://service.sap.com/sap/support/notes/1618500","1618500")</f>
        <v>1618500</v>
      </c>
      <c r="E4772">
        <v>3</v>
      </c>
      <c r="F4772" t="s">
        <v>5204</v>
      </c>
    </row>
    <row r="4773" spans="1:6" x14ac:dyDescent="0.25">
      <c r="A4773" t="s">
        <v>5510</v>
      </c>
      <c r="B4773" t="s">
        <v>44</v>
      </c>
      <c r="C4773" t="s">
        <v>45</v>
      </c>
      <c r="D4773" t="str">
        <f>HYPERLINK("http://service.sap.com/sap/support/notes/1616811","1616811")</f>
        <v>1616811</v>
      </c>
      <c r="E4773">
        <v>3</v>
      </c>
      <c r="F4773" t="s">
        <v>5205</v>
      </c>
    </row>
    <row r="4774" spans="1:6" x14ac:dyDescent="0.25">
      <c r="A4774" t="s">
        <v>5510</v>
      </c>
      <c r="B4774" t="s">
        <v>48</v>
      </c>
      <c r="C4774" t="s">
        <v>49</v>
      </c>
      <c r="D4774" t="str">
        <f>HYPERLINK("http://service.sap.com/sap/support/notes/1621197","1621197")</f>
        <v>1621197</v>
      </c>
      <c r="E4774">
        <v>1</v>
      </c>
      <c r="F4774" t="s">
        <v>5206</v>
      </c>
    </row>
    <row r="4775" spans="1:6" x14ac:dyDescent="0.25">
      <c r="A4775" t="s">
        <v>5510</v>
      </c>
      <c r="B4775" t="s">
        <v>51</v>
      </c>
      <c r="C4775" t="s">
        <v>52</v>
      </c>
      <c r="D4775" t="str">
        <f>HYPERLINK("http://service.sap.com/sap/support/notes/1615146","1615146")</f>
        <v>1615146</v>
      </c>
      <c r="E4775">
        <v>5</v>
      </c>
      <c r="F4775" t="s">
        <v>5207</v>
      </c>
    </row>
    <row r="4776" spans="1:6" x14ac:dyDescent="0.25">
      <c r="A4776" t="s">
        <v>5510</v>
      </c>
      <c r="B4776" t="s">
        <v>51</v>
      </c>
      <c r="C4776" t="s">
        <v>52</v>
      </c>
      <c r="D4776" t="str">
        <f>HYPERLINK("http://service.sap.com/sap/support/notes/1622661","1622661")</f>
        <v>1622661</v>
      </c>
      <c r="E4776">
        <v>1</v>
      </c>
      <c r="F4776" t="s">
        <v>5208</v>
      </c>
    </row>
    <row r="4777" spans="1:6" x14ac:dyDescent="0.25">
      <c r="A4777" t="s">
        <v>5510</v>
      </c>
      <c r="B4777" t="s">
        <v>57</v>
      </c>
      <c r="C4777" t="s">
        <v>58</v>
      </c>
      <c r="D4777" t="str">
        <f>HYPERLINK("http://service.sap.com/sap/support/notes/700094","700094")</f>
        <v>700094</v>
      </c>
      <c r="E4777">
        <v>8</v>
      </c>
      <c r="F4777" t="s">
        <v>677</v>
      </c>
    </row>
    <row r="4778" spans="1:6" x14ac:dyDescent="0.25">
      <c r="A4778" t="s">
        <v>5510</v>
      </c>
      <c r="B4778" t="s">
        <v>59</v>
      </c>
      <c r="C4778" t="s">
        <v>60</v>
      </c>
      <c r="D4778" t="str">
        <f>HYPERLINK("http://service.sap.com/sap/support/notes/1590238","1590238")</f>
        <v>1590238</v>
      </c>
      <c r="E4778">
        <v>1</v>
      </c>
      <c r="F4778" t="s">
        <v>5209</v>
      </c>
    </row>
    <row r="4779" spans="1:6" x14ac:dyDescent="0.25">
      <c r="A4779" t="s">
        <v>5510</v>
      </c>
      <c r="B4779" t="s">
        <v>59</v>
      </c>
      <c r="C4779" t="s">
        <v>60</v>
      </c>
      <c r="D4779" t="str">
        <f>HYPERLINK("http://service.sap.com/sap/support/notes/1619213","1619213")</f>
        <v>1619213</v>
      </c>
      <c r="E4779">
        <v>1</v>
      </c>
      <c r="F4779" t="s">
        <v>5210</v>
      </c>
    </row>
    <row r="4780" spans="1:6" x14ac:dyDescent="0.25">
      <c r="A4780" t="s">
        <v>5510</v>
      </c>
      <c r="B4780" t="s">
        <v>59</v>
      </c>
      <c r="C4780" t="s">
        <v>60</v>
      </c>
      <c r="D4780" t="str">
        <f>HYPERLINK("http://service.sap.com/sap/support/notes/1619333","1619333")</f>
        <v>1619333</v>
      </c>
      <c r="E4780">
        <v>1</v>
      </c>
      <c r="F4780" t="s">
        <v>5211</v>
      </c>
    </row>
    <row r="4781" spans="1:6" x14ac:dyDescent="0.25">
      <c r="A4781" t="s">
        <v>5510</v>
      </c>
      <c r="B4781" t="s">
        <v>59</v>
      </c>
      <c r="C4781" t="s">
        <v>60</v>
      </c>
      <c r="D4781" t="str">
        <f>HYPERLINK("http://service.sap.com/sap/support/notes/1621820","1621820")</f>
        <v>1621820</v>
      </c>
      <c r="E4781">
        <v>1</v>
      </c>
      <c r="F4781" t="s">
        <v>5212</v>
      </c>
    </row>
    <row r="4782" spans="1:6" x14ac:dyDescent="0.25">
      <c r="A4782" t="s">
        <v>5510</v>
      </c>
      <c r="B4782" t="s">
        <v>694</v>
      </c>
      <c r="C4782" t="s">
        <v>695</v>
      </c>
      <c r="D4782" t="str">
        <f>HYPERLINK("http://service.sap.com/sap/support/notes/1610250","1610250")</f>
        <v>1610250</v>
      </c>
      <c r="E4782">
        <v>1</v>
      </c>
      <c r="F4782" t="s">
        <v>5213</v>
      </c>
    </row>
    <row r="4783" spans="1:6" x14ac:dyDescent="0.25">
      <c r="A4783" t="s">
        <v>5510</v>
      </c>
      <c r="B4783" t="s">
        <v>76</v>
      </c>
      <c r="C4783" t="s">
        <v>77</v>
      </c>
      <c r="D4783" t="str">
        <f>HYPERLINK("http://service.sap.com/sap/support/notes/1596461","1596461")</f>
        <v>1596461</v>
      </c>
      <c r="E4783">
        <v>2</v>
      </c>
      <c r="F4783" t="s">
        <v>5214</v>
      </c>
    </row>
    <row r="4784" spans="1:6" x14ac:dyDescent="0.25">
      <c r="A4784" t="s">
        <v>5510</v>
      </c>
      <c r="B4784" t="s">
        <v>79</v>
      </c>
      <c r="C4784" t="s">
        <v>80</v>
      </c>
      <c r="D4784" t="str">
        <f>HYPERLINK("http://service.sap.com/sap/support/notes/1609081","1609081")</f>
        <v>1609081</v>
      </c>
      <c r="E4784">
        <v>4</v>
      </c>
      <c r="F4784" t="s">
        <v>4802</v>
      </c>
    </row>
    <row r="4785" spans="1:6" x14ac:dyDescent="0.25">
      <c r="A4785" t="s">
        <v>5510</v>
      </c>
      <c r="B4785" t="s">
        <v>79</v>
      </c>
      <c r="C4785" t="s">
        <v>80</v>
      </c>
      <c r="D4785" t="str">
        <f>HYPERLINK("http://service.sap.com/sap/support/notes/1612644","1612644")</f>
        <v>1612644</v>
      </c>
      <c r="E4785">
        <v>1</v>
      </c>
      <c r="F4785" t="s">
        <v>5215</v>
      </c>
    </row>
    <row r="4786" spans="1:6" x14ac:dyDescent="0.25">
      <c r="A4786" t="s">
        <v>5510</v>
      </c>
      <c r="B4786" t="s">
        <v>86</v>
      </c>
      <c r="C4786" t="s">
        <v>87</v>
      </c>
      <c r="D4786" t="str">
        <f>HYPERLINK("http://service.sap.com/sap/support/notes/1617965","1617965")</f>
        <v>1617965</v>
      </c>
      <c r="E4786">
        <v>1</v>
      </c>
      <c r="F4786" t="s">
        <v>5216</v>
      </c>
    </row>
    <row r="4787" spans="1:6" x14ac:dyDescent="0.25">
      <c r="A4787" t="s">
        <v>5510</v>
      </c>
      <c r="B4787" t="s">
        <v>704</v>
      </c>
      <c r="C4787" t="s">
        <v>412</v>
      </c>
      <c r="D4787" t="str">
        <f>HYPERLINK("http://service.sap.com/sap/support/notes/1618857","1618857")</f>
        <v>1618857</v>
      </c>
      <c r="E4787">
        <v>1</v>
      </c>
      <c r="F4787" t="s">
        <v>5217</v>
      </c>
    </row>
    <row r="4788" spans="1:6" x14ac:dyDescent="0.25">
      <c r="A4788" t="s">
        <v>5510</v>
      </c>
      <c r="B4788" t="s">
        <v>1461</v>
      </c>
      <c r="C4788" t="s">
        <v>441</v>
      </c>
      <c r="D4788" t="str">
        <f>HYPERLINK("http://service.sap.com/sap/support/notes/1619360","1619360")</f>
        <v>1619360</v>
      </c>
      <c r="E4788">
        <v>2</v>
      </c>
      <c r="F4788" t="s">
        <v>5218</v>
      </c>
    </row>
    <row r="4789" spans="1:6" x14ac:dyDescent="0.25">
      <c r="A4789" t="s">
        <v>5510</v>
      </c>
      <c r="B4789" t="s">
        <v>92</v>
      </c>
      <c r="C4789" t="s">
        <v>93</v>
      </c>
      <c r="D4789" t="str">
        <f>HYPERLINK("http://service.sap.com/sap/support/notes/1591680","1591680")</f>
        <v>1591680</v>
      </c>
      <c r="E4789">
        <v>3</v>
      </c>
      <c r="F4789" t="s">
        <v>4120</v>
      </c>
    </row>
    <row r="4790" spans="1:6" x14ac:dyDescent="0.25">
      <c r="A4790" t="s">
        <v>5510</v>
      </c>
      <c r="B4790" t="s">
        <v>92</v>
      </c>
      <c r="C4790" t="s">
        <v>93</v>
      </c>
      <c r="D4790" t="str">
        <f>HYPERLINK("http://service.sap.com/sap/support/notes/1606787","1606787")</f>
        <v>1606787</v>
      </c>
      <c r="E4790">
        <v>1</v>
      </c>
      <c r="F4790" t="s">
        <v>4385</v>
      </c>
    </row>
    <row r="4791" spans="1:6" x14ac:dyDescent="0.25">
      <c r="A4791" t="s">
        <v>5510</v>
      </c>
      <c r="B4791" t="s">
        <v>92</v>
      </c>
      <c r="C4791" t="s">
        <v>93</v>
      </c>
      <c r="D4791" t="str">
        <f>HYPERLINK("http://service.sap.com/sap/support/notes/1610124","1610124")</f>
        <v>1610124</v>
      </c>
      <c r="E4791">
        <v>1</v>
      </c>
      <c r="F4791" t="s">
        <v>5219</v>
      </c>
    </row>
    <row r="4792" spans="1:6" x14ac:dyDescent="0.25">
      <c r="A4792" t="s">
        <v>5510</v>
      </c>
      <c r="B4792" t="s">
        <v>92</v>
      </c>
      <c r="C4792" t="s">
        <v>93</v>
      </c>
      <c r="D4792" t="str">
        <f>HYPERLINK("http://service.sap.com/sap/support/notes/1614643","1614643")</f>
        <v>1614643</v>
      </c>
      <c r="E4792">
        <v>1</v>
      </c>
      <c r="F4792" t="s">
        <v>5220</v>
      </c>
    </row>
    <row r="4793" spans="1:6" x14ac:dyDescent="0.25">
      <c r="A4793" t="s">
        <v>5510</v>
      </c>
      <c r="B4793" t="s">
        <v>92</v>
      </c>
      <c r="C4793" t="s">
        <v>93</v>
      </c>
      <c r="D4793" t="str">
        <f>HYPERLINK("http://service.sap.com/sap/support/notes/1616826","1616826")</f>
        <v>1616826</v>
      </c>
      <c r="E4793">
        <v>2</v>
      </c>
      <c r="F4793" t="s">
        <v>5221</v>
      </c>
    </row>
    <row r="4794" spans="1:6" x14ac:dyDescent="0.25">
      <c r="A4794" t="s">
        <v>5510</v>
      </c>
      <c r="B4794" t="s">
        <v>92</v>
      </c>
      <c r="C4794" t="s">
        <v>93</v>
      </c>
      <c r="D4794" t="str">
        <f>HYPERLINK("http://service.sap.com/sap/support/notes/1617800","1617800")</f>
        <v>1617800</v>
      </c>
      <c r="E4794">
        <v>1</v>
      </c>
      <c r="F4794" t="s">
        <v>5222</v>
      </c>
    </row>
    <row r="4795" spans="1:6" x14ac:dyDescent="0.25">
      <c r="A4795" t="s">
        <v>5510</v>
      </c>
      <c r="B4795" t="s">
        <v>92</v>
      </c>
      <c r="C4795" t="s">
        <v>93</v>
      </c>
      <c r="D4795" t="str">
        <f>HYPERLINK("http://service.sap.com/sap/support/notes/1620237","1620237")</f>
        <v>1620237</v>
      </c>
      <c r="E4795">
        <v>1</v>
      </c>
      <c r="F4795" t="s">
        <v>5223</v>
      </c>
    </row>
    <row r="4796" spans="1:6" x14ac:dyDescent="0.25">
      <c r="A4796" t="s">
        <v>5510</v>
      </c>
      <c r="B4796" t="s">
        <v>92</v>
      </c>
      <c r="C4796" t="s">
        <v>93</v>
      </c>
      <c r="D4796" t="str">
        <f>HYPERLINK("http://service.sap.com/sap/support/notes/1620763","1620763")</f>
        <v>1620763</v>
      </c>
      <c r="E4796">
        <v>1</v>
      </c>
      <c r="F4796" t="s">
        <v>5224</v>
      </c>
    </row>
    <row r="4797" spans="1:6" x14ac:dyDescent="0.25">
      <c r="A4797" t="s">
        <v>5510</v>
      </c>
      <c r="B4797" t="s">
        <v>92</v>
      </c>
      <c r="C4797" t="s">
        <v>93</v>
      </c>
      <c r="D4797" t="str">
        <f>HYPERLINK("http://service.sap.com/sap/support/notes/1620889","1620889")</f>
        <v>1620889</v>
      </c>
      <c r="E4797">
        <v>2</v>
      </c>
      <c r="F4797" t="s">
        <v>5225</v>
      </c>
    </row>
    <row r="4798" spans="1:6" x14ac:dyDescent="0.25">
      <c r="A4798" t="s">
        <v>5510</v>
      </c>
      <c r="B4798" t="s">
        <v>717</v>
      </c>
      <c r="C4798" t="s">
        <v>496</v>
      </c>
      <c r="D4798" t="str">
        <f>HYPERLINK("http://service.sap.com/sap/support/notes/1616617","1616617")</f>
        <v>1616617</v>
      </c>
      <c r="E4798">
        <v>1</v>
      </c>
      <c r="F4798" t="s">
        <v>5226</v>
      </c>
    </row>
    <row r="4799" spans="1:6" x14ac:dyDescent="0.25">
      <c r="A4799" t="s">
        <v>5510</v>
      </c>
      <c r="B4799" t="s">
        <v>107</v>
      </c>
      <c r="C4799" t="s">
        <v>108</v>
      </c>
      <c r="D4799" t="str">
        <f>HYPERLINK("http://service.sap.com/sap/support/notes/1511473","1511473")</f>
        <v>1511473</v>
      </c>
      <c r="E4799">
        <v>3</v>
      </c>
      <c r="F4799" t="s">
        <v>5227</v>
      </c>
    </row>
    <row r="4800" spans="1:6" x14ac:dyDescent="0.25">
      <c r="A4800" t="s">
        <v>5510</v>
      </c>
      <c r="B4800" t="s">
        <v>107</v>
      </c>
      <c r="C4800" t="s">
        <v>108</v>
      </c>
      <c r="D4800" t="str">
        <f>HYPERLINK("http://service.sap.com/sap/support/notes/1513442","1513442")</f>
        <v>1513442</v>
      </c>
      <c r="E4800">
        <v>2</v>
      </c>
      <c r="F4800" t="s">
        <v>5228</v>
      </c>
    </row>
    <row r="4801" spans="1:6" x14ac:dyDescent="0.25">
      <c r="A4801" t="s">
        <v>5510</v>
      </c>
      <c r="B4801" t="s">
        <v>107</v>
      </c>
      <c r="C4801" t="s">
        <v>108</v>
      </c>
      <c r="D4801" t="str">
        <f>HYPERLINK("http://service.sap.com/sap/support/notes/1616192","1616192")</f>
        <v>1616192</v>
      </c>
      <c r="E4801">
        <v>1</v>
      </c>
      <c r="F4801" t="s">
        <v>5229</v>
      </c>
    </row>
    <row r="4802" spans="1:6" x14ac:dyDescent="0.25">
      <c r="A4802" t="s">
        <v>5510</v>
      </c>
      <c r="B4802" t="s">
        <v>107</v>
      </c>
      <c r="C4802" t="s">
        <v>108</v>
      </c>
      <c r="D4802" t="str">
        <f>HYPERLINK("http://service.sap.com/sap/support/notes/1618869","1618869")</f>
        <v>1618869</v>
      </c>
      <c r="E4802">
        <v>2</v>
      </c>
      <c r="F4802" t="s">
        <v>5230</v>
      </c>
    </row>
    <row r="4803" spans="1:6" x14ac:dyDescent="0.25">
      <c r="A4803" t="s">
        <v>5510</v>
      </c>
      <c r="B4803" t="s">
        <v>107</v>
      </c>
      <c r="C4803" t="s">
        <v>108</v>
      </c>
      <c r="D4803" t="str">
        <f>HYPERLINK("http://service.sap.com/sap/support/notes/1620339","1620339")</f>
        <v>1620339</v>
      </c>
      <c r="E4803">
        <v>1</v>
      </c>
      <c r="F4803" t="s">
        <v>4387</v>
      </c>
    </row>
    <row r="4804" spans="1:6" x14ac:dyDescent="0.25">
      <c r="A4804" t="s">
        <v>5510</v>
      </c>
      <c r="B4804" t="s">
        <v>107</v>
      </c>
      <c r="C4804" t="s">
        <v>108</v>
      </c>
      <c r="D4804" t="str">
        <f>HYPERLINK("http://service.sap.com/sap/support/notes/1620825","1620825")</f>
        <v>1620825</v>
      </c>
      <c r="E4804">
        <v>3</v>
      </c>
      <c r="F4804" t="s">
        <v>5231</v>
      </c>
    </row>
    <row r="4805" spans="1:6" x14ac:dyDescent="0.25">
      <c r="A4805" t="s">
        <v>5510</v>
      </c>
      <c r="B4805" t="s">
        <v>111</v>
      </c>
      <c r="C4805" t="s">
        <v>112</v>
      </c>
      <c r="D4805" t="str">
        <f>HYPERLINK("http://service.sap.com/sap/support/notes/1553877","1553877")</f>
        <v>1553877</v>
      </c>
      <c r="E4805">
        <v>3</v>
      </c>
      <c r="F4805" t="s">
        <v>5232</v>
      </c>
    </row>
    <row r="4806" spans="1:6" x14ac:dyDescent="0.25">
      <c r="A4806" t="s">
        <v>5510</v>
      </c>
      <c r="B4806" t="s">
        <v>1469</v>
      </c>
      <c r="C4806" t="s">
        <v>535</v>
      </c>
      <c r="D4806" t="str">
        <f>HYPERLINK("http://service.sap.com/sap/support/notes/1593200","1593200")</f>
        <v>1593200</v>
      </c>
      <c r="E4806">
        <v>1</v>
      </c>
      <c r="F4806" t="s">
        <v>5233</v>
      </c>
    </row>
    <row r="4807" spans="1:6" x14ac:dyDescent="0.25">
      <c r="A4807" t="s">
        <v>5510</v>
      </c>
      <c r="B4807" t="s">
        <v>118</v>
      </c>
      <c r="C4807" t="s">
        <v>119</v>
      </c>
    </row>
    <row r="4808" spans="1:6" x14ac:dyDescent="0.25">
      <c r="A4808" t="s">
        <v>5510</v>
      </c>
      <c r="B4808" t="s">
        <v>123</v>
      </c>
      <c r="C4808" t="s">
        <v>124</v>
      </c>
      <c r="D4808" t="str">
        <f>HYPERLINK("http://service.sap.com/sap/support/notes/1614825","1614825")</f>
        <v>1614825</v>
      </c>
      <c r="E4808">
        <v>2</v>
      </c>
      <c r="F4808" t="s">
        <v>5234</v>
      </c>
    </row>
    <row r="4809" spans="1:6" x14ac:dyDescent="0.25">
      <c r="A4809" t="s">
        <v>5510</v>
      </c>
      <c r="B4809" t="s">
        <v>123</v>
      </c>
      <c r="C4809" t="s">
        <v>124</v>
      </c>
      <c r="D4809" t="str">
        <f>HYPERLINK("http://service.sap.com/sap/support/notes/1617309","1617309")</f>
        <v>1617309</v>
      </c>
      <c r="E4809">
        <v>1</v>
      </c>
      <c r="F4809" t="s">
        <v>5235</v>
      </c>
    </row>
    <row r="4810" spans="1:6" x14ac:dyDescent="0.25">
      <c r="A4810" t="s">
        <v>5510</v>
      </c>
      <c r="B4810" t="s">
        <v>4814</v>
      </c>
      <c r="C4810" t="s">
        <v>4815</v>
      </c>
      <c r="D4810" t="str">
        <f>HYPERLINK("http://service.sap.com/sap/support/notes/1598698","1598698")</f>
        <v>1598698</v>
      </c>
      <c r="E4810">
        <v>2</v>
      </c>
      <c r="F4810" t="s">
        <v>4817</v>
      </c>
    </row>
    <row r="4811" spans="1:6" x14ac:dyDescent="0.25">
      <c r="A4811" t="s">
        <v>5510</v>
      </c>
      <c r="B4811" t="s">
        <v>4814</v>
      </c>
      <c r="C4811" t="s">
        <v>4815</v>
      </c>
      <c r="D4811" t="str">
        <f>HYPERLINK("http://service.sap.com/sap/support/notes/1620262","1620262")</f>
        <v>1620262</v>
      </c>
      <c r="E4811">
        <v>3</v>
      </c>
      <c r="F4811" t="s">
        <v>5236</v>
      </c>
    </row>
    <row r="4812" spans="1:6" x14ac:dyDescent="0.25">
      <c r="A4812" t="s">
        <v>5510</v>
      </c>
      <c r="B4812" t="s">
        <v>126</v>
      </c>
      <c r="C4812" t="s">
        <v>127</v>
      </c>
    </row>
    <row r="4813" spans="1:6" x14ac:dyDescent="0.25">
      <c r="A4813" t="s">
        <v>5510</v>
      </c>
      <c r="B4813" t="s">
        <v>824</v>
      </c>
      <c r="C4813" t="s">
        <v>1777</v>
      </c>
    </row>
    <row r="4814" spans="1:6" x14ac:dyDescent="0.25">
      <c r="A4814" t="s">
        <v>5510</v>
      </c>
      <c r="B4814" t="s">
        <v>825</v>
      </c>
      <c r="C4814" t="s">
        <v>1778</v>
      </c>
      <c r="D4814" t="str">
        <f>HYPERLINK("http://service.sap.com/sap/support/notes/1584121","1584121")</f>
        <v>1584121</v>
      </c>
      <c r="E4814">
        <v>4</v>
      </c>
      <c r="F4814" t="s">
        <v>4429</v>
      </c>
    </row>
    <row r="4815" spans="1:6" x14ac:dyDescent="0.25">
      <c r="A4815" t="s">
        <v>5510</v>
      </c>
      <c r="B4815" t="s">
        <v>831</v>
      </c>
      <c r="C4815" t="s">
        <v>2598</v>
      </c>
    </row>
    <row r="4816" spans="1:6" x14ac:dyDescent="0.25">
      <c r="A4816" t="s">
        <v>5510</v>
      </c>
      <c r="B4816" t="s">
        <v>871</v>
      </c>
      <c r="C4816" t="s">
        <v>872</v>
      </c>
      <c r="D4816" t="str">
        <f>HYPERLINK("http://service.sap.com/sap/support/notes/1613001","1613001")</f>
        <v>1613001</v>
      </c>
      <c r="E4816">
        <v>1</v>
      </c>
      <c r="F4816" t="s">
        <v>5237</v>
      </c>
    </row>
    <row r="4817" spans="1:6" x14ac:dyDescent="0.25">
      <c r="A4817" t="s">
        <v>5510</v>
      </c>
      <c r="B4817" t="s">
        <v>871</v>
      </c>
      <c r="C4817" t="s">
        <v>872</v>
      </c>
      <c r="D4817" t="str">
        <f>HYPERLINK("http://service.sap.com/sap/support/notes/1615466","1615466")</f>
        <v>1615466</v>
      </c>
      <c r="E4817">
        <v>1</v>
      </c>
      <c r="F4817" t="s">
        <v>5238</v>
      </c>
    </row>
    <row r="4818" spans="1:6" x14ac:dyDescent="0.25">
      <c r="A4818" t="s">
        <v>5510</v>
      </c>
      <c r="B4818" t="s">
        <v>871</v>
      </c>
      <c r="C4818" t="s">
        <v>872</v>
      </c>
      <c r="D4818" t="str">
        <f>HYPERLINK("http://service.sap.com/sap/support/notes/1621975","1621975")</f>
        <v>1621975</v>
      </c>
      <c r="E4818">
        <v>1</v>
      </c>
      <c r="F4818" t="s">
        <v>5239</v>
      </c>
    </row>
    <row r="4819" spans="1:6" x14ac:dyDescent="0.25">
      <c r="A4819" t="s">
        <v>5510</v>
      </c>
      <c r="B4819" t="s">
        <v>131</v>
      </c>
      <c r="C4819" t="s">
        <v>132</v>
      </c>
    </row>
    <row r="4820" spans="1:6" x14ac:dyDescent="0.25">
      <c r="A4820" t="s">
        <v>5510</v>
      </c>
      <c r="B4820" t="s">
        <v>133</v>
      </c>
      <c r="C4820" t="s">
        <v>134</v>
      </c>
      <c r="D4820" t="str">
        <f>HYPERLINK("http://service.sap.com/sap/support/notes/1586595","1586595")</f>
        <v>1586595</v>
      </c>
      <c r="E4820">
        <v>3</v>
      </c>
      <c r="F4820" t="s">
        <v>5240</v>
      </c>
    </row>
    <row r="4821" spans="1:6" x14ac:dyDescent="0.25">
      <c r="A4821" t="s">
        <v>5510</v>
      </c>
      <c r="B4821" t="s">
        <v>133</v>
      </c>
      <c r="C4821" t="s">
        <v>134</v>
      </c>
      <c r="D4821" t="str">
        <f>HYPERLINK("http://service.sap.com/sap/support/notes/1608523","1608523")</f>
        <v>1608523</v>
      </c>
      <c r="E4821">
        <v>2</v>
      </c>
      <c r="F4821" t="s">
        <v>5241</v>
      </c>
    </row>
    <row r="4822" spans="1:6" x14ac:dyDescent="0.25">
      <c r="A4822" t="s">
        <v>5510</v>
      </c>
      <c r="B4822" t="s">
        <v>133</v>
      </c>
      <c r="C4822" t="s">
        <v>134</v>
      </c>
      <c r="D4822" t="str">
        <f>HYPERLINK("http://service.sap.com/sap/support/notes/1608573","1608573")</f>
        <v>1608573</v>
      </c>
      <c r="E4822">
        <v>2</v>
      </c>
      <c r="F4822" t="s">
        <v>5242</v>
      </c>
    </row>
    <row r="4823" spans="1:6" x14ac:dyDescent="0.25">
      <c r="A4823" t="s">
        <v>5510</v>
      </c>
      <c r="B4823" t="s">
        <v>133</v>
      </c>
      <c r="C4823" t="s">
        <v>134</v>
      </c>
      <c r="D4823" t="str">
        <f>HYPERLINK("http://service.sap.com/sap/support/notes/1620805","1620805")</f>
        <v>1620805</v>
      </c>
      <c r="E4823">
        <v>2</v>
      </c>
      <c r="F4823" t="s">
        <v>5243</v>
      </c>
    </row>
    <row r="4824" spans="1:6" x14ac:dyDescent="0.25">
      <c r="A4824" t="s">
        <v>5510</v>
      </c>
      <c r="B4824" t="s">
        <v>141</v>
      </c>
      <c r="C4824" t="s">
        <v>41</v>
      </c>
      <c r="D4824" t="str">
        <f>HYPERLINK("http://service.sap.com/sap/support/notes/1598195","1598195")</f>
        <v>1598195</v>
      </c>
      <c r="E4824">
        <v>6</v>
      </c>
      <c r="F4824" t="s">
        <v>5244</v>
      </c>
    </row>
    <row r="4825" spans="1:6" x14ac:dyDescent="0.25">
      <c r="A4825" t="s">
        <v>5510</v>
      </c>
      <c r="B4825" t="s">
        <v>141</v>
      </c>
      <c r="C4825" t="s">
        <v>41</v>
      </c>
      <c r="D4825" t="str">
        <f>HYPERLINK("http://service.sap.com/sap/support/notes/1609194","1609194")</f>
        <v>1609194</v>
      </c>
      <c r="E4825">
        <v>2</v>
      </c>
      <c r="F4825" t="s">
        <v>5245</v>
      </c>
    </row>
    <row r="4826" spans="1:6" x14ac:dyDescent="0.25">
      <c r="A4826" t="s">
        <v>5510</v>
      </c>
      <c r="B4826" t="s">
        <v>141</v>
      </c>
      <c r="C4826" t="s">
        <v>41</v>
      </c>
      <c r="D4826" t="str">
        <f>HYPERLINK("http://service.sap.com/sap/support/notes/1614385","1614385")</f>
        <v>1614385</v>
      </c>
      <c r="E4826">
        <v>1</v>
      </c>
      <c r="F4826" t="s">
        <v>5246</v>
      </c>
    </row>
    <row r="4827" spans="1:6" x14ac:dyDescent="0.25">
      <c r="A4827" t="s">
        <v>5510</v>
      </c>
      <c r="B4827" t="s">
        <v>152</v>
      </c>
      <c r="C4827" t="s">
        <v>153</v>
      </c>
      <c r="D4827" t="str">
        <f>HYPERLINK("http://service.sap.com/sap/support/notes/1538934","1538934")</f>
        <v>1538934</v>
      </c>
      <c r="E4827">
        <v>8</v>
      </c>
      <c r="F4827" t="s">
        <v>1487</v>
      </c>
    </row>
    <row r="4828" spans="1:6" x14ac:dyDescent="0.25">
      <c r="A4828" t="s">
        <v>5510</v>
      </c>
      <c r="B4828" t="s">
        <v>155</v>
      </c>
      <c r="C4828" t="s">
        <v>156</v>
      </c>
      <c r="D4828" t="str">
        <f>HYPERLINK("http://service.sap.com/sap/support/notes/1533098","1533098")</f>
        <v>1533098</v>
      </c>
      <c r="E4828">
        <v>3</v>
      </c>
      <c r="F4828" t="s">
        <v>4523</v>
      </c>
    </row>
    <row r="4829" spans="1:6" x14ac:dyDescent="0.25">
      <c r="A4829" t="s">
        <v>5510</v>
      </c>
      <c r="B4829" t="s">
        <v>155</v>
      </c>
      <c r="C4829" t="s">
        <v>156</v>
      </c>
      <c r="D4829" t="str">
        <f>HYPERLINK("http://service.sap.com/sap/support/notes/1614072","1614072")</f>
        <v>1614072</v>
      </c>
      <c r="E4829">
        <v>1</v>
      </c>
      <c r="F4829" t="s">
        <v>5247</v>
      </c>
    </row>
    <row r="4830" spans="1:6" x14ac:dyDescent="0.25">
      <c r="A4830" t="s">
        <v>5510</v>
      </c>
      <c r="B4830" t="s">
        <v>155</v>
      </c>
      <c r="C4830" t="s">
        <v>156</v>
      </c>
      <c r="D4830" t="str">
        <f>HYPERLINK("http://service.sap.com/sap/support/notes/1615116","1615116")</f>
        <v>1615116</v>
      </c>
      <c r="E4830">
        <v>1</v>
      </c>
      <c r="F4830" t="s">
        <v>5248</v>
      </c>
    </row>
    <row r="4831" spans="1:6" x14ac:dyDescent="0.25">
      <c r="A4831" t="s">
        <v>5510</v>
      </c>
      <c r="B4831" t="s">
        <v>155</v>
      </c>
      <c r="C4831" t="s">
        <v>156</v>
      </c>
      <c r="D4831" t="str">
        <f>HYPERLINK("http://service.sap.com/sap/support/notes/1615999","1615999")</f>
        <v>1615999</v>
      </c>
      <c r="E4831">
        <v>1</v>
      </c>
      <c r="F4831" t="s">
        <v>5249</v>
      </c>
    </row>
    <row r="4832" spans="1:6" x14ac:dyDescent="0.25">
      <c r="A4832" t="s">
        <v>5510</v>
      </c>
      <c r="B4832" t="s">
        <v>155</v>
      </c>
      <c r="C4832" t="s">
        <v>156</v>
      </c>
      <c r="D4832" t="str">
        <f>HYPERLINK("http://service.sap.com/sap/support/notes/1620580","1620580")</f>
        <v>1620580</v>
      </c>
      <c r="E4832">
        <v>2</v>
      </c>
      <c r="F4832" t="s">
        <v>4455</v>
      </c>
    </row>
    <row r="4833" spans="1:6" x14ac:dyDescent="0.25">
      <c r="A4833" t="s">
        <v>5510</v>
      </c>
      <c r="B4833" t="s">
        <v>168</v>
      </c>
      <c r="C4833" t="s">
        <v>169</v>
      </c>
      <c r="D4833" t="str">
        <f>HYPERLINK("http://service.sap.com/sap/support/notes/1552192","1552192")</f>
        <v>1552192</v>
      </c>
      <c r="E4833">
        <v>1</v>
      </c>
      <c r="F4833" t="s">
        <v>2224</v>
      </c>
    </row>
    <row r="4834" spans="1:6" x14ac:dyDescent="0.25">
      <c r="A4834" t="s">
        <v>5510</v>
      </c>
      <c r="B4834" t="s">
        <v>168</v>
      </c>
      <c r="C4834" t="s">
        <v>169</v>
      </c>
      <c r="D4834" t="str">
        <f>HYPERLINK("http://service.sap.com/sap/support/notes/1560828","1560828")</f>
        <v>1560828</v>
      </c>
      <c r="E4834">
        <v>14</v>
      </c>
      <c r="F4834" t="s">
        <v>2224</v>
      </c>
    </row>
    <row r="4835" spans="1:6" x14ac:dyDescent="0.25">
      <c r="A4835" t="s">
        <v>5510</v>
      </c>
      <c r="B4835" t="s">
        <v>168</v>
      </c>
      <c r="C4835" t="s">
        <v>169</v>
      </c>
      <c r="D4835" t="str">
        <f>HYPERLINK("http://service.sap.com/sap/support/notes/1620746","1620746")</f>
        <v>1620746</v>
      </c>
      <c r="E4835">
        <v>1</v>
      </c>
      <c r="F4835" t="s">
        <v>5250</v>
      </c>
    </row>
    <row r="4836" spans="1:6" x14ac:dyDescent="0.25">
      <c r="A4836" t="s">
        <v>5510</v>
      </c>
      <c r="B4836" t="s">
        <v>171</v>
      </c>
      <c r="C4836" t="s">
        <v>153</v>
      </c>
      <c r="D4836" t="str">
        <f>HYPERLINK("http://service.sap.com/sap/support/notes/1616609","1616609")</f>
        <v>1616609</v>
      </c>
      <c r="E4836">
        <v>1</v>
      </c>
      <c r="F4836" t="s">
        <v>5251</v>
      </c>
    </row>
    <row r="4837" spans="1:6" x14ac:dyDescent="0.25">
      <c r="A4837" t="s">
        <v>5510</v>
      </c>
      <c r="B4837" t="s">
        <v>171</v>
      </c>
      <c r="C4837" t="s">
        <v>153</v>
      </c>
      <c r="D4837" t="str">
        <f>HYPERLINK("http://service.sap.com/sap/support/notes/1621795","1621795")</f>
        <v>1621795</v>
      </c>
      <c r="E4837">
        <v>1</v>
      </c>
      <c r="F4837" t="s">
        <v>5252</v>
      </c>
    </row>
    <row r="4838" spans="1:6" x14ac:dyDescent="0.25">
      <c r="A4838" t="s">
        <v>5510</v>
      </c>
      <c r="B4838" t="s">
        <v>173</v>
      </c>
      <c r="C4838" t="s">
        <v>45</v>
      </c>
      <c r="D4838" t="str">
        <f>HYPERLINK("http://service.sap.com/sap/support/notes/1587622","1587622")</f>
        <v>1587622</v>
      </c>
      <c r="E4838">
        <v>2</v>
      </c>
      <c r="F4838" t="s">
        <v>5253</v>
      </c>
    </row>
    <row r="4839" spans="1:6" x14ac:dyDescent="0.25">
      <c r="A4839" t="s">
        <v>5510</v>
      </c>
      <c r="B4839" t="s">
        <v>173</v>
      </c>
      <c r="C4839" t="s">
        <v>45</v>
      </c>
      <c r="D4839" t="str">
        <f>HYPERLINK("http://service.sap.com/sap/support/notes/1603251","1603251")</f>
        <v>1603251</v>
      </c>
      <c r="E4839">
        <v>2</v>
      </c>
      <c r="F4839" t="s">
        <v>5254</v>
      </c>
    </row>
    <row r="4840" spans="1:6" x14ac:dyDescent="0.25">
      <c r="A4840" t="s">
        <v>5510</v>
      </c>
      <c r="B4840" t="s">
        <v>173</v>
      </c>
      <c r="C4840" t="s">
        <v>45</v>
      </c>
      <c r="D4840" t="str">
        <f>HYPERLINK("http://service.sap.com/sap/support/notes/1603573","1603573")</f>
        <v>1603573</v>
      </c>
      <c r="E4840">
        <v>1</v>
      </c>
      <c r="F4840" t="s">
        <v>5255</v>
      </c>
    </row>
    <row r="4841" spans="1:6" x14ac:dyDescent="0.25">
      <c r="A4841" t="s">
        <v>5510</v>
      </c>
      <c r="B4841" t="s">
        <v>173</v>
      </c>
      <c r="C4841" t="s">
        <v>45</v>
      </c>
      <c r="D4841" t="str">
        <f>HYPERLINK("http://service.sap.com/sap/support/notes/1608246","1608246")</f>
        <v>1608246</v>
      </c>
      <c r="E4841">
        <v>1</v>
      </c>
      <c r="F4841" t="s">
        <v>5256</v>
      </c>
    </row>
    <row r="4842" spans="1:6" x14ac:dyDescent="0.25">
      <c r="A4842" t="s">
        <v>5510</v>
      </c>
      <c r="B4842" t="s">
        <v>173</v>
      </c>
      <c r="C4842" t="s">
        <v>45</v>
      </c>
      <c r="D4842" t="str">
        <f>HYPERLINK("http://service.sap.com/sap/support/notes/1608248","1608248")</f>
        <v>1608248</v>
      </c>
      <c r="E4842">
        <v>2</v>
      </c>
      <c r="F4842" t="s">
        <v>5257</v>
      </c>
    </row>
    <row r="4843" spans="1:6" x14ac:dyDescent="0.25">
      <c r="A4843" t="s">
        <v>5510</v>
      </c>
      <c r="B4843" t="s">
        <v>173</v>
      </c>
      <c r="C4843" t="s">
        <v>45</v>
      </c>
      <c r="D4843" t="str">
        <f>HYPERLINK("http://service.sap.com/sap/support/notes/1611405","1611405")</f>
        <v>1611405</v>
      </c>
      <c r="E4843">
        <v>4</v>
      </c>
      <c r="F4843" t="s">
        <v>5258</v>
      </c>
    </row>
    <row r="4844" spans="1:6" x14ac:dyDescent="0.25">
      <c r="A4844" t="s">
        <v>5510</v>
      </c>
      <c r="B4844" t="s">
        <v>173</v>
      </c>
      <c r="C4844" t="s">
        <v>45</v>
      </c>
      <c r="D4844" t="str">
        <f>HYPERLINK("http://service.sap.com/sap/support/notes/1614208","1614208")</f>
        <v>1614208</v>
      </c>
      <c r="E4844">
        <v>2</v>
      </c>
      <c r="F4844" t="s">
        <v>5259</v>
      </c>
    </row>
    <row r="4845" spans="1:6" x14ac:dyDescent="0.25">
      <c r="A4845" t="s">
        <v>5510</v>
      </c>
      <c r="B4845" t="s">
        <v>173</v>
      </c>
      <c r="C4845" t="s">
        <v>45</v>
      </c>
      <c r="D4845" t="str">
        <f>HYPERLINK("http://service.sap.com/sap/support/notes/1615751","1615751")</f>
        <v>1615751</v>
      </c>
      <c r="E4845">
        <v>1</v>
      </c>
      <c r="F4845" t="s">
        <v>5260</v>
      </c>
    </row>
    <row r="4846" spans="1:6" x14ac:dyDescent="0.25">
      <c r="A4846" t="s">
        <v>5510</v>
      </c>
      <c r="B4846" t="s">
        <v>173</v>
      </c>
      <c r="C4846" t="s">
        <v>45</v>
      </c>
      <c r="D4846" t="str">
        <f>HYPERLINK("http://service.sap.com/sap/support/notes/1616470","1616470")</f>
        <v>1616470</v>
      </c>
      <c r="E4846">
        <v>2</v>
      </c>
      <c r="F4846" t="s">
        <v>5261</v>
      </c>
    </row>
    <row r="4847" spans="1:6" x14ac:dyDescent="0.25">
      <c r="A4847" t="s">
        <v>5510</v>
      </c>
      <c r="B4847" t="s">
        <v>173</v>
      </c>
      <c r="C4847" t="s">
        <v>45</v>
      </c>
      <c r="D4847" t="str">
        <f>HYPERLINK("http://service.sap.com/sap/support/notes/1616812","1616812")</f>
        <v>1616812</v>
      </c>
      <c r="E4847">
        <v>2</v>
      </c>
      <c r="F4847" t="s">
        <v>5262</v>
      </c>
    </row>
    <row r="4848" spans="1:6" x14ac:dyDescent="0.25">
      <c r="A4848" t="s">
        <v>5510</v>
      </c>
      <c r="B4848" t="s">
        <v>173</v>
      </c>
      <c r="C4848" t="s">
        <v>45</v>
      </c>
      <c r="D4848" t="str">
        <f>HYPERLINK("http://service.sap.com/sap/support/notes/1618075","1618075")</f>
        <v>1618075</v>
      </c>
      <c r="E4848">
        <v>3</v>
      </c>
      <c r="F4848" t="s">
        <v>5263</v>
      </c>
    </row>
    <row r="4849" spans="1:6" x14ac:dyDescent="0.25">
      <c r="A4849" t="s">
        <v>5510</v>
      </c>
      <c r="B4849" t="s">
        <v>173</v>
      </c>
      <c r="C4849" t="s">
        <v>45</v>
      </c>
      <c r="D4849" t="str">
        <f>HYPERLINK("http://service.sap.com/sap/support/notes/1618403","1618403")</f>
        <v>1618403</v>
      </c>
      <c r="E4849">
        <v>1</v>
      </c>
      <c r="F4849" t="s">
        <v>5264</v>
      </c>
    </row>
    <row r="4850" spans="1:6" x14ac:dyDescent="0.25">
      <c r="A4850" t="s">
        <v>5510</v>
      </c>
      <c r="B4850" t="s">
        <v>173</v>
      </c>
      <c r="C4850" t="s">
        <v>45</v>
      </c>
      <c r="D4850" t="str">
        <f>HYPERLINK("http://service.sap.com/sap/support/notes/1618404","1618404")</f>
        <v>1618404</v>
      </c>
      <c r="E4850">
        <v>2</v>
      </c>
      <c r="F4850" t="s">
        <v>5265</v>
      </c>
    </row>
    <row r="4851" spans="1:6" x14ac:dyDescent="0.25">
      <c r="A4851" t="s">
        <v>5510</v>
      </c>
      <c r="B4851" t="s">
        <v>173</v>
      </c>
      <c r="C4851" t="s">
        <v>45</v>
      </c>
      <c r="D4851" t="str">
        <f>HYPERLINK("http://service.sap.com/sap/support/notes/1618645","1618645")</f>
        <v>1618645</v>
      </c>
      <c r="E4851">
        <v>1</v>
      </c>
      <c r="F4851" t="s">
        <v>5266</v>
      </c>
    </row>
    <row r="4852" spans="1:6" x14ac:dyDescent="0.25">
      <c r="A4852" t="s">
        <v>5510</v>
      </c>
      <c r="B4852" t="s">
        <v>173</v>
      </c>
      <c r="C4852" t="s">
        <v>45</v>
      </c>
      <c r="D4852" t="str">
        <f>HYPERLINK("http://service.sap.com/sap/support/notes/1619491","1619491")</f>
        <v>1619491</v>
      </c>
      <c r="E4852">
        <v>2</v>
      </c>
      <c r="F4852" t="s">
        <v>5267</v>
      </c>
    </row>
    <row r="4853" spans="1:6" x14ac:dyDescent="0.25">
      <c r="A4853" t="s">
        <v>5510</v>
      </c>
      <c r="B4853" t="s">
        <v>173</v>
      </c>
      <c r="C4853" t="s">
        <v>45</v>
      </c>
      <c r="D4853" t="str">
        <f>HYPERLINK("http://service.sap.com/sap/support/notes/1619530","1619530")</f>
        <v>1619530</v>
      </c>
      <c r="E4853">
        <v>2</v>
      </c>
      <c r="F4853" t="s">
        <v>5268</v>
      </c>
    </row>
    <row r="4854" spans="1:6" x14ac:dyDescent="0.25">
      <c r="A4854" t="s">
        <v>5510</v>
      </c>
      <c r="B4854" t="s">
        <v>173</v>
      </c>
      <c r="C4854" t="s">
        <v>45</v>
      </c>
      <c r="D4854" t="str">
        <f>HYPERLINK("http://service.sap.com/sap/support/notes/1619824","1619824")</f>
        <v>1619824</v>
      </c>
      <c r="E4854">
        <v>3</v>
      </c>
      <c r="F4854" t="s">
        <v>5269</v>
      </c>
    </row>
    <row r="4855" spans="1:6" x14ac:dyDescent="0.25">
      <c r="A4855" t="s">
        <v>5510</v>
      </c>
      <c r="B4855" t="s">
        <v>173</v>
      </c>
      <c r="C4855" t="s">
        <v>45</v>
      </c>
      <c r="D4855" t="str">
        <f>HYPERLINK("http://service.sap.com/sap/support/notes/1620341","1620341")</f>
        <v>1620341</v>
      </c>
      <c r="E4855">
        <v>3</v>
      </c>
      <c r="F4855" t="s">
        <v>5270</v>
      </c>
    </row>
    <row r="4856" spans="1:6" x14ac:dyDescent="0.25">
      <c r="A4856" t="s">
        <v>5510</v>
      </c>
      <c r="B4856" t="s">
        <v>173</v>
      </c>
      <c r="C4856" t="s">
        <v>45</v>
      </c>
      <c r="D4856" t="str">
        <f>HYPERLINK("http://service.sap.com/sap/support/notes/1620933","1620933")</f>
        <v>1620933</v>
      </c>
      <c r="E4856">
        <v>1</v>
      </c>
      <c r="F4856" t="s">
        <v>5271</v>
      </c>
    </row>
    <row r="4857" spans="1:6" x14ac:dyDescent="0.25">
      <c r="A4857" t="s">
        <v>5510</v>
      </c>
      <c r="B4857" t="s">
        <v>173</v>
      </c>
      <c r="C4857" t="s">
        <v>45</v>
      </c>
      <c r="D4857" t="str">
        <f>HYPERLINK("http://service.sap.com/sap/support/notes/1621294","1621294")</f>
        <v>1621294</v>
      </c>
      <c r="E4857">
        <v>1</v>
      </c>
      <c r="F4857" t="s">
        <v>5272</v>
      </c>
    </row>
    <row r="4858" spans="1:6" x14ac:dyDescent="0.25">
      <c r="A4858" t="s">
        <v>5510</v>
      </c>
      <c r="B4858" t="s">
        <v>173</v>
      </c>
      <c r="C4858" t="s">
        <v>45</v>
      </c>
      <c r="D4858" t="str">
        <f>HYPERLINK("http://service.sap.com/sap/support/notes/1621390","1621390")</f>
        <v>1621390</v>
      </c>
      <c r="E4858">
        <v>2</v>
      </c>
      <c r="F4858" t="s">
        <v>5273</v>
      </c>
    </row>
    <row r="4859" spans="1:6" x14ac:dyDescent="0.25">
      <c r="A4859" t="s">
        <v>5510</v>
      </c>
      <c r="B4859" t="s">
        <v>173</v>
      </c>
      <c r="C4859" t="s">
        <v>45</v>
      </c>
      <c r="D4859" t="str">
        <f>HYPERLINK("http://service.sap.com/sap/support/notes/1622572","1622572")</f>
        <v>1622572</v>
      </c>
      <c r="E4859">
        <v>1</v>
      </c>
      <c r="F4859" t="s">
        <v>5274</v>
      </c>
    </row>
    <row r="4860" spans="1:6" x14ac:dyDescent="0.25">
      <c r="A4860" t="s">
        <v>5510</v>
      </c>
      <c r="B4860" t="s">
        <v>191</v>
      </c>
      <c r="C4860" t="s">
        <v>192</v>
      </c>
      <c r="D4860" t="str">
        <f>HYPERLINK("http://service.sap.com/sap/support/notes/1060819","1060819")</f>
        <v>1060819</v>
      </c>
      <c r="E4860">
        <v>1</v>
      </c>
      <c r="F4860" t="s">
        <v>193</v>
      </c>
    </row>
    <row r="4861" spans="1:6" x14ac:dyDescent="0.25">
      <c r="A4861" t="s">
        <v>5510</v>
      </c>
      <c r="B4861" t="s">
        <v>191</v>
      </c>
      <c r="C4861" t="s">
        <v>192</v>
      </c>
      <c r="D4861" t="str">
        <f>HYPERLINK("http://service.sap.com/sap/support/notes/1610999","1610999")</f>
        <v>1610999</v>
      </c>
      <c r="E4861">
        <v>3</v>
      </c>
      <c r="F4861" t="s">
        <v>5275</v>
      </c>
    </row>
    <row r="4862" spans="1:6" x14ac:dyDescent="0.25">
      <c r="A4862" t="s">
        <v>5510</v>
      </c>
      <c r="B4862" t="s">
        <v>191</v>
      </c>
      <c r="C4862" t="s">
        <v>192</v>
      </c>
      <c r="D4862" t="str">
        <f>HYPERLINK("http://service.sap.com/sap/support/notes/1619880","1619880")</f>
        <v>1619880</v>
      </c>
      <c r="E4862">
        <v>3</v>
      </c>
      <c r="F4862" t="s">
        <v>5276</v>
      </c>
    </row>
    <row r="4863" spans="1:6" x14ac:dyDescent="0.25">
      <c r="A4863" t="s">
        <v>5510</v>
      </c>
      <c r="B4863" t="s">
        <v>191</v>
      </c>
      <c r="C4863" t="s">
        <v>192</v>
      </c>
      <c r="D4863" t="str">
        <f>HYPERLINK("http://service.sap.com/sap/support/notes/1622011","1622011")</f>
        <v>1622011</v>
      </c>
      <c r="E4863">
        <v>2</v>
      </c>
      <c r="F4863" t="s">
        <v>5277</v>
      </c>
    </row>
    <row r="4864" spans="1:6" x14ac:dyDescent="0.25">
      <c r="A4864" t="s">
        <v>5510</v>
      </c>
      <c r="B4864" t="s">
        <v>191</v>
      </c>
      <c r="C4864" t="s">
        <v>192</v>
      </c>
      <c r="D4864" t="str">
        <f>HYPERLINK("http://service.sap.com/sap/support/notes/1622488","1622488")</f>
        <v>1622488</v>
      </c>
      <c r="E4864">
        <v>2</v>
      </c>
      <c r="F4864" t="s">
        <v>5278</v>
      </c>
    </row>
    <row r="4865" spans="1:6" x14ac:dyDescent="0.25">
      <c r="A4865" t="s">
        <v>5510</v>
      </c>
      <c r="B4865" t="s">
        <v>5279</v>
      </c>
      <c r="C4865" t="s">
        <v>1662</v>
      </c>
      <c r="D4865" t="str">
        <f>HYPERLINK("http://service.sap.com/sap/support/notes/1613545","1613545")</f>
        <v>1613545</v>
      </c>
      <c r="E4865">
        <v>1</v>
      </c>
      <c r="F4865" t="s">
        <v>5280</v>
      </c>
    </row>
    <row r="4866" spans="1:6" x14ac:dyDescent="0.25">
      <c r="A4866" t="s">
        <v>5510</v>
      </c>
      <c r="B4866" t="s">
        <v>207</v>
      </c>
      <c r="C4866" t="s">
        <v>208</v>
      </c>
      <c r="D4866" t="str">
        <f>HYPERLINK("http://service.sap.com/sap/support/notes/1603922","1603922")</f>
        <v>1603922</v>
      </c>
      <c r="E4866">
        <v>2</v>
      </c>
      <c r="F4866" t="s">
        <v>5281</v>
      </c>
    </row>
    <row r="4867" spans="1:6" x14ac:dyDescent="0.25">
      <c r="A4867" t="s">
        <v>5510</v>
      </c>
      <c r="B4867" t="s">
        <v>207</v>
      </c>
      <c r="C4867" t="s">
        <v>208</v>
      </c>
      <c r="D4867" t="str">
        <f>HYPERLINK("http://service.sap.com/sap/support/notes/1610664","1610664")</f>
        <v>1610664</v>
      </c>
      <c r="E4867">
        <v>1</v>
      </c>
      <c r="F4867" t="s">
        <v>5282</v>
      </c>
    </row>
    <row r="4868" spans="1:6" x14ac:dyDescent="0.25">
      <c r="A4868" t="s">
        <v>5510</v>
      </c>
      <c r="B4868" t="s">
        <v>207</v>
      </c>
      <c r="C4868" t="s">
        <v>208</v>
      </c>
      <c r="D4868" t="str">
        <f>HYPERLINK("http://service.sap.com/sap/support/notes/1614158","1614158")</f>
        <v>1614158</v>
      </c>
      <c r="E4868">
        <v>3</v>
      </c>
      <c r="F4868" t="s">
        <v>5283</v>
      </c>
    </row>
    <row r="4869" spans="1:6" x14ac:dyDescent="0.25">
      <c r="A4869" t="s">
        <v>5510</v>
      </c>
      <c r="B4869" t="s">
        <v>207</v>
      </c>
      <c r="C4869" t="s">
        <v>208</v>
      </c>
      <c r="D4869" t="str">
        <f>HYPERLINK("http://service.sap.com/sap/support/notes/1614351","1614351")</f>
        <v>1614351</v>
      </c>
      <c r="E4869">
        <v>1</v>
      </c>
      <c r="F4869" t="s">
        <v>5284</v>
      </c>
    </row>
    <row r="4870" spans="1:6" x14ac:dyDescent="0.25">
      <c r="A4870" t="s">
        <v>5510</v>
      </c>
      <c r="B4870" t="s">
        <v>207</v>
      </c>
      <c r="C4870" t="s">
        <v>208</v>
      </c>
      <c r="D4870" t="str">
        <f>HYPERLINK("http://service.sap.com/sap/support/notes/1617886","1617886")</f>
        <v>1617886</v>
      </c>
      <c r="E4870">
        <v>1</v>
      </c>
      <c r="F4870" t="s">
        <v>5285</v>
      </c>
    </row>
    <row r="4871" spans="1:6" x14ac:dyDescent="0.25">
      <c r="A4871" t="s">
        <v>5510</v>
      </c>
      <c r="B4871" t="s">
        <v>207</v>
      </c>
      <c r="C4871" t="s">
        <v>208</v>
      </c>
      <c r="D4871" t="str">
        <f>HYPERLINK("http://service.sap.com/sap/support/notes/1618283","1618283")</f>
        <v>1618283</v>
      </c>
      <c r="E4871">
        <v>2</v>
      </c>
      <c r="F4871" t="s">
        <v>5286</v>
      </c>
    </row>
    <row r="4872" spans="1:6" x14ac:dyDescent="0.25">
      <c r="A4872" t="s">
        <v>5510</v>
      </c>
      <c r="B4872" t="s">
        <v>207</v>
      </c>
      <c r="C4872" t="s">
        <v>208</v>
      </c>
      <c r="D4872" t="str">
        <f>HYPERLINK("http://service.sap.com/sap/support/notes/1618753","1618753")</f>
        <v>1618753</v>
      </c>
      <c r="E4872">
        <v>1</v>
      </c>
      <c r="F4872" t="s">
        <v>5287</v>
      </c>
    </row>
    <row r="4873" spans="1:6" x14ac:dyDescent="0.25">
      <c r="A4873" t="s">
        <v>5510</v>
      </c>
      <c r="B4873" t="s">
        <v>207</v>
      </c>
      <c r="C4873" t="s">
        <v>208</v>
      </c>
      <c r="D4873" t="str">
        <f>HYPERLINK("http://service.sap.com/sap/support/notes/1619250","1619250")</f>
        <v>1619250</v>
      </c>
      <c r="E4873">
        <v>2</v>
      </c>
      <c r="F4873" t="s">
        <v>5288</v>
      </c>
    </row>
    <row r="4874" spans="1:6" x14ac:dyDescent="0.25">
      <c r="A4874" t="s">
        <v>5510</v>
      </c>
      <c r="B4874" t="s">
        <v>207</v>
      </c>
      <c r="C4874" t="s">
        <v>208</v>
      </c>
      <c r="D4874" t="str">
        <f>HYPERLINK("http://service.sap.com/sap/support/notes/1619630","1619630")</f>
        <v>1619630</v>
      </c>
      <c r="E4874">
        <v>1</v>
      </c>
      <c r="F4874" t="s">
        <v>5289</v>
      </c>
    </row>
    <row r="4875" spans="1:6" x14ac:dyDescent="0.25">
      <c r="A4875" t="s">
        <v>5510</v>
      </c>
      <c r="B4875" t="s">
        <v>207</v>
      </c>
      <c r="C4875" t="s">
        <v>208</v>
      </c>
      <c r="D4875" t="str">
        <f>HYPERLINK("http://service.sap.com/sap/support/notes/1620428","1620428")</f>
        <v>1620428</v>
      </c>
      <c r="E4875">
        <v>3</v>
      </c>
      <c r="F4875" t="s">
        <v>5290</v>
      </c>
    </row>
    <row r="4876" spans="1:6" x14ac:dyDescent="0.25">
      <c r="A4876" t="s">
        <v>5510</v>
      </c>
      <c r="B4876" t="s">
        <v>213</v>
      </c>
      <c r="C4876" t="s">
        <v>214</v>
      </c>
      <c r="D4876" t="str">
        <f>HYPERLINK("http://service.sap.com/sap/support/notes/1485608","1485608")</f>
        <v>1485608</v>
      </c>
      <c r="E4876">
        <v>1</v>
      </c>
      <c r="F4876" t="s">
        <v>979</v>
      </c>
    </row>
    <row r="4877" spans="1:6" x14ac:dyDescent="0.25">
      <c r="A4877" t="s">
        <v>5510</v>
      </c>
      <c r="B4877" t="s">
        <v>213</v>
      </c>
      <c r="C4877" t="s">
        <v>214</v>
      </c>
      <c r="D4877" t="str">
        <f>HYPERLINK("http://service.sap.com/sap/support/notes/1562733","1562733")</f>
        <v>1562733</v>
      </c>
      <c r="E4877">
        <v>3</v>
      </c>
      <c r="F4877" t="s">
        <v>5291</v>
      </c>
    </row>
    <row r="4878" spans="1:6" x14ac:dyDescent="0.25">
      <c r="A4878" t="s">
        <v>5510</v>
      </c>
      <c r="B4878" t="s">
        <v>213</v>
      </c>
      <c r="C4878" t="s">
        <v>214</v>
      </c>
      <c r="D4878" t="str">
        <f>HYPERLINK("http://service.sap.com/sap/support/notes/1567746","1567746")</f>
        <v>1567746</v>
      </c>
      <c r="E4878">
        <v>4</v>
      </c>
      <c r="F4878" t="s">
        <v>5292</v>
      </c>
    </row>
    <row r="4879" spans="1:6" x14ac:dyDescent="0.25">
      <c r="A4879" t="s">
        <v>5510</v>
      </c>
      <c r="B4879" t="s">
        <v>213</v>
      </c>
      <c r="C4879" t="s">
        <v>214</v>
      </c>
      <c r="D4879" t="str">
        <f>HYPERLINK("http://service.sap.com/sap/support/notes/1574543","1574543")</f>
        <v>1574543</v>
      </c>
      <c r="E4879">
        <v>14</v>
      </c>
      <c r="F4879" t="s">
        <v>5293</v>
      </c>
    </row>
    <row r="4880" spans="1:6" x14ac:dyDescent="0.25">
      <c r="A4880" t="s">
        <v>5510</v>
      </c>
      <c r="B4880" t="s">
        <v>213</v>
      </c>
      <c r="C4880" t="s">
        <v>214</v>
      </c>
      <c r="D4880" t="str">
        <f>HYPERLINK("http://service.sap.com/sap/support/notes/1577738","1577738")</f>
        <v>1577738</v>
      </c>
      <c r="E4880">
        <v>10</v>
      </c>
      <c r="F4880" t="s">
        <v>5294</v>
      </c>
    </row>
    <row r="4881" spans="1:6" x14ac:dyDescent="0.25">
      <c r="A4881" t="s">
        <v>5510</v>
      </c>
      <c r="B4881" t="s">
        <v>213</v>
      </c>
      <c r="C4881" t="s">
        <v>214</v>
      </c>
      <c r="D4881" t="str">
        <f>HYPERLINK("http://service.sap.com/sap/support/notes/1581876","1581876")</f>
        <v>1581876</v>
      </c>
      <c r="E4881">
        <v>6</v>
      </c>
      <c r="F4881" t="s">
        <v>5295</v>
      </c>
    </row>
    <row r="4882" spans="1:6" x14ac:dyDescent="0.25">
      <c r="A4882" t="s">
        <v>5510</v>
      </c>
      <c r="B4882" t="s">
        <v>213</v>
      </c>
      <c r="C4882" t="s">
        <v>214</v>
      </c>
      <c r="D4882" t="str">
        <f>HYPERLINK("http://service.sap.com/sap/support/notes/1592107","1592107")</f>
        <v>1592107</v>
      </c>
      <c r="E4882">
        <v>7</v>
      </c>
      <c r="F4882" t="s">
        <v>5296</v>
      </c>
    </row>
    <row r="4883" spans="1:6" x14ac:dyDescent="0.25">
      <c r="A4883" t="s">
        <v>5510</v>
      </c>
      <c r="B4883" t="s">
        <v>213</v>
      </c>
      <c r="C4883" t="s">
        <v>214</v>
      </c>
      <c r="D4883" t="str">
        <f>HYPERLINK("http://service.sap.com/sap/support/notes/1603006","1603006")</f>
        <v>1603006</v>
      </c>
      <c r="E4883">
        <v>4</v>
      </c>
      <c r="F4883" t="s">
        <v>5297</v>
      </c>
    </row>
    <row r="4884" spans="1:6" x14ac:dyDescent="0.25">
      <c r="A4884" t="s">
        <v>5510</v>
      </c>
      <c r="B4884" t="s">
        <v>213</v>
      </c>
      <c r="C4884" t="s">
        <v>214</v>
      </c>
      <c r="D4884" t="str">
        <f>HYPERLINK("http://service.sap.com/sap/support/notes/1608861","1608861")</f>
        <v>1608861</v>
      </c>
      <c r="E4884">
        <v>8</v>
      </c>
      <c r="F4884" t="s">
        <v>5298</v>
      </c>
    </row>
    <row r="4885" spans="1:6" x14ac:dyDescent="0.25">
      <c r="A4885" t="s">
        <v>5510</v>
      </c>
      <c r="B4885" t="s">
        <v>213</v>
      </c>
      <c r="C4885" t="s">
        <v>214</v>
      </c>
      <c r="D4885" t="str">
        <f>HYPERLINK("http://service.sap.com/sap/support/notes/1615855","1615855")</f>
        <v>1615855</v>
      </c>
      <c r="E4885">
        <v>2</v>
      </c>
      <c r="F4885" t="s">
        <v>5299</v>
      </c>
    </row>
    <row r="4886" spans="1:6" x14ac:dyDescent="0.25">
      <c r="A4886" t="s">
        <v>5510</v>
      </c>
      <c r="B4886" t="s">
        <v>213</v>
      </c>
      <c r="C4886" t="s">
        <v>214</v>
      </c>
      <c r="D4886" t="str">
        <f>HYPERLINK("http://service.sap.com/sap/support/notes/1621061","1621061")</f>
        <v>1621061</v>
      </c>
      <c r="E4886">
        <v>2</v>
      </c>
      <c r="F4886" t="s">
        <v>5300</v>
      </c>
    </row>
    <row r="4887" spans="1:6" x14ac:dyDescent="0.25">
      <c r="A4887" t="s">
        <v>5510</v>
      </c>
      <c r="B4887" t="s">
        <v>223</v>
      </c>
      <c r="C4887" t="s">
        <v>49</v>
      </c>
      <c r="D4887" t="str">
        <f>HYPERLINK("http://service.sap.com/sap/support/notes/1619399","1619399")</f>
        <v>1619399</v>
      </c>
      <c r="E4887">
        <v>1</v>
      </c>
      <c r="F4887" t="s">
        <v>5301</v>
      </c>
    </row>
    <row r="4888" spans="1:6" x14ac:dyDescent="0.25">
      <c r="A4888" t="s">
        <v>5510</v>
      </c>
      <c r="B4888" t="s">
        <v>226</v>
      </c>
      <c r="C4888" t="s">
        <v>52</v>
      </c>
      <c r="D4888" t="str">
        <f>HYPERLINK("http://service.sap.com/sap/support/notes/1614475","1614475")</f>
        <v>1614475</v>
      </c>
      <c r="E4888">
        <v>1</v>
      </c>
      <c r="F4888" t="s">
        <v>5302</v>
      </c>
    </row>
    <row r="4889" spans="1:6" x14ac:dyDescent="0.25">
      <c r="A4889" t="s">
        <v>5510</v>
      </c>
      <c r="B4889" t="s">
        <v>235</v>
      </c>
      <c r="C4889" t="s">
        <v>236</v>
      </c>
    </row>
    <row r="4890" spans="1:6" x14ac:dyDescent="0.25">
      <c r="A4890" t="s">
        <v>5510</v>
      </c>
      <c r="B4890" t="s">
        <v>237</v>
      </c>
      <c r="C4890" t="s">
        <v>238</v>
      </c>
      <c r="D4890" t="str">
        <f>HYPERLINK("http://service.sap.com/sap/support/notes/1552930","1552930")</f>
        <v>1552930</v>
      </c>
      <c r="E4890">
        <v>4</v>
      </c>
      <c r="F4890" t="s">
        <v>5303</v>
      </c>
    </row>
    <row r="4891" spans="1:6" x14ac:dyDescent="0.25">
      <c r="A4891" t="s">
        <v>5510</v>
      </c>
      <c r="B4891" t="s">
        <v>237</v>
      </c>
      <c r="C4891" t="s">
        <v>238</v>
      </c>
      <c r="D4891" t="str">
        <f>HYPERLINK("http://service.sap.com/sap/support/notes/1614313","1614313")</f>
        <v>1614313</v>
      </c>
      <c r="E4891">
        <v>2</v>
      </c>
      <c r="F4891" t="s">
        <v>5304</v>
      </c>
    </row>
    <row r="4892" spans="1:6" x14ac:dyDescent="0.25">
      <c r="A4892" t="s">
        <v>5510</v>
      </c>
      <c r="B4892" t="s">
        <v>237</v>
      </c>
      <c r="C4892" t="s">
        <v>238</v>
      </c>
      <c r="D4892" t="str">
        <f>HYPERLINK("http://service.sap.com/sap/support/notes/1616586","1616586")</f>
        <v>1616586</v>
      </c>
      <c r="E4892">
        <v>2</v>
      </c>
      <c r="F4892" t="s">
        <v>5305</v>
      </c>
    </row>
    <row r="4893" spans="1:6" x14ac:dyDescent="0.25">
      <c r="A4893" t="s">
        <v>5510</v>
      </c>
      <c r="B4893" t="s">
        <v>237</v>
      </c>
      <c r="C4893" t="s">
        <v>238</v>
      </c>
      <c r="D4893" t="str">
        <f>HYPERLINK("http://service.sap.com/sap/support/notes/1619296","1619296")</f>
        <v>1619296</v>
      </c>
      <c r="E4893">
        <v>2</v>
      </c>
      <c r="F4893" t="s">
        <v>5306</v>
      </c>
    </row>
    <row r="4894" spans="1:6" x14ac:dyDescent="0.25">
      <c r="A4894" t="s">
        <v>5510</v>
      </c>
      <c r="B4894" t="s">
        <v>237</v>
      </c>
      <c r="C4894" t="s">
        <v>238</v>
      </c>
      <c r="D4894" t="str">
        <f>HYPERLINK("http://service.sap.com/sap/support/notes/1620589","1620589")</f>
        <v>1620589</v>
      </c>
      <c r="E4894">
        <v>1</v>
      </c>
      <c r="F4894" t="s">
        <v>5307</v>
      </c>
    </row>
    <row r="4895" spans="1:6" x14ac:dyDescent="0.25">
      <c r="A4895" t="s">
        <v>5510</v>
      </c>
      <c r="B4895" t="s">
        <v>5308</v>
      </c>
      <c r="C4895" t="s">
        <v>5309</v>
      </c>
      <c r="D4895" t="str">
        <f>HYPERLINK("http://service.sap.com/sap/support/notes/1592357","1592357")</f>
        <v>1592357</v>
      </c>
      <c r="E4895">
        <v>1</v>
      </c>
      <c r="F4895" t="s">
        <v>5310</v>
      </c>
    </row>
    <row r="4896" spans="1:6" x14ac:dyDescent="0.25">
      <c r="A4896" t="s">
        <v>5510</v>
      </c>
      <c r="B4896" t="s">
        <v>1009</v>
      </c>
      <c r="C4896" t="s">
        <v>1010</v>
      </c>
      <c r="D4896" t="str">
        <f>HYPERLINK("http://service.sap.com/sap/support/notes/1610908","1610908")</f>
        <v>1610908</v>
      </c>
      <c r="E4896">
        <v>1</v>
      </c>
      <c r="F4896" t="s">
        <v>5311</v>
      </c>
    </row>
    <row r="4897" spans="1:6" x14ac:dyDescent="0.25">
      <c r="A4897" t="s">
        <v>5510</v>
      </c>
      <c r="B4897" t="s">
        <v>1009</v>
      </c>
      <c r="C4897" t="s">
        <v>1010</v>
      </c>
      <c r="D4897" t="str">
        <f>HYPERLINK("http://service.sap.com/sap/support/notes/1618039","1618039")</f>
        <v>1618039</v>
      </c>
      <c r="E4897">
        <v>5</v>
      </c>
      <c r="F4897" t="s">
        <v>5312</v>
      </c>
    </row>
    <row r="4898" spans="1:6" x14ac:dyDescent="0.25">
      <c r="A4898" t="s">
        <v>5510</v>
      </c>
      <c r="B4898" t="s">
        <v>250</v>
      </c>
      <c r="C4898" t="s">
        <v>251</v>
      </c>
    </row>
    <row r="4899" spans="1:6" x14ac:dyDescent="0.25">
      <c r="A4899" t="s">
        <v>5510</v>
      </c>
      <c r="B4899" t="s">
        <v>5313</v>
      </c>
      <c r="C4899" t="s">
        <v>5314</v>
      </c>
      <c r="D4899" t="str">
        <f>HYPERLINK("http://service.sap.com/sap/support/notes/1619621","1619621")</f>
        <v>1619621</v>
      </c>
      <c r="E4899">
        <v>2</v>
      </c>
      <c r="F4899" t="s">
        <v>5315</v>
      </c>
    </row>
    <row r="4900" spans="1:6" x14ac:dyDescent="0.25">
      <c r="A4900" t="s">
        <v>5510</v>
      </c>
      <c r="B4900" t="s">
        <v>252</v>
      </c>
      <c r="C4900" t="s">
        <v>253</v>
      </c>
      <c r="D4900" t="str">
        <f>HYPERLINK("http://service.sap.com/sap/support/notes/1608186","1608186")</f>
        <v>1608186</v>
      </c>
      <c r="E4900">
        <v>2</v>
      </c>
      <c r="F4900" t="s">
        <v>5316</v>
      </c>
    </row>
    <row r="4901" spans="1:6" x14ac:dyDescent="0.25">
      <c r="A4901" t="s">
        <v>5510</v>
      </c>
      <c r="B4901" t="s">
        <v>255</v>
      </c>
      <c r="C4901" t="s">
        <v>256</v>
      </c>
      <c r="D4901" t="str">
        <f>HYPERLINK("http://service.sap.com/sap/support/notes/1613891","1613891")</f>
        <v>1613891</v>
      </c>
      <c r="E4901">
        <v>1</v>
      </c>
      <c r="F4901" t="s">
        <v>5317</v>
      </c>
    </row>
    <row r="4902" spans="1:6" x14ac:dyDescent="0.25">
      <c r="A4902" t="s">
        <v>5510</v>
      </c>
      <c r="B4902" t="s">
        <v>255</v>
      </c>
      <c r="C4902" t="s">
        <v>256</v>
      </c>
      <c r="D4902" t="str">
        <f>HYPERLINK("http://service.sap.com/sap/support/notes/1615119","1615119")</f>
        <v>1615119</v>
      </c>
      <c r="E4902">
        <v>2</v>
      </c>
      <c r="F4902" t="s">
        <v>5318</v>
      </c>
    </row>
    <row r="4903" spans="1:6" x14ac:dyDescent="0.25">
      <c r="A4903" t="s">
        <v>5510</v>
      </c>
      <c r="B4903" t="s">
        <v>258</v>
      </c>
      <c r="C4903" t="s">
        <v>259</v>
      </c>
      <c r="D4903" t="str">
        <f>HYPERLINK("http://service.sap.com/sap/support/notes/1592967","1592967")</f>
        <v>1592967</v>
      </c>
      <c r="E4903">
        <v>1</v>
      </c>
      <c r="F4903" t="s">
        <v>5319</v>
      </c>
    </row>
    <row r="4904" spans="1:6" x14ac:dyDescent="0.25">
      <c r="A4904" t="s">
        <v>5510</v>
      </c>
      <c r="B4904" t="s">
        <v>258</v>
      </c>
      <c r="C4904" t="s">
        <v>259</v>
      </c>
      <c r="D4904" t="str">
        <f>HYPERLINK("http://service.sap.com/sap/support/notes/1612872","1612872")</f>
        <v>1612872</v>
      </c>
      <c r="E4904">
        <v>2</v>
      </c>
      <c r="F4904" t="s">
        <v>5320</v>
      </c>
    </row>
    <row r="4905" spans="1:6" x14ac:dyDescent="0.25">
      <c r="A4905" t="s">
        <v>5510</v>
      </c>
      <c r="B4905" t="s">
        <v>258</v>
      </c>
      <c r="C4905" t="s">
        <v>259</v>
      </c>
      <c r="D4905" t="str">
        <f>HYPERLINK("http://service.sap.com/sap/support/notes/1613126","1613126")</f>
        <v>1613126</v>
      </c>
      <c r="E4905">
        <v>2</v>
      </c>
      <c r="F4905" t="s">
        <v>5321</v>
      </c>
    </row>
    <row r="4906" spans="1:6" x14ac:dyDescent="0.25">
      <c r="A4906" t="s">
        <v>5510</v>
      </c>
      <c r="B4906" t="s">
        <v>258</v>
      </c>
      <c r="C4906" t="s">
        <v>259</v>
      </c>
      <c r="D4906" t="str">
        <f>HYPERLINK("http://service.sap.com/sap/support/notes/1613443","1613443")</f>
        <v>1613443</v>
      </c>
      <c r="E4906">
        <v>11</v>
      </c>
      <c r="F4906" t="s">
        <v>5322</v>
      </c>
    </row>
    <row r="4907" spans="1:6" x14ac:dyDescent="0.25">
      <c r="A4907" t="s">
        <v>5510</v>
      </c>
      <c r="B4907" t="s">
        <v>258</v>
      </c>
      <c r="C4907" t="s">
        <v>259</v>
      </c>
      <c r="D4907" t="str">
        <f>HYPERLINK("http://service.sap.com/sap/support/notes/1614456","1614456")</f>
        <v>1614456</v>
      </c>
      <c r="E4907">
        <v>2</v>
      </c>
      <c r="F4907" t="s">
        <v>5323</v>
      </c>
    </row>
    <row r="4908" spans="1:6" x14ac:dyDescent="0.25">
      <c r="A4908" t="s">
        <v>5510</v>
      </c>
      <c r="B4908" t="s">
        <v>258</v>
      </c>
      <c r="C4908" t="s">
        <v>259</v>
      </c>
      <c r="D4908" t="str">
        <f>HYPERLINK("http://service.sap.com/sap/support/notes/1615407","1615407")</f>
        <v>1615407</v>
      </c>
      <c r="E4908">
        <v>1</v>
      </c>
      <c r="F4908" t="s">
        <v>5324</v>
      </c>
    </row>
    <row r="4909" spans="1:6" x14ac:dyDescent="0.25">
      <c r="A4909" t="s">
        <v>5510</v>
      </c>
      <c r="B4909" t="s">
        <v>258</v>
      </c>
      <c r="C4909" t="s">
        <v>259</v>
      </c>
      <c r="D4909" t="str">
        <f>HYPERLINK("http://service.sap.com/sap/support/notes/1615410","1615410")</f>
        <v>1615410</v>
      </c>
      <c r="E4909">
        <v>2</v>
      </c>
      <c r="F4909" t="s">
        <v>5325</v>
      </c>
    </row>
    <row r="4910" spans="1:6" x14ac:dyDescent="0.25">
      <c r="A4910" t="s">
        <v>5510</v>
      </c>
      <c r="B4910" t="s">
        <v>258</v>
      </c>
      <c r="C4910" t="s">
        <v>259</v>
      </c>
      <c r="D4910" t="str">
        <f>HYPERLINK("http://service.sap.com/sap/support/notes/1616045","1616045")</f>
        <v>1616045</v>
      </c>
      <c r="E4910">
        <v>2</v>
      </c>
      <c r="F4910" t="s">
        <v>5326</v>
      </c>
    </row>
    <row r="4911" spans="1:6" x14ac:dyDescent="0.25">
      <c r="A4911" t="s">
        <v>5510</v>
      </c>
      <c r="B4911" t="s">
        <v>258</v>
      </c>
      <c r="C4911" t="s">
        <v>259</v>
      </c>
      <c r="D4911" t="str">
        <f>HYPERLINK("http://service.sap.com/sap/support/notes/1616536","1616536")</f>
        <v>1616536</v>
      </c>
      <c r="E4911">
        <v>1</v>
      </c>
      <c r="F4911" t="s">
        <v>5327</v>
      </c>
    </row>
    <row r="4912" spans="1:6" x14ac:dyDescent="0.25">
      <c r="A4912" t="s">
        <v>5510</v>
      </c>
      <c r="B4912" t="s">
        <v>258</v>
      </c>
      <c r="C4912" t="s">
        <v>259</v>
      </c>
      <c r="D4912" t="str">
        <f>HYPERLINK("http://service.sap.com/sap/support/notes/1617344","1617344")</f>
        <v>1617344</v>
      </c>
      <c r="E4912">
        <v>3</v>
      </c>
      <c r="F4912" t="s">
        <v>5328</v>
      </c>
    </row>
    <row r="4913" spans="1:6" x14ac:dyDescent="0.25">
      <c r="A4913" t="s">
        <v>5510</v>
      </c>
      <c r="B4913" t="s">
        <v>258</v>
      </c>
      <c r="C4913" t="s">
        <v>259</v>
      </c>
      <c r="D4913" t="str">
        <f>HYPERLINK("http://service.sap.com/sap/support/notes/1619053","1619053")</f>
        <v>1619053</v>
      </c>
      <c r="E4913">
        <v>11</v>
      </c>
      <c r="F4913" t="s">
        <v>5329</v>
      </c>
    </row>
    <row r="4914" spans="1:6" x14ac:dyDescent="0.25">
      <c r="A4914" t="s">
        <v>5510</v>
      </c>
      <c r="B4914" t="s">
        <v>258</v>
      </c>
      <c r="C4914" t="s">
        <v>259</v>
      </c>
      <c r="D4914" t="str">
        <f>HYPERLINK("http://service.sap.com/sap/support/notes/1619144","1619144")</f>
        <v>1619144</v>
      </c>
      <c r="E4914">
        <v>2</v>
      </c>
      <c r="F4914" t="s">
        <v>5330</v>
      </c>
    </row>
    <row r="4915" spans="1:6" x14ac:dyDescent="0.25">
      <c r="A4915" t="s">
        <v>5510</v>
      </c>
      <c r="B4915" t="s">
        <v>258</v>
      </c>
      <c r="C4915" t="s">
        <v>259</v>
      </c>
      <c r="D4915" t="str">
        <f>HYPERLINK("http://service.sap.com/sap/support/notes/1619790","1619790")</f>
        <v>1619790</v>
      </c>
      <c r="E4915">
        <v>1</v>
      </c>
      <c r="F4915" t="s">
        <v>5331</v>
      </c>
    </row>
    <row r="4916" spans="1:6" x14ac:dyDescent="0.25">
      <c r="A4916" t="s">
        <v>5510</v>
      </c>
      <c r="B4916" t="s">
        <v>258</v>
      </c>
      <c r="C4916" t="s">
        <v>259</v>
      </c>
      <c r="D4916" t="str">
        <f>HYPERLINK("http://service.sap.com/sap/support/notes/1620938","1620938")</f>
        <v>1620938</v>
      </c>
      <c r="E4916">
        <v>3</v>
      </c>
      <c r="F4916" t="s">
        <v>5332</v>
      </c>
    </row>
    <row r="4917" spans="1:6" x14ac:dyDescent="0.25">
      <c r="A4917" t="s">
        <v>5510</v>
      </c>
      <c r="B4917" t="s">
        <v>258</v>
      </c>
      <c r="C4917" t="s">
        <v>259</v>
      </c>
      <c r="D4917" t="str">
        <f>HYPERLINK("http://service.sap.com/sap/support/notes/1621523","1621523")</f>
        <v>1621523</v>
      </c>
      <c r="E4917">
        <v>1</v>
      </c>
      <c r="F4917" t="s">
        <v>5333</v>
      </c>
    </row>
    <row r="4918" spans="1:6" x14ac:dyDescent="0.25">
      <c r="A4918" t="s">
        <v>5510</v>
      </c>
      <c r="B4918" t="s">
        <v>264</v>
      </c>
      <c r="C4918" t="s">
        <v>265</v>
      </c>
      <c r="D4918" t="str">
        <f>HYPERLINK("http://service.sap.com/sap/support/notes/1615559","1615559")</f>
        <v>1615559</v>
      </c>
      <c r="E4918">
        <v>2</v>
      </c>
      <c r="F4918" t="s">
        <v>5334</v>
      </c>
    </row>
    <row r="4919" spans="1:6" x14ac:dyDescent="0.25">
      <c r="A4919" t="s">
        <v>5510</v>
      </c>
      <c r="B4919" t="s">
        <v>264</v>
      </c>
      <c r="C4919" t="s">
        <v>265</v>
      </c>
      <c r="D4919" t="str">
        <f>HYPERLINK("http://service.sap.com/sap/support/notes/1621105","1621105")</f>
        <v>1621105</v>
      </c>
      <c r="E4919">
        <v>3</v>
      </c>
      <c r="F4919" t="s">
        <v>5335</v>
      </c>
    </row>
    <row r="4920" spans="1:6" x14ac:dyDescent="0.25">
      <c r="A4920" t="s">
        <v>5510</v>
      </c>
      <c r="B4920" t="s">
        <v>273</v>
      </c>
      <c r="C4920" t="s">
        <v>153</v>
      </c>
      <c r="D4920" t="str">
        <f>HYPERLINK("http://service.sap.com/sap/support/notes/1614717","1614717")</f>
        <v>1614717</v>
      </c>
      <c r="E4920">
        <v>2</v>
      </c>
      <c r="F4920" t="s">
        <v>5336</v>
      </c>
    </row>
    <row r="4921" spans="1:6" x14ac:dyDescent="0.25">
      <c r="A4921" t="s">
        <v>5510</v>
      </c>
      <c r="B4921" t="s">
        <v>273</v>
      </c>
      <c r="C4921" t="s">
        <v>153</v>
      </c>
      <c r="D4921" t="str">
        <f>HYPERLINK("http://service.sap.com/sap/support/notes/1619669","1619669")</f>
        <v>1619669</v>
      </c>
      <c r="E4921">
        <v>1</v>
      </c>
      <c r="F4921" t="s">
        <v>5337</v>
      </c>
    </row>
    <row r="4922" spans="1:6" x14ac:dyDescent="0.25">
      <c r="A4922" t="s">
        <v>5510</v>
      </c>
      <c r="B4922" t="s">
        <v>273</v>
      </c>
      <c r="C4922" t="s">
        <v>153</v>
      </c>
      <c r="D4922" t="str">
        <f>HYPERLINK("http://service.sap.com/sap/support/notes/1622203","1622203")</f>
        <v>1622203</v>
      </c>
      <c r="E4922">
        <v>1</v>
      </c>
      <c r="F4922" t="s">
        <v>5338</v>
      </c>
    </row>
    <row r="4923" spans="1:6" x14ac:dyDescent="0.25">
      <c r="A4923" t="s">
        <v>5510</v>
      </c>
      <c r="B4923" t="s">
        <v>284</v>
      </c>
      <c r="C4923" t="s">
        <v>285</v>
      </c>
      <c r="D4923" t="str">
        <f>HYPERLINK("http://service.sap.com/sap/support/notes/1613816","1613816")</f>
        <v>1613816</v>
      </c>
      <c r="E4923">
        <v>1</v>
      </c>
      <c r="F4923" t="s">
        <v>5339</v>
      </c>
    </row>
    <row r="4924" spans="1:6" x14ac:dyDescent="0.25">
      <c r="A4924" t="s">
        <v>5510</v>
      </c>
      <c r="B4924" t="s">
        <v>284</v>
      </c>
      <c r="C4924" t="s">
        <v>285</v>
      </c>
      <c r="D4924" t="str">
        <f>HYPERLINK("http://service.sap.com/sap/support/notes/1614628","1614628")</f>
        <v>1614628</v>
      </c>
      <c r="E4924">
        <v>1</v>
      </c>
      <c r="F4924" t="s">
        <v>5340</v>
      </c>
    </row>
    <row r="4925" spans="1:6" x14ac:dyDescent="0.25">
      <c r="A4925" t="s">
        <v>5510</v>
      </c>
      <c r="B4925" t="s">
        <v>284</v>
      </c>
      <c r="C4925" t="s">
        <v>285</v>
      </c>
      <c r="D4925" t="str">
        <f>HYPERLINK("http://service.sap.com/sap/support/notes/1614916","1614916")</f>
        <v>1614916</v>
      </c>
      <c r="E4925">
        <v>2</v>
      </c>
      <c r="F4925" t="s">
        <v>5341</v>
      </c>
    </row>
    <row r="4926" spans="1:6" x14ac:dyDescent="0.25">
      <c r="A4926" t="s">
        <v>5510</v>
      </c>
      <c r="B4926" t="s">
        <v>284</v>
      </c>
      <c r="C4926" t="s">
        <v>285</v>
      </c>
      <c r="D4926" t="str">
        <f>HYPERLINK("http://service.sap.com/sap/support/notes/1621733","1621733")</f>
        <v>1621733</v>
      </c>
      <c r="E4926">
        <v>1</v>
      </c>
      <c r="F4926" t="s">
        <v>5342</v>
      </c>
    </row>
    <row r="4927" spans="1:6" x14ac:dyDescent="0.25">
      <c r="A4927" t="s">
        <v>5510</v>
      </c>
      <c r="B4927" t="s">
        <v>284</v>
      </c>
      <c r="C4927" t="s">
        <v>285</v>
      </c>
      <c r="D4927" t="str">
        <f>HYPERLINK("http://service.sap.com/sap/support/notes/1621823","1621823")</f>
        <v>1621823</v>
      </c>
      <c r="E4927">
        <v>3</v>
      </c>
      <c r="F4927" t="s">
        <v>5343</v>
      </c>
    </row>
    <row r="4928" spans="1:6" x14ac:dyDescent="0.25">
      <c r="A4928" t="s">
        <v>5510</v>
      </c>
      <c r="B4928" t="s">
        <v>284</v>
      </c>
      <c r="C4928" t="s">
        <v>285</v>
      </c>
      <c r="D4928" t="str">
        <f>HYPERLINK("http://service.sap.com/sap/support/notes/1622172","1622172")</f>
        <v>1622172</v>
      </c>
      <c r="E4928">
        <v>1</v>
      </c>
      <c r="F4928" t="s">
        <v>5344</v>
      </c>
    </row>
    <row r="4929" spans="1:6" x14ac:dyDescent="0.25">
      <c r="A4929" t="s">
        <v>5510</v>
      </c>
      <c r="B4929" t="s">
        <v>5345</v>
      </c>
      <c r="C4929" t="s">
        <v>3434</v>
      </c>
      <c r="D4929" t="str">
        <f>HYPERLINK("http://service.sap.com/sap/support/notes/1613621","1613621")</f>
        <v>1613621</v>
      </c>
      <c r="E4929">
        <v>2</v>
      </c>
      <c r="F4929" t="s">
        <v>5346</v>
      </c>
    </row>
    <row r="4930" spans="1:6" x14ac:dyDescent="0.25">
      <c r="A4930" t="s">
        <v>5510</v>
      </c>
      <c r="B4930" t="s">
        <v>304</v>
      </c>
      <c r="C4930" t="s">
        <v>305</v>
      </c>
      <c r="D4930" t="str">
        <f>HYPERLINK("http://service.sap.com/sap/support/notes/1017716","1017716")</f>
        <v>1017716</v>
      </c>
      <c r="E4930">
        <v>1</v>
      </c>
      <c r="F4930" t="s">
        <v>1074</v>
      </c>
    </row>
    <row r="4931" spans="1:6" x14ac:dyDescent="0.25">
      <c r="A4931" t="s">
        <v>5510</v>
      </c>
      <c r="B4931" t="s">
        <v>304</v>
      </c>
      <c r="C4931" t="s">
        <v>305</v>
      </c>
      <c r="D4931" t="str">
        <f>HYPERLINK("http://service.sap.com/sap/support/notes/1595268","1595268")</f>
        <v>1595268</v>
      </c>
      <c r="E4931">
        <v>4</v>
      </c>
      <c r="F4931" t="s">
        <v>5347</v>
      </c>
    </row>
    <row r="4932" spans="1:6" x14ac:dyDescent="0.25">
      <c r="A4932" t="s">
        <v>5510</v>
      </c>
      <c r="B4932" t="s">
        <v>304</v>
      </c>
      <c r="C4932" t="s">
        <v>305</v>
      </c>
      <c r="D4932" t="str">
        <f>HYPERLINK("http://service.sap.com/sap/support/notes/1598974","1598974")</f>
        <v>1598974</v>
      </c>
      <c r="E4932">
        <v>2</v>
      </c>
      <c r="F4932" t="s">
        <v>5348</v>
      </c>
    </row>
    <row r="4933" spans="1:6" x14ac:dyDescent="0.25">
      <c r="A4933" t="s">
        <v>5510</v>
      </c>
      <c r="B4933" t="s">
        <v>304</v>
      </c>
      <c r="C4933" t="s">
        <v>305</v>
      </c>
      <c r="D4933" t="str">
        <f>HYPERLINK("http://service.sap.com/sap/support/notes/1607965","1607965")</f>
        <v>1607965</v>
      </c>
      <c r="E4933">
        <v>4</v>
      </c>
      <c r="F4933" t="s">
        <v>5349</v>
      </c>
    </row>
    <row r="4934" spans="1:6" x14ac:dyDescent="0.25">
      <c r="A4934" t="s">
        <v>5510</v>
      </c>
      <c r="B4934" t="s">
        <v>304</v>
      </c>
      <c r="C4934" t="s">
        <v>305</v>
      </c>
      <c r="D4934" t="str">
        <f>HYPERLINK("http://service.sap.com/sap/support/notes/1607972","1607972")</f>
        <v>1607972</v>
      </c>
      <c r="E4934">
        <v>2</v>
      </c>
      <c r="F4934" t="s">
        <v>5350</v>
      </c>
    </row>
    <row r="4935" spans="1:6" x14ac:dyDescent="0.25">
      <c r="A4935" t="s">
        <v>5510</v>
      </c>
      <c r="B4935" t="s">
        <v>304</v>
      </c>
      <c r="C4935" t="s">
        <v>305</v>
      </c>
      <c r="D4935" t="str">
        <f>HYPERLINK("http://service.sap.com/sap/support/notes/1609518","1609518")</f>
        <v>1609518</v>
      </c>
      <c r="E4935">
        <v>1</v>
      </c>
      <c r="F4935" t="s">
        <v>5351</v>
      </c>
    </row>
    <row r="4936" spans="1:6" x14ac:dyDescent="0.25">
      <c r="A4936" t="s">
        <v>5510</v>
      </c>
      <c r="B4936" t="s">
        <v>304</v>
      </c>
      <c r="C4936" t="s">
        <v>305</v>
      </c>
      <c r="D4936" t="str">
        <f>HYPERLINK("http://service.sap.com/sap/support/notes/1611846","1611846")</f>
        <v>1611846</v>
      </c>
      <c r="E4936">
        <v>3</v>
      </c>
      <c r="F4936" t="s">
        <v>5352</v>
      </c>
    </row>
    <row r="4937" spans="1:6" x14ac:dyDescent="0.25">
      <c r="A4937" t="s">
        <v>5510</v>
      </c>
      <c r="B4937" t="s">
        <v>304</v>
      </c>
      <c r="C4937" t="s">
        <v>305</v>
      </c>
      <c r="D4937" t="str">
        <f>HYPERLINK("http://service.sap.com/sap/support/notes/1612010","1612010")</f>
        <v>1612010</v>
      </c>
      <c r="E4937">
        <v>1</v>
      </c>
      <c r="F4937" t="s">
        <v>5353</v>
      </c>
    </row>
    <row r="4938" spans="1:6" x14ac:dyDescent="0.25">
      <c r="A4938" t="s">
        <v>5510</v>
      </c>
      <c r="B4938" t="s">
        <v>304</v>
      </c>
      <c r="C4938" t="s">
        <v>305</v>
      </c>
      <c r="D4938" t="str">
        <f>HYPERLINK("http://service.sap.com/sap/support/notes/1613526","1613526")</f>
        <v>1613526</v>
      </c>
      <c r="E4938">
        <v>2</v>
      </c>
      <c r="F4938" t="s">
        <v>5354</v>
      </c>
    </row>
    <row r="4939" spans="1:6" x14ac:dyDescent="0.25">
      <c r="A4939" t="s">
        <v>5510</v>
      </c>
      <c r="B4939" t="s">
        <v>304</v>
      </c>
      <c r="C4939" t="s">
        <v>305</v>
      </c>
      <c r="D4939" t="str">
        <f>HYPERLINK("http://service.sap.com/sap/support/notes/1615018","1615018")</f>
        <v>1615018</v>
      </c>
      <c r="E4939">
        <v>2</v>
      </c>
      <c r="F4939" t="s">
        <v>5355</v>
      </c>
    </row>
    <row r="4940" spans="1:6" x14ac:dyDescent="0.25">
      <c r="A4940" t="s">
        <v>5510</v>
      </c>
      <c r="B4940" t="s">
        <v>304</v>
      </c>
      <c r="C4940" t="s">
        <v>305</v>
      </c>
      <c r="D4940" t="str">
        <f>HYPERLINK("http://service.sap.com/sap/support/notes/1616866","1616866")</f>
        <v>1616866</v>
      </c>
      <c r="E4940">
        <v>1</v>
      </c>
      <c r="F4940" t="s">
        <v>5356</v>
      </c>
    </row>
    <row r="4941" spans="1:6" x14ac:dyDescent="0.25">
      <c r="A4941" t="s">
        <v>5510</v>
      </c>
      <c r="B4941" t="s">
        <v>304</v>
      </c>
      <c r="C4941" t="s">
        <v>305</v>
      </c>
      <c r="D4941" t="str">
        <f>HYPERLINK("http://service.sap.com/sap/support/notes/1617928","1617928")</f>
        <v>1617928</v>
      </c>
      <c r="E4941">
        <v>1</v>
      </c>
      <c r="F4941" t="s">
        <v>5357</v>
      </c>
    </row>
    <row r="4942" spans="1:6" x14ac:dyDescent="0.25">
      <c r="A4942" t="s">
        <v>5510</v>
      </c>
      <c r="B4942" t="s">
        <v>304</v>
      </c>
      <c r="C4942" t="s">
        <v>305</v>
      </c>
      <c r="D4942" t="str">
        <f>HYPERLINK("http://service.sap.com/sap/support/notes/1618820","1618820")</f>
        <v>1618820</v>
      </c>
      <c r="E4942">
        <v>4</v>
      </c>
      <c r="F4942" t="s">
        <v>5358</v>
      </c>
    </row>
    <row r="4943" spans="1:6" x14ac:dyDescent="0.25">
      <c r="A4943" t="s">
        <v>5510</v>
      </c>
      <c r="B4943" t="s">
        <v>304</v>
      </c>
      <c r="C4943" t="s">
        <v>305</v>
      </c>
      <c r="D4943" t="str">
        <f>HYPERLINK("http://service.sap.com/sap/support/notes/1619239","1619239")</f>
        <v>1619239</v>
      </c>
      <c r="E4943">
        <v>1</v>
      </c>
      <c r="F4943" t="s">
        <v>5359</v>
      </c>
    </row>
    <row r="4944" spans="1:6" x14ac:dyDescent="0.25">
      <c r="A4944" t="s">
        <v>5510</v>
      </c>
      <c r="B4944" t="s">
        <v>324</v>
      </c>
      <c r="C4944" t="s">
        <v>55</v>
      </c>
      <c r="D4944" t="str">
        <f>HYPERLINK("http://service.sap.com/sap/support/notes/1592736","1592736")</f>
        <v>1592736</v>
      </c>
      <c r="E4944">
        <v>1</v>
      </c>
      <c r="F4944" t="s">
        <v>5360</v>
      </c>
    </row>
    <row r="4945" spans="1:6" x14ac:dyDescent="0.25">
      <c r="A4945" t="s">
        <v>5510</v>
      </c>
      <c r="B4945" t="s">
        <v>324</v>
      </c>
      <c r="C4945" t="s">
        <v>55</v>
      </c>
      <c r="D4945" t="str">
        <f>HYPERLINK("http://service.sap.com/sap/support/notes/1617189","1617189")</f>
        <v>1617189</v>
      </c>
      <c r="E4945">
        <v>1</v>
      </c>
      <c r="F4945" t="s">
        <v>5361</v>
      </c>
    </row>
    <row r="4946" spans="1:6" x14ac:dyDescent="0.25">
      <c r="A4946" t="s">
        <v>5510</v>
      </c>
      <c r="B4946" t="s">
        <v>328</v>
      </c>
      <c r="C4946" t="s">
        <v>58</v>
      </c>
      <c r="D4946" t="str">
        <f>HYPERLINK("http://service.sap.com/sap/support/notes/1597214","1597214")</f>
        <v>1597214</v>
      </c>
      <c r="E4946">
        <v>1</v>
      </c>
      <c r="F4946" t="s">
        <v>5017</v>
      </c>
    </row>
    <row r="4947" spans="1:6" x14ac:dyDescent="0.25">
      <c r="A4947" t="s">
        <v>5510</v>
      </c>
      <c r="B4947" t="s">
        <v>328</v>
      </c>
      <c r="C4947" t="s">
        <v>58</v>
      </c>
      <c r="D4947" t="str">
        <f>HYPERLINK("http://service.sap.com/sap/support/notes/1608004","1608004")</f>
        <v>1608004</v>
      </c>
      <c r="E4947">
        <v>3</v>
      </c>
      <c r="F4947" t="s">
        <v>5362</v>
      </c>
    </row>
    <row r="4948" spans="1:6" x14ac:dyDescent="0.25">
      <c r="A4948" t="s">
        <v>5510</v>
      </c>
      <c r="B4948" t="s">
        <v>328</v>
      </c>
      <c r="C4948" t="s">
        <v>58</v>
      </c>
      <c r="D4948" t="str">
        <f>HYPERLINK("http://service.sap.com/sap/support/notes/1612738","1612738")</f>
        <v>1612738</v>
      </c>
      <c r="E4948">
        <v>2</v>
      </c>
      <c r="F4948" t="s">
        <v>5363</v>
      </c>
    </row>
    <row r="4949" spans="1:6" x14ac:dyDescent="0.25">
      <c r="A4949" t="s">
        <v>5510</v>
      </c>
      <c r="B4949" t="s">
        <v>328</v>
      </c>
      <c r="C4949" t="s">
        <v>58</v>
      </c>
      <c r="D4949" t="str">
        <f>HYPERLINK("http://service.sap.com/sap/support/notes/1618587","1618587")</f>
        <v>1618587</v>
      </c>
      <c r="E4949">
        <v>1</v>
      </c>
      <c r="F4949" t="s">
        <v>5364</v>
      </c>
    </row>
    <row r="4950" spans="1:6" x14ac:dyDescent="0.25">
      <c r="A4950" t="s">
        <v>5510</v>
      </c>
      <c r="B4950" t="s">
        <v>328</v>
      </c>
      <c r="C4950" t="s">
        <v>58</v>
      </c>
      <c r="D4950" t="str">
        <f>HYPERLINK("http://service.sap.com/sap/support/notes/1620497","1620497")</f>
        <v>1620497</v>
      </c>
      <c r="E4950">
        <v>1</v>
      </c>
      <c r="F4950" t="s">
        <v>5365</v>
      </c>
    </row>
    <row r="4951" spans="1:6" x14ac:dyDescent="0.25">
      <c r="A4951" t="s">
        <v>5510</v>
      </c>
      <c r="B4951" t="s">
        <v>328</v>
      </c>
      <c r="C4951" t="s">
        <v>58</v>
      </c>
      <c r="D4951" t="str">
        <f>HYPERLINK("http://service.sap.com/sap/support/notes/1620945","1620945")</f>
        <v>1620945</v>
      </c>
      <c r="E4951">
        <v>1</v>
      </c>
      <c r="F4951" t="s">
        <v>5366</v>
      </c>
    </row>
    <row r="4952" spans="1:6" x14ac:dyDescent="0.25">
      <c r="A4952" t="s">
        <v>5510</v>
      </c>
      <c r="B4952" t="s">
        <v>5028</v>
      </c>
      <c r="C4952" t="s">
        <v>1662</v>
      </c>
      <c r="D4952" t="str">
        <f>HYPERLINK("http://service.sap.com/sap/support/notes/1618603","1618603")</f>
        <v>1618603</v>
      </c>
      <c r="E4952">
        <v>1</v>
      </c>
      <c r="F4952" t="s">
        <v>5367</v>
      </c>
    </row>
    <row r="4953" spans="1:6" x14ac:dyDescent="0.25">
      <c r="A4953" t="s">
        <v>5510</v>
      </c>
      <c r="B4953" t="s">
        <v>5028</v>
      </c>
      <c r="C4953" t="s">
        <v>1662</v>
      </c>
      <c r="D4953" t="str">
        <f>HYPERLINK("http://service.sap.com/sap/support/notes/1620072","1620072")</f>
        <v>1620072</v>
      </c>
      <c r="E4953">
        <v>1</v>
      </c>
      <c r="F4953" t="s">
        <v>5029</v>
      </c>
    </row>
    <row r="4954" spans="1:6" x14ac:dyDescent="0.25">
      <c r="A4954" t="s">
        <v>5510</v>
      </c>
      <c r="B4954" t="s">
        <v>343</v>
      </c>
      <c r="C4954" t="s">
        <v>344</v>
      </c>
      <c r="D4954" t="str">
        <f>HYPERLINK("http://service.sap.com/sap/support/notes/1606422","1606422")</f>
        <v>1606422</v>
      </c>
      <c r="E4954">
        <v>1</v>
      </c>
      <c r="F4954" t="s">
        <v>4458</v>
      </c>
    </row>
    <row r="4955" spans="1:6" x14ac:dyDescent="0.25">
      <c r="A4955" t="s">
        <v>5510</v>
      </c>
      <c r="B4955" t="s">
        <v>2021</v>
      </c>
      <c r="C4955" t="s">
        <v>1010</v>
      </c>
    </row>
    <row r="4956" spans="1:6" x14ac:dyDescent="0.25">
      <c r="A4956" t="s">
        <v>5510</v>
      </c>
      <c r="B4956" t="s">
        <v>2022</v>
      </c>
      <c r="C4956" t="s">
        <v>2023</v>
      </c>
      <c r="D4956" t="str">
        <f>HYPERLINK("http://service.sap.com/sap/support/notes/1610800","1610800")</f>
        <v>1610800</v>
      </c>
      <c r="E4956">
        <v>1</v>
      </c>
      <c r="F4956" t="s">
        <v>5368</v>
      </c>
    </row>
    <row r="4957" spans="1:6" x14ac:dyDescent="0.25">
      <c r="A4957" t="s">
        <v>5510</v>
      </c>
      <c r="B4957" t="s">
        <v>1121</v>
      </c>
      <c r="C4957" t="s">
        <v>251</v>
      </c>
    </row>
    <row r="4958" spans="1:6" x14ac:dyDescent="0.25">
      <c r="A4958" t="s">
        <v>5510</v>
      </c>
      <c r="B4958" t="s">
        <v>2793</v>
      </c>
      <c r="C4958" t="s">
        <v>265</v>
      </c>
      <c r="D4958" t="str">
        <f>HYPERLINK("http://service.sap.com/sap/support/notes/1602852","1602852")</f>
        <v>1602852</v>
      </c>
      <c r="E4958">
        <v>1</v>
      </c>
      <c r="F4958" t="s">
        <v>5369</v>
      </c>
    </row>
    <row r="4959" spans="1:6" x14ac:dyDescent="0.25">
      <c r="A4959" t="s">
        <v>5510</v>
      </c>
      <c r="B4959" t="s">
        <v>349</v>
      </c>
      <c r="C4959" t="s">
        <v>299</v>
      </c>
    </row>
    <row r="4960" spans="1:6" x14ac:dyDescent="0.25">
      <c r="A4960" t="s">
        <v>5510</v>
      </c>
      <c r="B4960" t="s">
        <v>350</v>
      </c>
      <c r="C4960" t="s">
        <v>351</v>
      </c>
      <c r="D4960" t="str">
        <f>HYPERLINK("http://service.sap.com/sap/support/notes/1614100","1614100")</f>
        <v>1614100</v>
      </c>
      <c r="E4960">
        <v>1</v>
      </c>
      <c r="F4960" t="s">
        <v>5055</v>
      </c>
    </row>
    <row r="4961" spans="1:6" x14ac:dyDescent="0.25">
      <c r="A4961" t="s">
        <v>5510</v>
      </c>
      <c r="B4961" t="s">
        <v>350</v>
      </c>
      <c r="C4961" t="s">
        <v>351</v>
      </c>
      <c r="D4961" t="str">
        <f>HYPERLINK("http://service.sap.com/sap/support/notes/1622904","1622904")</f>
        <v>1622904</v>
      </c>
      <c r="E4961">
        <v>1</v>
      </c>
      <c r="F4961" t="s">
        <v>5370</v>
      </c>
    </row>
    <row r="4962" spans="1:6" x14ac:dyDescent="0.25">
      <c r="A4962" t="s">
        <v>5510</v>
      </c>
      <c r="B4962" t="s">
        <v>353</v>
      </c>
      <c r="C4962" t="s">
        <v>354</v>
      </c>
      <c r="D4962" t="str">
        <f>HYPERLINK("http://service.sap.com/sap/support/notes/1603259","1603259")</f>
        <v>1603259</v>
      </c>
      <c r="E4962">
        <v>1</v>
      </c>
      <c r="F4962" t="s">
        <v>5371</v>
      </c>
    </row>
    <row r="4963" spans="1:6" x14ac:dyDescent="0.25">
      <c r="A4963" t="s">
        <v>5510</v>
      </c>
      <c r="B4963" t="s">
        <v>353</v>
      </c>
      <c r="C4963" t="s">
        <v>354</v>
      </c>
      <c r="D4963" t="str">
        <f>HYPERLINK("http://service.sap.com/sap/support/notes/1614102","1614102")</f>
        <v>1614102</v>
      </c>
      <c r="E4963">
        <v>1</v>
      </c>
      <c r="F4963" t="s">
        <v>5372</v>
      </c>
    </row>
    <row r="4964" spans="1:6" x14ac:dyDescent="0.25">
      <c r="A4964" t="s">
        <v>5510</v>
      </c>
      <c r="B4964" t="s">
        <v>353</v>
      </c>
      <c r="C4964" t="s">
        <v>354</v>
      </c>
      <c r="D4964" t="str">
        <f>HYPERLINK("http://service.sap.com/sap/support/notes/1614734","1614734")</f>
        <v>1614734</v>
      </c>
      <c r="E4964">
        <v>1</v>
      </c>
      <c r="F4964" t="s">
        <v>5373</v>
      </c>
    </row>
    <row r="4965" spans="1:6" x14ac:dyDescent="0.25">
      <c r="A4965" t="s">
        <v>5510</v>
      </c>
      <c r="B4965" t="s">
        <v>353</v>
      </c>
      <c r="C4965" t="s">
        <v>354</v>
      </c>
      <c r="D4965" t="str">
        <f>HYPERLINK("http://service.sap.com/sap/support/notes/1615265","1615265")</f>
        <v>1615265</v>
      </c>
      <c r="E4965">
        <v>1</v>
      </c>
      <c r="F4965" t="s">
        <v>5374</v>
      </c>
    </row>
    <row r="4966" spans="1:6" x14ac:dyDescent="0.25">
      <c r="A4966" t="s">
        <v>5510</v>
      </c>
      <c r="B4966" t="s">
        <v>353</v>
      </c>
      <c r="C4966" t="s">
        <v>354</v>
      </c>
      <c r="D4966" t="str">
        <f>HYPERLINK("http://service.sap.com/sap/support/notes/1615605","1615605")</f>
        <v>1615605</v>
      </c>
      <c r="E4966">
        <v>2</v>
      </c>
      <c r="F4966" t="s">
        <v>5375</v>
      </c>
    </row>
    <row r="4967" spans="1:6" x14ac:dyDescent="0.25">
      <c r="A4967" t="s">
        <v>5510</v>
      </c>
      <c r="B4967" t="s">
        <v>353</v>
      </c>
      <c r="C4967" t="s">
        <v>354</v>
      </c>
      <c r="D4967" t="str">
        <f>HYPERLINK("http://service.sap.com/sap/support/notes/1617130","1617130")</f>
        <v>1617130</v>
      </c>
      <c r="E4967">
        <v>3</v>
      </c>
      <c r="F4967" t="s">
        <v>5376</v>
      </c>
    </row>
    <row r="4968" spans="1:6" x14ac:dyDescent="0.25">
      <c r="A4968" t="s">
        <v>5510</v>
      </c>
      <c r="B4968" t="s">
        <v>353</v>
      </c>
      <c r="C4968" t="s">
        <v>354</v>
      </c>
      <c r="D4968" t="str">
        <f>HYPERLINK("http://service.sap.com/sap/support/notes/1617948","1617948")</f>
        <v>1617948</v>
      </c>
      <c r="E4968">
        <v>1</v>
      </c>
      <c r="F4968" t="s">
        <v>5377</v>
      </c>
    </row>
    <row r="4969" spans="1:6" x14ac:dyDescent="0.25">
      <c r="A4969" t="s">
        <v>5510</v>
      </c>
      <c r="B4969" t="s">
        <v>353</v>
      </c>
      <c r="C4969" t="s">
        <v>354</v>
      </c>
      <c r="D4969" t="str">
        <f>HYPERLINK("http://service.sap.com/sap/support/notes/1621228","1621228")</f>
        <v>1621228</v>
      </c>
      <c r="E4969">
        <v>2</v>
      </c>
      <c r="F4969" t="s">
        <v>5378</v>
      </c>
    </row>
    <row r="4970" spans="1:6" x14ac:dyDescent="0.25">
      <c r="A4970" t="s">
        <v>5510</v>
      </c>
      <c r="B4970" t="s">
        <v>353</v>
      </c>
      <c r="C4970" t="s">
        <v>354</v>
      </c>
      <c r="D4970" t="str">
        <f>HYPERLINK("http://service.sap.com/sap/support/notes/1622038","1622038")</f>
        <v>1622038</v>
      </c>
      <c r="E4970">
        <v>1</v>
      </c>
      <c r="F4970" t="s">
        <v>5379</v>
      </c>
    </row>
    <row r="4971" spans="1:6" x14ac:dyDescent="0.25">
      <c r="A4971" t="s">
        <v>5510</v>
      </c>
      <c r="B4971" t="s">
        <v>356</v>
      </c>
      <c r="C4971" t="s">
        <v>71</v>
      </c>
      <c r="D4971" t="str">
        <f>HYPERLINK("http://service.sap.com/sap/support/notes/1616134","1616134")</f>
        <v>1616134</v>
      </c>
      <c r="E4971">
        <v>1</v>
      </c>
      <c r="F4971" t="s">
        <v>5380</v>
      </c>
    </row>
    <row r="4972" spans="1:6" x14ac:dyDescent="0.25">
      <c r="A4972" t="s">
        <v>5510</v>
      </c>
      <c r="B4972" t="s">
        <v>356</v>
      </c>
      <c r="C4972" t="s">
        <v>71</v>
      </c>
      <c r="D4972" t="str">
        <f>HYPERLINK("http://service.sap.com/sap/support/notes/1620067","1620067")</f>
        <v>1620067</v>
      </c>
      <c r="E4972">
        <v>1</v>
      </c>
      <c r="F4972" t="s">
        <v>5381</v>
      </c>
    </row>
    <row r="4973" spans="1:6" x14ac:dyDescent="0.25">
      <c r="A4973" t="s">
        <v>5510</v>
      </c>
      <c r="B4973" t="s">
        <v>358</v>
      </c>
      <c r="C4973" t="s">
        <v>359</v>
      </c>
      <c r="D4973" t="str">
        <f>HYPERLINK("http://service.sap.com/sap/support/notes/1147798","1147798")</f>
        <v>1147798</v>
      </c>
      <c r="E4973">
        <v>1</v>
      </c>
      <c r="F4973" t="s">
        <v>360</v>
      </c>
    </row>
    <row r="4974" spans="1:6" x14ac:dyDescent="0.25">
      <c r="A4974" t="s">
        <v>5510</v>
      </c>
      <c r="B4974" t="s">
        <v>358</v>
      </c>
      <c r="C4974" t="s">
        <v>359</v>
      </c>
      <c r="D4974" t="str">
        <f>HYPERLINK("http://service.sap.com/sap/support/notes/1600893","1600893")</f>
        <v>1600893</v>
      </c>
      <c r="E4974">
        <v>2</v>
      </c>
      <c r="F4974" t="s">
        <v>5382</v>
      </c>
    </row>
    <row r="4975" spans="1:6" x14ac:dyDescent="0.25">
      <c r="A4975" t="s">
        <v>5510</v>
      </c>
      <c r="B4975" t="s">
        <v>358</v>
      </c>
      <c r="C4975" t="s">
        <v>359</v>
      </c>
      <c r="D4975" t="str">
        <f>HYPERLINK("http://service.sap.com/sap/support/notes/1606162","1606162")</f>
        <v>1606162</v>
      </c>
      <c r="E4975">
        <v>2</v>
      </c>
      <c r="F4975" t="s">
        <v>5070</v>
      </c>
    </row>
    <row r="4976" spans="1:6" x14ac:dyDescent="0.25">
      <c r="A4976" t="s">
        <v>5510</v>
      </c>
      <c r="B4976" t="s">
        <v>358</v>
      </c>
      <c r="C4976" t="s">
        <v>359</v>
      </c>
      <c r="D4976" t="str">
        <f>HYPERLINK("http://service.sap.com/sap/support/notes/1609480","1609480")</f>
        <v>1609480</v>
      </c>
      <c r="E4976">
        <v>1</v>
      </c>
      <c r="F4976" t="s">
        <v>5383</v>
      </c>
    </row>
    <row r="4977" spans="1:6" x14ac:dyDescent="0.25">
      <c r="A4977" t="s">
        <v>5510</v>
      </c>
      <c r="B4977" t="s">
        <v>358</v>
      </c>
      <c r="C4977" t="s">
        <v>359</v>
      </c>
      <c r="D4977" t="str">
        <f>HYPERLINK("http://service.sap.com/sap/support/notes/1612289","1612289")</f>
        <v>1612289</v>
      </c>
      <c r="E4977">
        <v>1</v>
      </c>
      <c r="F4977" t="s">
        <v>5384</v>
      </c>
    </row>
    <row r="4978" spans="1:6" x14ac:dyDescent="0.25">
      <c r="A4978" t="s">
        <v>5510</v>
      </c>
      <c r="B4978" t="s">
        <v>358</v>
      </c>
      <c r="C4978" t="s">
        <v>359</v>
      </c>
      <c r="D4978" t="str">
        <f>HYPERLINK("http://service.sap.com/sap/support/notes/1616016","1616016")</f>
        <v>1616016</v>
      </c>
      <c r="E4978">
        <v>1</v>
      </c>
      <c r="F4978" t="s">
        <v>5385</v>
      </c>
    </row>
    <row r="4979" spans="1:6" x14ac:dyDescent="0.25">
      <c r="A4979" t="s">
        <v>5510</v>
      </c>
      <c r="B4979" t="s">
        <v>358</v>
      </c>
      <c r="C4979" t="s">
        <v>359</v>
      </c>
      <c r="D4979" t="str">
        <f>HYPERLINK("http://service.sap.com/sap/support/notes/1616930","1616930")</f>
        <v>1616930</v>
      </c>
      <c r="E4979">
        <v>1</v>
      </c>
      <c r="F4979" t="s">
        <v>5386</v>
      </c>
    </row>
    <row r="4980" spans="1:6" x14ac:dyDescent="0.25">
      <c r="A4980" t="s">
        <v>5510</v>
      </c>
      <c r="B4980" t="s">
        <v>363</v>
      </c>
      <c r="C4980" t="s">
        <v>74</v>
      </c>
      <c r="D4980" t="str">
        <f>HYPERLINK("http://service.sap.com/sap/support/notes/1604427","1604427")</f>
        <v>1604427</v>
      </c>
      <c r="E4980">
        <v>1</v>
      </c>
      <c r="F4980" t="s">
        <v>5387</v>
      </c>
    </row>
    <row r="4981" spans="1:6" x14ac:dyDescent="0.25">
      <c r="A4981" t="s">
        <v>5510</v>
      </c>
      <c r="B4981" t="s">
        <v>363</v>
      </c>
      <c r="C4981" t="s">
        <v>74</v>
      </c>
      <c r="D4981" t="str">
        <f>HYPERLINK("http://service.sap.com/sap/support/notes/1607827","1607827")</f>
        <v>1607827</v>
      </c>
      <c r="E4981">
        <v>3</v>
      </c>
      <c r="F4981" t="s">
        <v>5388</v>
      </c>
    </row>
    <row r="4982" spans="1:6" x14ac:dyDescent="0.25">
      <c r="A4982" t="s">
        <v>5510</v>
      </c>
      <c r="B4982" t="s">
        <v>363</v>
      </c>
      <c r="C4982" t="s">
        <v>74</v>
      </c>
      <c r="D4982" t="str">
        <f>HYPERLINK("http://service.sap.com/sap/support/notes/1611021","1611021")</f>
        <v>1611021</v>
      </c>
      <c r="E4982">
        <v>3</v>
      </c>
      <c r="F4982" t="s">
        <v>5389</v>
      </c>
    </row>
    <row r="4983" spans="1:6" x14ac:dyDescent="0.25">
      <c r="A4983" t="s">
        <v>5510</v>
      </c>
      <c r="B4983" t="s">
        <v>363</v>
      </c>
      <c r="C4983" t="s">
        <v>74</v>
      </c>
      <c r="D4983" t="str">
        <f>HYPERLINK("http://service.sap.com/sap/support/notes/1611125","1611125")</f>
        <v>1611125</v>
      </c>
      <c r="E4983">
        <v>1</v>
      </c>
      <c r="F4983" t="s">
        <v>5390</v>
      </c>
    </row>
    <row r="4984" spans="1:6" x14ac:dyDescent="0.25">
      <c r="A4984" t="s">
        <v>5510</v>
      </c>
      <c r="B4984" t="s">
        <v>363</v>
      </c>
      <c r="C4984" t="s">
        <v>74</v>
      </c>
      <c r="D4984" t="str">
        <f>HYPERLINK("http://service.sap.com/sap/support/notes/1612127","1612127")</f>
        <v>1612127</v>
      </c>
      <c r="E4984">
        <v>5</v>
      </c>
      <c r="F4984" t="s">
        <v>5391</v>
      </c>
    </row>
    <row r="4985" spans="1:6" x14ac:dyDescent="0.25">
      <c r="A4985" t="s">
        <v>5510</v>
      </c>
      <c r="B4985" t="s">
        <v>363</v>
      </c>
      <c r="C4985" t="s">
        <v>74</v>
      </c>
      <c r="D4985" t="str">
        <f>HYPERLINK("http://service.sap.com/sap/support/notes/1614192","1614192")</f>
        <v>1614192</v>
      </c>
      <c r="E4985">
        <v>1</v>
      </c>
      <c r="F4985" t="s">
        <v>5392</v>
      </c>
    </row>
    <row r="4986" spans="1:6" x14ac:dyDescent="0.25">
      <c r="A4986" t="s">
        <v>5510</v>
      </c>
      <c r="B4986" t="s">
        <v>363</v>
      </c>
      <c r="C4986" t="s">
        <v>74</v>
      </c>
      <c r="D4986" t="str">
        <f>HYPERLINK("http://service.sap.com/sap/support/notes/1614257","1614257")</f>
        <v>1614257</v>
      </c>
      <c r="E4986">
        <v>2</v>
      </c>
      <c r="F4986" t="s">
        <v>5393</v>
      </c>
    </row>
    <row r="4987" spans="1:6" x14ac:dyDescent="0.25">
      <c r="A4987" t="s">
        <v>5510</v>
      </c>
      <c r="B4987" t="s">
        <v>363</v>
      </c>
      <c r="C4987" t="s">
        <v>74</v>
      </c>
      <c r="D4987" t="str">
        <f>HYPERLINK("http://service.sap.com/sap/support/notes/1614420","1614420")</f>
        <v>1614420</v>
      </c>
      <c r="E4987">
        <v>1</v>
      </c>
      <c r="F4987" t="s">
        <v>5394</v>
      </c>
    </row>
    <row r="4988" spans="1:6" x14ac:dyDescent="0.25">
      <c r="A4988" t="s">
        <v>5510</v>
      </c>
      <c r="B4988" t="s">
        <v>363</v>
      </c>
      <c r="C4988" t="s">
        <v>74</v>
      </c>
      <c r="D4988" t="str">
        <f>HYPERLINK("http://service.sap.com/sap/support/notes/1614683","1614683")</f>
        <v>1614683</v>
      </c>
      <c r="E4988">
        <v>2</v>
      </c>
      <c r="F4988" t="s">
        <v>5395</v>
      </c>
    </row>
    <row r="4989" spans="1:6" x14ac:dyDescent="0.25">
      <c r="A4989" t="s">
        <v>5510</v>
      </c>
      <c r="B4989" t="s">
        <v>363</v>
      </c>
      <c r="C4989" t="s">
        <v>74</v>
      </c>
      <c r="D4989" t="str">
        <f>HYPERLINK("http://service.sap.com/sap/support/notes/1615579","1615579")</f>
        <v>1615579</v>
      </c>
      <c r="E4989">
        <v>3</v>
      </c>
      <c r="F4989" t="s">
        <v>5396</v>
      </c>
    </row>
    <row r="4990" spans="1:6" x14ac:dyDescent="0.25">
      <c r="A4990" t="s">
        <v>5510</v>
      </c>
      <c r="B4990" t="s">
        <v>363</v>
      </c>
      <c r="C4990" t="s">
        <v>74</v>
      </c>
      <c r="D4990" t="str">
        <f>HYPERLINK("http://service.sap.com/sap/support/notes/1616382","1616382")</f>
        <v>1616382</v>
      </c>
      <c r="E4990">
        <v>3</v>
      </c>
      <c r="F4990" t="s">
        <v>5397</v>
      </c>
    </row>
    <row r="4991" spans="1:6" x14ac:dyDescent="0.25">
      <c r="A4991" t="s">
        <v>5510</v>
      </c>
      <c r="B4991" t="s">
        <v>374</v>
      </c>
      <c r="C4991" t="s">
        <v>77</v>
      </c>
      <c r="D4991" t="str">
        <f>HYPERLINK("http://service.sap.com/sap/support/notes/1587374","1587374")</f>
        <v>1587374</v>
      </c>
      <c r="E4991">
        <v>4</v>
      </c>
      <c r="F4991" t="s">
        <v>5398</v>
      </c>
    </row>
    <row r="4992" spans="1:6" x14ac:dyDescent="0.25">
      <c r="A4992" t="s">
        <v>5510</v>
      </c>
      <c r="B4992" t="s">
        <v>374</v>
      </c>
      <c r="C4992" t="s">
        <v>77</v>
      </c>
      <c r="D4992" t="str">
        <f>HYPERLINK("http://service.sap.com/sap/support/notes/1593392","1593392")</f>
        <v>1593392</v>
      </c>
      <c r="E4992">
        <v>2</v>
      </c>
      <c r="F4992" t="s">
        <v>5399</v>
      </c>
    </row>
    <row r="4993" spans="1:6" x14ac:dyDescent="0.25">
      <c r="A4993" t="s">
        <v>5510</v>
      </c>
      <c r="B4993" t="s">
        <v>374</v>
      </c>
      <c r="C4993" t="s">
        <v>77</v>
      </c>
      <c r="D4993" t="str">
        <f>HYPERLINK("http://service.sap.com/sap/support/notes/1598964","1598964")</f>
        <v>1598964</v>
      </c>
      <c r="E4993">
        <v>2</v>
      </c>
      <c r="F4993" t="s">
        <v>5400</v>
      </c>
    </row>
    <row r="4994" spans="1:6" x14ac:dyDescent="0.25">
      <c r="A4994" t="s">
        <v>5510</v>
      </c>
      <c r="B4994" t="s">
        <v>374</v>
      </c>
      <c r="C4994" t="s">
        <v>77</v>
      </c>
      <c r="D4994" t="str">
        <f>HYPERLINK("http://service.sap.com/sap/support/notes/1603108","1603108")</f>
        <v>1603108</v>
      </c>
      <c r="E4994">
        <v>4</v>
      </c>
      <c r="F4994" t="s">
        <v>5401</v>
      </c>
    </row>
    <row r="4995" spans="1:6" x14ac:dyDescent="0.25">
      <c r="A4995" t="s">
        <v>5510</v>
      </c>
      <c r="B4995" t="s">
        <v>374</v>
      </c>
      <c r="C4995" t="s">
        <v>77</v>
      </c>
      <c r="D4995" t="str">
        <f>HYPERLINK("http://service.sap.com/sap/support/notes/1607099","1607099")</f>
        <v>1607099</v>
      </c>
      <c r="E4995">
        <v>2</v>
      </c>
      <c r="F4995" t="s">
        <v>5402</v>
      </c>
    </row>
    <row r="4996" spans="1:6" x14ac:dyDescent="0.25">
      <c r="A4996" t="s">
        <v>5510</v>
      </c>
      <c r="B4996" t="s">
        <v>374</v>
      </c>
      <c r="C4996" t="s">
        <v>77</v>
      </c>
      <c r="D4996" t="str">
        <f>HYPERLINK("http://service.sap.com/sap/support/notes/1607900","1607900")</f>
        <v>1607900</v>
      </c>
      <c r="E4996">
        <v>2</v>
      </c>
      <c r="F4996" t="s">
        <v>5403</v>
      </c>
    </row>
    <row r="4997" spans="1:6" x14ac:dyDescent="0.25">
      <c r="A4997" t="s">
        <v>5510</v>
      </c>
      <c r="B4997" t="s">
        <v>374</v>
      </c>
      <c r="C4997" t="s">
        <v>77</v>
      </c>
      <c r="D4997" t="str">
        <f>HYPERLINK("http://service.sap.com/sap/support/notes/1610990","1610990")</f>
        <v>1610990</v>
      </c>
      <c r="E4997">
        <v>2</v>
      </c>
      <c r="F4997" t="s">
        <v>5404</v>
      </c>
    </row>
    <row r="4998" spans="1:6" x14ac:dyDescent="0.25">
      <c r="A4998" t="s">
        <v>5510</v>
      </c>
      <c r="B4998" t="s">
        <v>374</v>
      </c>
      <c r="C4998" t="s">
        <v>77</v>
      </c>
      <c r="D4998" t="str">
        <f>HYPERLINK("http://service.sap.com/sap/support/notes/1618896","1618896")</f>
        <v>1618896</v>
      </c>
      <c r="E4998">
        <v>2</v>
      </c>
      <c r="F4998" t="s">
        <v>5405</v>
      </c>
    </row>
    <row r="4999" spans="1:6" x14ac:dyDescent="0.25">
      <c r="A4999" t="s">
        <v>5510</v>
      </c>
      <c r="B4999" t="s">
        <v>1177</v>
      </c>
      <c r="C4999" t="s">
        <v>1662</v>
      </c>
      <c r="D4999" t="str">
        <f>HYPERLINK("http://service.sap.com/sap/support/notes/1612418","1612418")</f>
        <v>1612418</v>
      </c>
      <c r="E4999">
        <v>1</v>
      </c>
      <c r="F4999" t="s">
        <v>5406</v>
      </c>
    </row>
    <row r="5000" spans="1:6" x14ac:dyDescent="0.25">
      <c r="A5000" t="s">
        <v>5510</v>
      </c>
      <c r="B5000" t="s">
        <v>379</v>
      </c>
      <c r="C5000" t="s">
        <v>80</v>
      </c>
      <c r="D5000" t="str">
        <f>HYPERLINK("http://service.sap.com/sap/support/notes/1614246","1614246")</f>
        <v>1614246</v>
      </c>
      <c r="E5000">
        <v>2</v>
      </c>
      <c r="F5000" t="s">
        <v>5407</v>
      </c>
    </row>
    <row r="5001" spans="1:6" x14ac:dyDescent="0.25">
      <c r="A5001" t="s">
        <v>5510</v>
      </c>
      <c r="B5001" t="s">
        <v>379</v>
      </c>
      <c r="C5001" t="s">
        <v>80</v>
      </c>
      <c r="D5001" t="str">
        <f>HYPERLINK("http://service.sap.com/sap/support/notes/1616003","1616003")</f>
        <v>1616003</v>
      </c>
      <c r="E5001">
        <v>3</v>
      </c>
      <c r="F5001" t="s">
        <v>5408</v>
      </c>
    </row>
    <row r="5002" spans="1:6" x14ac:dyDescent="0.25">
      <c r="A5002" t="s">
        <v>5510</v>
      </c>
      <c r="B5002" t="s">
        <v>379</v>
      </c>
      <c r="C5002" t="s">
        <v>80</v>
      </c>
      <c r="D5002" t="str">
        <f>HYPERLINK("http://service.sap.com/sap/support/notes/1616027","1616027")</f>
        <v>1616027</v>
      </c>
      <c r="E5002">
        <v>2</v>
      </c>
      <c r="F5002" t="s">
        <v>5409</v>
      </c>
    </row>
    <row r="5003" spans="1:6" x14ac:dyDescent="0.25">
      <c r="A5003" t="s">
        <v>5510</v>
      </c>
      <c r="B5003" t="s">
        <v>379</v>
      </c>
      <c r="C5003" t="s">
        <v>80</v>
      </c>
      <c r="D5003" t="str">
        <f>HYPERLINK("http://service.sap.com/sap/support/notes/1617633","1617633")</f>
        <v>1617633</v>
      </c>
      <c r="E5003">
        <v>1</v>
      </c>
      <c r="F5003" t="s">
        <v>5410</v>
      </c>
    </row>
    <row r="5004" spans="1:6" x14ac:dyDescent="0.25">
      <c r="A5004" t="s">
        <v>5510</v>
      </c>
      <c r="B5004" t="s">
        <v>379</v>
      </c>
      <c r="C5004" t="s">
        <v>80</v>
      </c>
      <c r="D5004" t="str">
        <f>HYPERLINK("http://service.sap.com/sap/support/notes/1620134","1620134")</f>
        <v>1620134</v>
      </c>
      <c r="E5004">
        <v>1</v>
      </c>
      <c r="F5004" t="s">
        <v>5411</v>
      </c>
    </row>
    <row r="5005" spans="1:6" x14ac:dyDescent="0.25">
      <c r="A5005" t="s">
        <v>5510</v>
      </c>
      <c r="B5005" t="s">
        <v>379</v>
      </c>
      <c r="C5005" t="s">
        <v>80</v>
      </c>
      <c r="D5005" t="str">
        <f>HYPERLINK("http://service.sap.com/sap/support/notes/1622093","1622093")</f>
        <v>1622093</v>
      </c>
      <c r="E5005">
        <v>1</v>
      </c>
      <c r="F5005" t="s">
        <v>5412</v>
      </c>
    </row>
    <row r="5006" spans="1:6" x14ac:dyDescent="0.25">
      <c r="A5006" t="s">
        <v>5510</v>
      </c>
      <c r="B5006" t="s">
        <v>388</v>
      </c>
      <c r="C5006" t="s">
        <v>87</v>
      </c>
      <c r="D5006" t="str">
        <f>HYPERLINK("http://service.sap.com/sap/support/notes/1612136","1612136")</f>
        <v>1612136</v>
      </c>
      <c r="E5006">
        <v>2</v>
      </c>
      <c r="F5006" t="s">
        <v>5413</v>
      </c>
    </row>
    <row r="5007" spans="1:6" x14ac:dyDescent="0.25">
      <c r="A5007" t="s">
        <v>5510</v>
      </c>
      <c r="B5007" t="s">
        <v>388</v>
      </c>
      <c r="C5007" t="s">
        <v>87</v>
      </c>
      <c r="D5007" t="str">
        <f>HYPERLINK("http://service.sap.com/sap/support/notes/1615613","1615613")</f>
        <v>1615613</v>
      </c>
      <c r="E5007">
        <v>1</v>
      </c>
      <c r="F5007" t="s">
        <v>5414</v>
      </c>
    </row>
    <row r="5008" spans="1:6" x14ac:dyDescent="0.25">
      <c r="A5008" t="s">
        <v>5510</v>
      </c>
      <c r="B5008" t="s">
        <v>396</v>
      </c>
      <c r="C5008" t="s">
        <v>397</v>
      </c>
      <c r="D5008" t="str">
        <f>HYPERLINK("http://service.sap.com/sap/support/notes/1346548","1346548")</f>
        <v>1346548</v>
      </c>
      <c r="E5008">
        <v>1</v>
      </c>
      <c r="F5008" t="s">
        <v>2841</v>
      </c>
    </row>
    <row r="5009" spans="1:6" x14ac:dyDescent="0.25">
      <c r="A5009" t="s">
        <v>5510</v>
      </c>
      <c r="B5009" t="s">
        <v>396</v>
      </c>
      <c r="C5009" t="s">
        <v>397</v>
      </c>
      <c r="D5009" t="str">
        <f>HYPERLINK("http://service.sap.com/sap/support/notes/1550817","1550817")</f>
        <v>1550817</v>
      </c>
      <c r="E5009">
        <v>6</v>
      </c>
      <c r="F5009" t="s">
        <v>5415</v>
      </c>
    </row>
    <row r="5010" spans="1:6" x14ac:dyDescent="0.25">
      <c r="A5010" t="s">
        <v>5510</v>
      </c>
      <c r="B5010" t="s">
        <v>396</v>
      </c>
      <c r="C5010" t="s">
        <v>397</v>
      </c>
      <c r="D5010" t="str">
        <f>HYPERLINK("http://service.sap.com/sap/support/notes/1611906","1611906")</f>
        <v>1611906</v>
      </c>
      <c r="E5010">
        <v>3</v>
      </c>
      <c r="F5010" t="s">
        <v>5416</v>
      </c>
    </row>
    <row r="5011" spans="1:6" x14ac:dyDescent="0.25">
      <c r="A5011" t="s">
        <v>5510</v>
      </c>
      <c r="B5011" t="s">
        <v>396</v>
      </c>
      <c r="C5011" t="s">
        <v>397</v>
      </c>
      <c r="D5011" t="str">
        <f>HYPERLINK("http://service.sap.com/sap/support/notes/1613348","1613348")</f>
        <v>1613348</v>
      </c>
      <c r="E5011">
        <v>4</v>
      </c>
      <c r="F5011" t="s">
        <v>5417</v>
      </c>
    </row>
    <row r="5012" spans="1:6" x14ac:dyDescent="0.25">
      <c r="A5012" t="s">
        <v>5510</v>
      </c>
      <c r="B5012" t="s">
        <v>401</v>
      </c>
      <c r="C5012" t="s">
        <v>402</v>
      </c>
      <c r="D5012" t="str">
        <f>HYPERLINK("http://service.sap.com/sap/support/notes/1614564","1614564")</f>
        <v>1614564</v>
      </c>
      <c r="E5012">
        <v>3</v>
      </c>
      <c r="F5012" t="s">
        <v>5418</v>
      </c>
    </row>
    <row r="5013" spans="1:6" x14ac:dyDescent="0.25">
      <c r="A5013" t="s">
        <v>5510</v>
      </c>
      <c r="B5013" t="s">
        <v>405</v>
      </c>
      <c r="C5013" t="s">
        <v>90</v>
      </c>
      <c r="D5013" t="str">
        <f>HYPERLINK("http://service.sap.com/sap/support/notes/645372","645372")</f>
        <v>645372</v>
      </c>
      <c r="E5013">
        <v>1</v>
      </c>
      <c r="F5013" t="s">
        <v>406</v>
      </c>
    </row>
    <row r="5014" spans="1:6" x14ac:dyDescent="0.25">
      <c r="A5014" t="s">
        <v>5510</v>
      </c>
      <c r="B5014" t="s">
        <v>405</v>
      </c>
      <c r="C5014" t="s">
        <v>90</v>
      </c>
      <c r="D5014" t="str">
        <f>HYPERLINK("http://service.sap.com/sap/support/notes/1590107","1590107")</f>
        <v>1590107</v>
      </c>
      <c r="E5014">
        <v>2</v>
      </c>
      <c r="F5014" t="s">
        <v>5419</v>
      </c>
    </row>
    <row r="5015" spans="1:6" x14ac:dyDescent="0.25">
      <c r="A5015" t="s">
        <v>5510</v>
      </c>
      <c r="B5015" t="s">
        <v>405</v>
      </c>
      <c r="C5015" t="s">
        <v>90</v>
      </c>
      <c r="D5015" t="str">
        <f>HYPERLINK("http://service.sap.com/sap/support/notes/1613082","1613082")</f>
        <v>1613082</v>
      </c>
      <c r="E5015">
        <v>3</v>
      </c>
      <c r="F5015" t="s">
        <v>5420</v>
      </c>
    </row>
    <row r="5016" spans="1:6" x14ac:dyDescent="0.25">
      <c r="A5016" t="s">
        <v>5510</v>
      </c>
      <c r="B5016" t="s">
        <v>405</v>
      </c>
      <c r="C5016" t="s">
        <v>90</v>
      </c>
      <c r="D5016" t="str">
        <f>HYPERLINK("http://service.sap.com/sap/support/notes/1618552","1618552")</f>
        <v>1618552</v>
      </c>
      <c r="E5016">
        <v>1</v>
      </c>
      <c r="F5016" t="s">
        <v>5421</v>
      </c>
    </row>
    <row r="5017" spans="1:6" x14ac:dyDescent="0.25">
      <c r="A5017" t="s">
        <v>5510</v>
      </c>
      <c r="B5017" t="s">
        <v>405</v>
      </c>
      <c r="C5017" t="s">
        <v>90</v>
      </c>
      <c r="D5017" t="str">
        <f>HYPERLINK("http://service.sap.com/sap/support/notes/1619388","1619388")</f>
        <v>1619388</v>
      </c>
      <c r="E5017">
        <v>2</v>
      </c>
      <c r="F5017" t="s">
        <v>5422</v>
      </c>
    </row>
    <row r="5018" spans="1:6" x14ac:dyDescent="0.25">
      <c r="A5018" t="s">
        <v>5510</v>
      </c>
      <c r="B5018" t="s">
        <v>411</v>
      </c>
      <c r="C5018" t="s">
        <v>412</v>
      </c>
      <c r="D5018" t="str">
        <f>HYPERLINK("http://service.sap.com/sap/support/notes/1594165","1594165")</f>
        <v>1594165</v>
      </c>
      <c r="E5018">
        <v>1</v>
      </c>
      <c r="F5018" t="s">
        <v>5423</v>
      </c>
    </row>
    <row r="5019" spans="1:6" x14ac:dyDescent="0.25">
      <c r="A5019" t="s">
        <v>5510</v>
      </c>
      <c r="B5019" t="s">
        <v>411</v>
      </c>
      <c r="C5019" t="s">
        <v>412</v>
      </c>
      <c r="D5019" t="str">
        <f>HYPERLINK("http://service.sap.com/sap/support/notes/1611101","1611101")</f>
        <v>1611101</v>
      </c>
      <c r="E5019">
        <v>2</v>
      </c>
      <c r="F5019" t="s">
        <v>5424</v>
      </c>
    </row>
    <row r="5020" spans="1:6" x14ac:dyDescent="0.25">
      <c r="A5020" t="s">
        <v>5510</v>
      </c>
      <c r="B5020" t="s">
        <v>411</v>
      </c>
      <c r="C5020" t="s">
        <v>412</v>
      </c>
      <c r="D5020" t="str">
        <f>HYPERLINK("http://service.sap.com/sap/support/notes/1613876","1613876")</f>
        <v>1613876</v>
      </c>
      <c r="E5020">
        <v>3</v>
      </c>
      <c r="F5020" t="s">
        <v>5425</v>
      </c>
    </row>
    <row r="5021" spans="1:6" x14ac:dyDescent="0.25">
      <c r="A5021" t="s">
        <v>5510</v>
      </c>
      <c r="B5021" t="s">
        <v>411</v>
      </c>
      <c r="C5021" t="s">
        <v>412</v>
      </c>
      <c r="D5021" t="str">
        <f>HYPERLINK("http://service.sap.com/sap/support/notes/1615429","1615429")</f>
        <v>1615429</v>
      </c>
      <c r="E5021">
        <v>2</v>
      </c>
      <c r="F5021" t="s">
        <v>5426</v>
      </c>
    </row>
    <row r="5022" spans="1:6" x14ac:dyDescent="0.25">
      <c r="A5022" t="s">
        <v>5510</v>
      </c>
      <c r="B5022" t="s">
        <v>411</v>
      </c>
      <c r="C5022" t="s">
        <v>412</v>
      </c>
      <c r="D5022" t="str">
        <f>HYPERLINK("http://service.sap.com/sap/support/notes/1615475","1615475")</f>
        <v>1615475</v>
      </c>
      <c r="E5022">
        <v>2</v>
      </c>
      <c r="F5022" t="s">
        <v>5427</v>
      </c>
    </row>
    <row r="5023" spans="1:6" x14ac:dyDescent="0.25">
      <c r="A5023" t="s">
        <v>5510</v>
      </c>
      <c r="B5023" t="s">
        <v>411</v>
      </c>
      <c r="C5023" t="s">
        <v>412</v>
      </c>
      <c r="D5023" t="str">
        <f>HYPERLINK("http://service.sap.com/sap/support/notes/1615625","1615625")</f>
        <v>1615625</v>
      </c>
      <c r="E5023">
        <v>2</v>
      </c>
      <c r="F5023" t="s">
        <v>5428</v>
      </c>
    </row>
    <row r="5024" spans="1:6" x14ac:dyDescent="0.25">
      <c r="A5024" t="s">
        <v>5510</v>
      </c>
      <c r="B5024" t="s">
        <v>411</v>
      </c>
      <c r="C5024" t="s">
        <v>412</v>
      </c>
      <c r="D5024" t="str">
        <f>HYPERLINK("http://service.sap.com/sap/support/notes/1616776","1616776")</f>
        <v>1616776</v>
      </c>
      <c r="E5024">
        <v>2</v>
      </c>
      <c r="F5024" t="s">
        <v>5429</v>
      </c>
    </row>
    <row r="5025" spans="1:6" x14ac:dyDescent="0.25">
      <c r="A5025" t="s">
        <v>5510</v>
      </c>
      <c r="B5025" t="s">
        <v>411</v>
      </c>
      <c r="C5025" t="s">
        <v>412</v>
      </c>
      <c r="D5025" t="str">
        <f>HYPERLINK("http://service.sap.com/sap/support/notes/1620964","1620964")</f>
        <v>1620964</v>
      </c>
      <c r="E5025">
        <v>2</v>
      </c>
      <c r="F5025" t="s">
        <v>5430</v>
      </c>
    </row>
    <row r="5026" spans="1:6" x14ac:dyDescent="0.25">
      <c r="A5026" t="s">
        <v>5510</v>
      </c>
      <c r="B5026" t="s">
        <v>415</v>
      </c>
      <c r="C5026" t="s">
        <v>416</v>
      </c>
      <c r="D5026" t="str">
        <f>HYPERLINK("http://service.sap.com/sap/support/notes/1581382","1581382")</f>
        <v>1581382</v>
      </c>
      <c r="E5026">
        <v>2</v>
      </c>
      <c r="F5026" t="s">
        <v>5431</v>
      </c>
    </row>
    <row r="5027" spans="1:6" x14ac:dyDescent="0.25">
      <c r="A5027" t="s">
        <v>5510</v>
      </c>
      <c r="B5027" t="s">
        <v>415</v>
      </c>
      <c r="C5027" t="s">
        <v>416</v>
      </c>
      <c r="D5027" t="str">
        <f>HYPERLINK("http://service.sap.com/sap/support/notes/1614744","1614744")</f>
        <v>1614744</v>
      </c>
      <c r="E5027">
        <v>1</v>
      </c>
      <c r="F5027" t="s">
        <v>5432</v>
      </c>
    </row>
    <row r="5028" spans="1:6" x14ac:dyDescent="0.25">
      <c r="A5028" t="s">
        <v>5510</v>
      </c>
      <c r="B5028" t="s">
        <v>415</v>
      </c>
      <c r="C5028" t="s">
        <v>416</v>
      </c>
      <c r="D5028" t="str">
        <f>HYPERLINK("http://service.sap.com/sap/support/notes/1617655","1617655")</f>
        <v>1617655</v>
      </c>
      <c r="E5028">
        <v>1</v>
      </c>
      <c r="F5028" t="s">
        <v>5433</v>
      </c>
    </row>
    <row r="5029" spans="1:6" x14ac:dyDescent="0.25">
      <c r="A5029" t="s">
        <v>5510</v>
      </c>
      <c r="B5029" t="s">
        <v>415</v>
      </c>
      <c r="C5029" t="s">
        <v>416</v>
      </c>
      <c r="D5029" t="str">
        <f>HYPERLINK("http://service.sap.com/sap/support/notes/1618625","1618625")</f>
        <v>1618625</v>
      </c>
      <c r="E5029">
        <v>1</v>
      </c>
      <c r="F5029" t="s">
        <v>5434</v>
      </c>
    </row>
    <row r="5030" spans="1:6" x14ac:dyDescent="0.25">
      <c r="A5030" t="s">
        <v>5510</v>
      </c>
      <c r="B5030" t="s">
        <v>1226</v>
      </c>
      <c r="C5030" t="s">
        <v>2873</v>
      </c>
      <c r="D5030" t="str">
        <f>HYPERLINK("http://service.sap.com/sap/support/notes/1607867","1607867")</f>
        <v>1607867</v>
      </c>
      <c r="E5030">
        <v>3</v>
      </c>
      <c r="F5030" t="s">
        <v>5435</v>
      </c>
    </row>
    <row r="5031" spans="1:6" x14ac:dyDescent="0.25">
      <c r="A5031" t="s">
        <v>5510</v>
      </c>
      <c r="B5031" t="s">
        <v>425</v>
      </c>
      <c r="C5031" t="s">
        <v>426</v>
      </c>
      <c r="D5031" t="str">
        <f>HYPERLINK("http://service.sap.com/sap/support/notes/1598668","1598668")</f>
        <v>1598668</v>
      </c>
      <c r="E5031">
        <v>1</v>
      </c>
      <c r="F5031" t="s">
        <v>5436</v>
      </c>
    </row>
    <row r="5032" spans="1:6" x14ac:dyDescent="0.25">
      <c r="A5032" t="s">
        <v>5510</v>
      </c>
      <c r="B5032" t="s">
        <v>431</v>
      </c>
      <c r="C5032" t="s">
        <v>432</v>
      </c>
      <c r="D5032" t="str">
        <f>HYPERLINK("http://service.sap.com/sap/support/notes/1592251","1592251")</f>
        <v>1592251</v>
      </c>
      <c r="E5032">
        <v>1</v>
      </c>
      <c r="F5032" t="s">
        <v>5437</v>
      </c>
    </row>
    <row r="5033" spans="1:6" x14ac:dyDescent="0.25">
      <c r="A5033" t="s">
        <v>5510</v>
      </c>
      <c r="B5033" t="s">
        <v>431</v>
      </c>
      <c r="C5033" t="s">
        <v>432</v>
      </c>
      <c r="D5033" t="str">
        <f>HYPERLINK("http://service.sap.com/sap/support/notes/1608051","1608051")</f>
        <v>1608051</v>
      </c>
      <c r="E5033">
        <v>2</v>
      </c>
      <c r="F5033" t="s">
        <v>5438</v>
      </c>
    </row>
    <row r="5034" spans="1:6" x14ac:dyDescent="0.25">
      <c r="A5034" t="s">
        <v>5510</v>
      </c>
      <c r="B5034" t="s">
        <v>431</v>
      </c>
      <c r="C5034" t="s">
        <v>432</v>
      </c>
      <c r="D5034" t="str">
        <f>HYPERLINK("http://service.sap.com/sap/support/notes/1618532","1618532")</f>
        <v>1618532</v>
      </c>
      <c r="E5034">
        <v>1</v>
      </c>
      <c r="F5034" t="s">
        <v>5439</v>
      </c>
    </row>
    <row r="5035" spans="1:6" x14ac:dyDescent="0.25">
      <c r="A5035" t="s">
        <v>5510</v>
      </c>
      <c r="B5035" t="s">
        <v>431</v>
      </c>
      <c r="C5035" t="s">
        <v>432</v>
      </c>
      <c r="D5035" t="str">
        <f>HYPERLINK("http://service.sap.com/sap/support/notes/1619436","1619436")</f>
        <v>1619436</v>
      </c>
      <c r="E5035">
        <v>2</v>
      </c>
      <c r="F5035" t="s">
        <v>5440</v>
      </c>
    </row>
    <row r="5036" spans="1:6" x14ac:dyDescent="0.25">
      <c r="A5036" t="s">
        <v>5510</v>
      </c>
      <c r="B5036" t="s">
        <v>431</v>
      </c>
      <c r="C5036" t="s">
        <v>432</v>
      </c>
      <c r="D5036" t="str">
        <f>HYPERLINK("http://service.sap.com/sap/support/notes/1621201","1621201")</f>
        <v>1621201</v>
      </c>
      <c r="E5036">
        <v>1</v>
      </c>
      <c r="F5036" t="s">
        <v>5441</v>
      </c>
    </row>
    <row r="5037" spans="1:6" x14ac:dyDescent="0.25">
      <c r="A5037" t="s">
        <v>5510</v>
      </c>
      <c r="B5037" t="s">
        <v>436</v>
      </c>
      <c r="C5037" t="s">
        <v>437</v>
      </c>
      <c r="D5037" t="str">
        <f>HYPERLINK("http://service.sap.com/sap/support/notes/1581085","1581085")</f>
        <v>1581085</v>
      </c>
      <c r="E5037">
        <v>1</v>
      </c>
      <c r="F5037" t="s">
        <v>5442</v>
      </c>
    </row>
    <row r="5038" spans="1:6" x14ac:dyDescent="0.25">
      <c r="A5038" t="s">
        <v>5510</v>
      </c>
      <c r="B5038" t="s">
        <v>436</v>
      </c>
      <c r="C5038" t="s">
        <v>437</v>
      </c>
      <c r="D5038" t="str">
        <f>HYPERLINK("http://service.sap.com/sap/support/notes/1615511","1615511")</f>
        <v>1615511</v>
      </c>
      <c r="E5038">
        <v>1</v>
      </c>
      <c r="F5038" t="s">
        <v>5443</v>
      </c>
    </row>
    <row r="5039" spans="1:6" x14ac:dyDescent="0.25">
      <c r="A5039" t="s">
        <v>5510</v>
      </c>
      <c r="B5039" t="s">
        <v>440</v>
      </c>
      <c r="C5039" t="s">
        <v>441</v>
      </c>
      <c r="D5039" t="str">
        <f>HYPERLINK("http://service.sap.com/sap/support/notes/1060820","1060820")</f>
        <v>1060820</v>
      </c>
      <c r="E5039">
        <v>1</v>
      </c>
      <c r="F5039" t="s">
        <v>2104</v>
      </c>
    </row>
    <row r="5040" spans="1:6" x14ac:dyDescent="0.25">
      <c r="A5040" t="s">
        <v>5510</v>
      </c>
      <c r="B5040" t="s">
        <v>440</v>
      </c>
      <c r="C5040" t="s">
        <v>441</v>
      </c>
      <c r="D5040" t="str">
        <f>HYPERLINK("http://service.sap.com/sap/support/notes/1354989","1354989")</f>
        <v>1354989</v>
      </c>
      <c r="E5040">
        <v>3</v>
      </c>
      <c r="F5040" t="s">
        <v>5444</v>
      </c>
    </row>
    <row r="5041" spans="1:6" x14ac:dyDescent="0.25">
      <c r="A5041" t="s">
        <v>5510</v>
      </c>
      <c r="B5041" t="s">
        <v>440</v>
      </c>
      <c r="C5041" t="s">
        <v>441</v>
      </c>
      <c r="D5041" t="str">
        <f>HYPERLINK("http://service.sap.com/sap/support/notes/1380932","1380932")</f>
        <v>1380932</v>
      </c>
      <c r="E5041">
        <v>4</v>
      </c>
      <c r="F5041" t="s">
        <v>5445</v>
      </c>
    </row>
    <row r="5042" spans="1:6" x14ac:dyDescent="0.25">
      <c r="A5042" t="s">
        <v>5510</v>
      </c>
      <c r="B5042" t="s">
        <v>440</v>
      </c>
      <c r="C5042" t="s">
        <v>441</v>
      </c>
      <c r="D5042" t="str">
        <f>HYPERLINK("http://service.sap.com/sap/support/notes/1413656","1413656")</f>
        <v>1413656</v>
      </c>
      <c r="E5042">
        <v>5</v>
      </c>
      <c r="F5042" t="s">
        <v>5446</v>
      </c>
    </row>
    <row r="5043" spans="1:6" x14ac:dyDescent="0.25">
      <c r="A5043" t="s">
        <v>5510</v>
      </c>
      <c r="B5043" t="s">
        <v>440</v>
      </c>
      <c r="C5043" t="s">
        <v>441</v>
      </c>
      <c r="D5043" t="str">
        <f>HYPERLINK("http://service.sap.com/sap/support/notes/1608330","1608330")</f>
        <v>1608330</v>
      </c>
      <c r="E5043">
        <v>2</v>
      </c>
      <c r="F5043" t="s">
        <v>5447</v>
      </c>
    </row>
    <row r="5044" spans="1:6" x14ac:dyDescent="0.25">
      <c r="A5044" t="s">
        <v>5510</v>
      </c>
      <c r="B5044" t="s">
        <v>440</v>
      </c>
      <c r="C5044" t="s">
        <v>441</v>
      </c>
      <c r="D5044" t="str">
        <f>HYPERLINK("http://service.sap.com/sap/support/notes/1608957","1608957")</f>
        <v>1608957</v>
      </c>
      <c r="E5044">
        <v>3</v>
      </c>
      <c r="F5044" t="s">
        <v>5448</v>
      </c>
    </row>
    <row r="5045" spans="1:6" x14ac:dyDescent="0.25">
      <c r="A5045" t="s">
        <v>5510</v>
      </c>
      <c r="B5045" t="s">
        <v>440</v>
      </c>
      <c r="C5045" t="s">
        <v>441</v>
      </c>
      <c r="D5045" t="str">
        <f>HYPERLINK("http://service.sap.com/sap/support/notes/1609945","1609945")</f>
        <v>1609945</v>
      </c>
      <c r="E5045">
        <v>3</v>
      </c>
      <c r="F5045" t="s">
        <v>5449</v>
      </c>
    </row>
    <row r="5046" spans="1:6" x14ac:dyDescent="0.25">
      <c r="A5046" t="s">
        <v>5510</v>
      </c>
      <c r="B5046" t="s">
        <v>440</v>
      </c>
      <c r="C5046" t="s">
        <v>441</v>
      </c>
      <c r="D5046" t="str">
        <f>HYPERLINK("http://service.sap.com/sap/support/notes/1610001","1610001")</f>
        <v>1610001</v>
      </c>
      <c r="E5046">
        <v>2</v>
      </c>
      <c r="F5046" t="s">
        <v>5450</v>
      </c>
    </row>
    <row r="5047" spans="1:6" x14ac:dyDescent="0.25">
      <c r="A5047" t="s">
        <v>5510</v>
      </c>
      <c r="B5047" t="s">
        <v>440</v>
      </c>
      <c r="C5047" t="s">
        <v>441</v>
      </c>
      <c r="D5047" t="str">
        <f>HYPERLINK("http://service.sap.com/sap/support/notes/1610842","1610842")</f>
        <v>1610842</v>
      </c>
      <c r="E5047">
        <v>3</v>
      </c>
      <c r="F5047" t="s">
        <v>5451</v>
      </c>
    </row>
    <row r="5048" spans="1:6" x14ac:dyDescent="0.25">
      <c r="A5048" t="s">
        <v>5510</v>
      </c>
      <c r="B5048" t="s">
        <v>440</v>
      </c>
      <c r="C5048" t="s">
        <v>441</v>
      </c>
      <c r="D5048" t="str">
        <f>HYPERLINK("http://service.sap.com/sap/support/notes/1615425","1615425")</f>
        <v>1615425</v>
      </c>
      <c r="E5048">
        <v>2</v>
      </c>
      <c r="F5048" t="s">
        <v>5452</v>
      </c>
    </row>
    <row r="5049" spans="1:6" x14ac:dyDescent="0.25">
      <c r="A5049" t="s">
        <v>5510</v>
      </c>
      <c r="B5049" t="s">
        <v>440</v>
      </c>
      <c r="C5049" t="s">
        <v>441</v>
      </c>
      <c r="D5049" t="str">
        <f>HYPERLINK("http://service.sap.com/sap/support/notes/1615804","1615804")</f>
        <v>1615804</v>
      </c>
      <c r="E5049">
        <v>1</v>
      </c>
      <c r="F5049" t="s">
        <v>5453</v>
      </c>
    </row>
    <row r="5050" spans="1:6" x14ac:dyDescent="0.25">
      <c r="A5050" t="s">
        <v>5510</v>
      </c>
      <c r="B5050" t="s">
        <v>440</v>
      </c>
      <c r="C5050" t="s">
        <v>441</v>
      </c>
      <c r="D5050" t="str">
        <f>HYPERLINK("http://service.sap.com/sap/support/notes/1618799","1618799")</f>
        <v>1618799</v>
      </c>
      <c r="E5050">
        <v>1</v>
      </c>
      <c r="F5050" t="s">
        <v>5454</v>
      </c>
    </row>
    <row r="5051" spans="1:6" x14ac:dyDescent="0.25">
      <c r="A5051" t="s">
        <v>5510</v>
      </c>
      <c r="B5051" t="s">
        <v>449</v>
      </c>
      <c r="C5051" t="s">
        <v>450</v>
      </c>
      <c r="D5051" t="str">
        <f>HYPERLINK("http://service.sap.com/sap/support/notes/1594670","1594670")</f>
        <v>1594670</v>
      </c>
      <c r="E5051">
        <v>2</v>
      </c>
      <c r="F5051" t="s">
        <v>5455</v>
      </c>
    </row>
    <row r="5052" spans="1:6" x14ac:dyDescent="0.25">
      <c r="A5052" t="s">
        <v>5510</v>
      </c>
      <c r="B5052" t="s">
        <v>449</v>
      </c>
      <c r="C5052" t="s">
        <v>450</v>
      </c>
      <c r="D5052" t="str">
        <f>HYPERLINK("http://service.sap.com/sap/support/notes/1601118","1601118")</f>
        <v>1601118</v>
      </c>
      <c r="E5052">
        <v>3</v>
      </c>
      <c r="F5052" t="s">
        <v>5456</v>
      </c>
    </row>
    <row r="5053" spans="1:6" x14ac:dyDescent="0.25">
      <c r="A5053" t="s">
        <v>5510</v>
      </c>
      <c r="B5053" t="s">
        <v>449</v>
      </c>
      <c r="C5053" t="s">
        <v>450</v>
      </c>
      <c r="D5053" t="str">
        <f>HYPERLINK("http://service.sap.com/sap/support/notes/1605586","1605586")</f>
        <v>1605586</v>
      </c>
      <c r="E5053">
        <v>2</v>
      </c>
      <c r="F5053" t="s">
        <v>5457</v>
      </c>
    </row>
    <row r="5054" spans="1:6" x14ac:dyDescent="0.25">
      <c r="A5054" t="s">
        <v>5510</v>
      </c>
      <c r="B5054" t="s">
        <v>449</v>
      </c>
      <c r="C5054" t="s">
        <v>450</v>
      </c>
      <c r="D5054" t="str">
        <f>HYPERLINK("http://service.sap.com/sap/support/notes/1608005","1608005")</f>
        <v>1608005</v>
      </c>
      <c r="E5054">
        <v>1</v>
      </c>
      <c r="F5054" t="s">
        <v>5458</v>
      </c>
    </row>
    <row r="5055" spans="1:6" x14ac:dyDescent="0.25">
      <c r="A5055" t="s">
        <v>5510</v>
      </c>
      <c r="B5055" t="s">
        <v>449</v>
      </c>
      <c r="C5055" t="s">
        <v>450</v>
      </c>
      <c r="D5055" t="str">
        <f>HYPERLINK("http://service.sap.com/sap/support/notes/1610035","1610035")</f>
        <v>1610035</v>
      </c>
      <c r="E5055">
        <v>2</v>
      </c>
      <c r="F5055" t="s">
        <v>5459</v>
      </c>
    </row>
    <row r="5056" spans="1:6" x14ac:dyDescent="0.25">
      <c r="A5056" t="s">
        <v>5510</v>
      </c>
      <c r="B5056" t="s">
        <v>449</v>
      </c>
      <c r="C5056" t="s">
        <v>450</v>
      </c>
      <c r="D5056" t="str">
        <f>HYPERLINK("http://service.sap.com/sap/support/notes/1611898","1611898")</f>
        <v>1611898</v>
      </c>
      <c r="E5056">
        <v>5</v>
      </c>
      <c r="F5056" t="s">
        <v>5460</v>
      </c>
    </row>
    <row r="5057" spans="1:6" x14ac:dyDescent="0.25">
      <c r="A5057" t="s">
        <v>5510</v>
      </c>
      <c r="B5057" t="s">
        <v>449</v>
      </c>
      <c r="C5057" t="s">
        <v>450</v>
      </c>
      <c r="D5057" t="str">
        <f>HYPERLINK("http://service.sap.com/sap/support/notes/1614387","1614387")</f>
        <v>1614387</v>
      </c>
      <c r="E5057">
        <v>2</v>
      </c>
      <c r="F5057" t="s">
        <v>5461</v>
      </c>
    </row>
    <row r="5058" spans="1:6" x14ac:dyDescent="0.25">
      <c r="A5058" t="s">
        <v>5510</v>
      </c>
      <c r="B5058" t="s">
        <v>449</v>
      </c>
      <c r="C5058" t="s">
        <v>450</v>
      </c>
      <c r="D5058" t="str">
        <f>HYPERLINK("http://service.sap.com/sap/support/notes/1614972","1614972")</f>
        <v>1614972</v>
      </c>
      <c r="E5058">
        <v>8</v>
      </c>
      <c r="F5058" t="s">
        <v>5462</v>
      </c>
    </row>
    <row r="5059" spans="1:6" x14ac:dyDescent="0.25">
      <c r="A5059" t="s">
        <v>5510</v>
      </c>
      <c r="B5059" t="s">
        <v>449</v>
      </c>
      <c r="C5059" t="s">
        <v>450</v>
      </c>
      <c r="D5059" t="str">
        <f>HYPERLINK("http://service.sap.com/sap/support/notes/1615864","1615864")</f>
        <v>1615864</v>
      </c>
      <c r="E5059">
        <v>3</v>
      </c>
      <c r="F5059" t="s">
        <v>5463</v>
      </c>
    </row>
    <row r="5060" spans="1:6" x14ac:dyDescent="0.25">
      <c r="A5060" t="s">
        <v>5510</v>
      </c>
      <c r="B5060" t="s">
        <v>449</v>
      </c>
      <c r="C5060" t="s">
        <v>450</v>
      </c>
      <c r="D5060" t="str">
        <f>HYPERLINK("http://service.sap.com/sap/support/notes/1616403","1616403")</f>
        <v>1616403</v>
      </c>
      <c r="E5060">
        <v>2</v>
      </c>
      <c r="F5060" t="s">
        <v>5464</v>
      </c>
    </row>
    <row r="5061" spans="1:6" x14ac:dyDescent="0.25">
      <c r="A5061" t="s">
        <v>5510</v>
      </c>
      <c r="B5061" t="s">
        <v>460</v>
      </c>
      <c r="C5061" t="s">
        <v>461</v>
      </c>
      <c r="D5061" t="str">
        <f>HYPERLINK("http://service.sap.com/sap/support/notes/1609260","1609260")</f>
        <v>1609260</v>
      </c>
      <c r="E5061">
        <v>4</v>
      </c>
      <c r="F5061" t="s">
        <v>5465</v>
      </c>
    </row>
    <row r="5062" spans="1:6" x14ac:dyDescent="0.25">
      <c r="A5062" t="s">
        <v>5510</v>
      </c>
      <c r="B5062" t="s">
        <v>460</v>
      </c>
      <c r="C5062" t="s">
        <v>461</v>
      </c>
      <c r="D5062" t="str">
        <f>HYPERLINK("http://service.sap.com/sap/support/notes/1610296","1610296")</f>
        <v>1610296</v>
      </c>
      <c r="E5062">
        <v>1</v>
      </c>
      <c r="F5062" t="s">
        <v>5466</v>
      </c>
    </row>
    <row r="5063" spans="1:6" x14ac:dyDescent="0.25">
      <c r="A5063" t="s">
        <v>5510</v>
      </c>
      <c r="B5063" t="s">
        <v>460</v>
      </c>
      <c r="C5063" t="s">
        <v>461</v>
      </c>
      <c r="D5063" t="str">
        <f>HYPERLINK("http://service.sap.com/sap/support/notes/1617139","1617139")</f>
        <v>1617139</v>
      </c>
      <c r="E5063">
        <v>3</v>
      </c>
      <c r="F5063" t="s">
        <v>5467</v>
      </c>
    </row>
    <row r="5064" spans="1:6" x14ac:dyDescent="0.25">
      <c r="A5064" t="s">
        <v>5510</v>
      </c>
      <c r="B5064" t="s">
        <v>460</v>
      </c>
      <c r="C5064" t="s">
        <v>461</v>
      </c>
      <c r="D5064" t="str">
        <f>HYPERLINK("http://service.sap.com/sap/support/notes/1617263","1617263")</f>
        <v>1617263</v>
      </c>
      <c r="E5064">
        <v>1</v>
      </c>
      <c r="F5064" t="s">
        <v>5468</v>
      </c>
    </row>
    <row r="5065" spans="1:6" x14ac:dyDescent="0.25">
      <c r="A5065" t="s">
        <v>5510</v>
      </c>
      <c r="B5065" t="s">
        <v>460</v>
      </c>
      <c r="C5065" t="s">
        <v>461</v>
      </c>
      <c r="D5065" t="str">
        <f>HYPERLINK("http://service.sap.com/sap/support/notes/1617615","1617615")</f>
        <v>1617615</v>
      </c>
      <c r="E5065">
        <v>1</v>
      </c>
      <c r="F5065" t="s">
        <v>5469</v>
      </c>
    </row>
    <row r="5066" spans="1:6" x14ac:dyDescent="0.25">
      <c r="A5066" t="s">
        <v>5510</v>
      </c>
      <c r="B5066" t="s">
        <v>460</v>
      </c>
      <c r="C5066" t="s">
        <v>461</v>
      </c>
      <c r="D5066" t="str">
        <f>HYPERLINK("http://service.sap.com/sap/support/notes/1618259","1618259")</f>
        <v>1618259</v>
      </c>
      <c r="E5066">
        <v>1</v>
      </c>
      <c r="F5066" t="s">
        <v>5470</v>
      </c>
    </row>
    <row r="5067" spans="1:6" x14ac:dyDescent="0.25">
      <c r="A5067" t="s">
        <v>5510</v>
      </c>
      <c r="B5067" t="s">
        <v>460</v>
      </c>
      <c r="C5067" t="s">
        <v>461</v>
      </c>
      <c r="D5067" t="str">
        <f>HYPERLINK("http://service.sap.com/sap/support/notes/1618672","1618672")</f>
        <v>1618672</v>
      </c>
      <c r="E5067">
        <v>1</v>
      </c>
      <c r="F5067" t="s">
        <v>5471</v>
      </c>
    </row>
    <row r="5068" spans="1:6" x14ac:dyDescent="0.25">
      <c r="A5068" t="s">
        <v>5510</v>
      </c>
      <c r="B5068" t="s">
        <v>472</v>
      </c>
      <c r="C5068" t="s">
        <v>473</v>
      </c>
      <c r="D5068" t="str">
        <f>HYPERLINK("http://service.sap.com/sap/support/notes/1174708","1174708")</f>
        <v>1174708</v>
      </c>
      <c r="E5068">
        <v>1</v>
      </c>
      <c r="F5068" t="s">
        <v>1256</v>
      </c>
    </row>
    <row r="5069" spans="1:6" x14ac:dyDescent="0.25">
      <c r="A5069" t="s">
        <v>5510</v>
      </c>
      <c r="B5069" t="s">
        <v>472</v>
      </c>
      <c r="C5069" t="s">
        <v>473</v>
      </c>
      <c r="D5069" t="str">
        <f>HYPERLINK("http://service.sap.com/sap/support/notes/1376332","1376332")</f>
        <v>1376332</v>
      </c>
      <c r="E5069">
        <v>3</v>
      </c>
      <c r="F5069" t="s">
        <v>5472</v>
      </c>
    </row>
    <row r="5070" spans="1:6" x14ac:dyDescent="0.25">
      <c r="A5070" t="s">
        <v>5510</v>
      </c>
      <c r="B5070" t="s">
        <v>472</v>
      </c>
      <c r="C5070" t="s">
        <v>473</v>
      </c>
      <c r="D5070" t="str">
        <f>HYPERLINK("http://service.sap.com/sap/support/notes/1620465","1620465")</f>
        <v>1620465</v>
      </c>
      <c r="E5070">
        <v>1</v>
      </c>
      <c r="F5070" t="s">
        <v>5473</v>
      </c>
    </row>
    <row r="5071" spans="1:6" x14ac:dyDescent="0.25">
      <c r="A5071" t="s">
        <v>5510</v>
      </c>
      <c r="B5071" t="s">
        <v>479</v>
      </c>
      <c r="C5071" t="s">
        <v>480</v>
      </c>
      <c r="D5071" t="str">
        <f>HYPERLINK("http://service.sap.com/sap/support/notes/1614088","1614088")</f>
        <v>1614088</v>
      </c>
      <c r="E5071">
        <v>1</v>
      </c>
      <c r="F5071" t="s">
        <v>5474</v>
      </c>
    </row>
    <row r="5072" spans="1:6" x14ac:dyDescent="0.25">
      <c r="A5072" t="s">
        <v>5510</v>
      </c>
      <c r="B5072" t="s">
        <v>479</v>
      </c>
      <c r="C5072" t="s">
        <v>480</v>
      </c>
      <c r="D5072" t="str">
        <f>HYPERLINK("http://service.sap.com/sap/support/notes/1615261","1615261")</f>
        <v>1615261</v>
      </c>
      <c r="E5072">
        <v>1</v>
      </c>
      <c r="F5072" t="s">
        <v>5475</v>
      </c>
    </row>
    <row r="5073" spans="1:6" x14ac:dyDescent="0.25">
      <c r="A5073" t="s">
        <v>5510</v>
      </c>
      <c r="B5073" t="s">
        <v>479</v>
      </c>
      <c r="C5073" t="s">
        <v>480</v>
      </c>
      <c r="D5073" t="str">
        <f>HYPERLINK("http://service.sap.com/sap/support/notes/1617223","1617223")</f>
        <v>1617223</v>
      </c>
      <c r="E5073">
        <v>3</v>
      </c>
      <c r="F5073" t="s">
        <v>5476</v>
      </c>
    </row>
    <row r="5074" spans="1:6" x14ac:dyDescent="0.25">
      <c r="A5074" t="s">
        <v>5510</v>
      </c>
      <c r="B5074" t="s">
        <v>479</v>
      </c>
      <c r="C5074" t="s">
        <v>480</v>
      </c>
      <c r="D5074" t="str">
        <f>HYPERLINK("http://service.sap.com/sap/support/notes/1619984","1619984")</f>
        <v>1619984</v>
      </c>
      <c r="E5074">
        <v>5</v>
      </c>
      <c r="F5074" t="s">
        <v>5477</v>
      </c>
    </row>
    <row r="5075" spans="1:6" x14ac:dyDescent="0.25">
      <c r="A5075" t="s">
        <v>5510</v>
      </c>
      <c r="B5075" t="s">
        <v>479</v>
      </c>
      <c r="C5075" t="s">
        <v>480</v>
      </c>
      <c r="D5075" t="str">
        <f>HYPERLINK("http://service.sap.com/sap/support/notes/1622125","1622125")</f>
        <v>1622125</v>
      </c>
      <c r="E5075">
        <v>2</v>
      </c>
      <c r="F5075" t="s">
        <v>5476</v>
      </c>
    </row>
    <row r="5076" spans="1:6" x14ac:dyDescent="0.25">
      <c r="A5076" t="s">
        <v>5510</v>
      </c>
      <c r="B5076" t="s">
        <v>487</v>
      </c>
      <c r="C5076" t="s">
        <v>153</v>
      </c>
      <c r="D5076" t="str">
        <f>HYPERLINK("http://service.sap.com/sap/support/notes/1621326","1621326")</f>
        <v>1621326</v>
      </c>
      <c r="E5076">
        <v>3</v>
      </c>
      <c r="F5076" t="s">
        <v>5478</v>
      </c>
    </row>
    <row r="5077" spans="1:6" x14ac:dyDescent="0.25">
      <c r="A5077" t="s">
        <v>5510</v>
      </c>
      <c r="B5077" t="s">
        <v>489</v>
      </c>
      <c r="C5077" t="s">
        <v>104</v>
      </c>
      <c r="D5077" t="str">
        <f>HYPERLINK("http://service.sap.com/sap/support/notes/1613346","1613346")</f>
        <v>1613346</v>
      </c>
      <c r="E5077">
        <v>2</v>
      </c>
      <c r="F5077" t="s">
        <v>5479</v>
      </c>
    </row>
    <row r="5078" spans="1:6" x14ac:dyDescent="0.25">
      <c r="A5078" t="s">
        <v>5510</v>
      </c>
      <c r="B5078" t="s">
        <v>489</v>
      </c>
      <c r="C5078" t="s">
        <v>104</v>
      </c>
      <c r="D5078" t="str">
        <f>HYPERLINK("http://service.sap.com/sap/support/notes/1617757","1617757")</f>
        <v>1617757</v>
      </c>
      <c r="E5078">
        <v>1</v>
      </c>
      <c r="F5078" t="s">
        <v>5480</v>
      </c>
    </row>
    <row r="5079" spans="1:6" x14ac:dyDescent="0.25">
      <c r="A5079" t="s">
        <v>5510</v>
      </c>
      <c r="B5079" t="s">
        <v>489</v>
      </c>
      <c r="C5079" t="s">
        <v>104</v>
      </c>
      <c r="D5079" t="str">
        <f>HYPERLINK("http://service.sap.com/sap/support/notes/1622173","1622173")</f>
        <v>1622173</v>
      </c>
      <c r="E5079">
        <v>1</v>
      </c>
      <c r="F5079" t="s">
        <v>5481</v>
      </c>
    </row>
    <row r="5080" spans="1:6" x14ac:dyDescent="0.25">
      <c r="A5080" t="s">
        <v>5510</v>
      </c>
      <c r="B5080" t="s">
        <v>495</v>
      </c>
      <c r="C5080" t="s">
        <v>496</v>
      </c>
      <c r="D5080" t="str">
        <f>HYPERLINK("http://service.sap.com/sap/support/notes/1616993","1616993")</f>
        <v>1616993</v>
      </c>
      <c r="E5080">
        <v>1</v>
      </c>
      <c r="F5080" t="s">
        <v>5482</v>
      </c>
    </row>
    <row r="5081" spans="1:6" x14ac:dyDescent="0.25">
      <c r="A5081" t="s">
        <v>5510</v>
      </c>
      <c r="B5081" t="s">
        <v>499</v>
      </c>
      <c r="C5081" t="s">
        <v>108</v>
      </c>
      <c r="D5081" t="str">
        <f>HYPERLINK("http://service.sap.com/sap/support/notes/1528019","1528019")</f>
        <v>1528019</v>
      </c>
      <c r="E5081">
        <v>3</v>
      </c>
      <c r="F5081" t="s">
        <v>5483</v>
      </c>
    </row>
    <row r="5082" spans="1:6" x14ac:dyDescent="0.25">
      <c r="A5082" t="s">
        <v>5510</v>
      </c>
      <c r="B5082" t="s">
        <v>499</v>
      </c>
      <c r="C5082" t="s">
        <v>108</v>
      </c>
      <c r="D5082" t="str">
        <f>HYPERLINK("http://service.sap.com/sap/support/notes/1569840","1569840")</f>
        <v>1569840</v>
      </c>
      <c r="E5082">
        <v>2</v>
      </c>
      <c r="F5082" t="s">
        <v>5484</v>
      </c>
    </row>
    <row r="5083" spans="1:6" x14ac:dyDescent="0.25">
      <c r="A5083" t="s">
        <v>5510</v>
      </c>
      <c r="B5083" t="s">
        <v>499</v>
      </c>
      <c r="C5083" t="s">
        <v>108</v>
      </c>
      <c r="D5083" t="str">
        <f>HYPERLINK("http://service.sap.com/sap/support/notes/1591831","1591831")</f>
        <v>1591831</v>
      </c>
      <c r="E5083">
        <v>2</v>
      </c>
      <c r="F5083" t="s">
        <v>5485</v>
      </c>
    </row>
    <row r="5084" spans="1:6" x14ac:dyDescent="0.25">
      <c r="A5084" t="s">
        <v>5510</v>
      </c>
      <c r="B5084" t="s">
        <v>505</v>
      </c>
      <c r="C5084" t="s">
        <v>299</v>
      </c>
      <c r="D5084" t="str">
        <f>HYPERLINK("http://service.sap.com/sap/support/notes/1502457","1502457")</f>
        <v>1502457</v>
      </c>
      <c r="E5084">
        <v>3</v>
      </c>
      <c r="F5084" t="s">
        <v>5486</v>
      </c>
    </row>
    <row r="5085" spans="1:6" x14ac:dyDescent="0.25">
      <c r="A5085" t="s">
        <v>5510</v>
      </c>
      <c r="B5085" t="s">
        <v>505</v>
      </c>
      <c r="C5085" t="s">
        <v>299</v>
      </c>
      <c r="D5085" t="str">
        <f>HYPERLINK("http://service.sap.com/sap/support/notes/1604317","1604317")</f>
        <v>1604317</v>
      </c>
      <c r="E5085">
        <v>2</v>
      </c>
      <c r="F5085" t="s">
        <v>5487</v>
      </c>
    </row>
    <row r="5086" spans="1:6" x14ac:dyDescent="0.25">
      <c r="A5086" t="s">
        <v>5510</v>
      </c>
      <c r="B5086" t="s">
        <v>505</v>
      </c>
      <c r="C5086" t="s">
        <v>299</v>
      </c>
      <c r="D5086" t="str">
        <f>HYPERLINK("http://service.sap.com/sap/support/notes/1611959","1611959")</f>
        <v>1611959</v>
      </c>
      <c r="E5086">
        <v>3</v>
      </c>
      <c r="F5086" t="s">
        <v>4463</v>
      </c>
    </row>
    <row r="5087" spans="1:6" x14ac:dyDescent="0.25">
      <c r="A5087" t="s">
        <v>5510</v>
      </c>
      <c r="B5087" t="s">
        <v>505</v>
      </c>
      <c r="C5087" t="s">
        <v>299</v>
      </c>
      <c r="D5087" t="str">
        <f>HYPERLINK("http://service.sap.com/sap/support/notes/1619893","1619893")</f>
        <v>1619893</v>
      </c>
      <c r="E5087">
        <v>1</v>
      </c>
      <c r="F5087" t="s">
        <v>4464</v>
      </c>
    </row>
    <row r="5088" spans="1:6" x14ac:dyDescent="0.25">
      <c r="A5088" t="s">
        <v>5510</v>
      </c>
      <c r="B5088" t="s">
        <v>508</v>
      </c>
      <c r="C5088" t="s">
        <v>509</v>
      </c>
      <c r="D5088" t="str">
        <f>HYPERLINK("http://service.sap.com/sap/support/notes/1583620","1583620")</f>
        <v>1583620</v>
      </c>
      <c r="E5088">
        <v>3</v>
      </c>
      <c r="F5088" t="s">
        <v>5488</v>
      </c>
    </row>
    <row r="5089" spans="1:6" x14ac:dyDescent="0.25">
      <c r="A5089" t="s">
        <v>5510</v>
      </c>
      <c r="B5089" t="s">
        <v>508</v>
      </c>
      <c r="C5089" t="s">
        <v>509</v>
      </c>
      <c r="D5089" t="str">
        <f>HYPERLINK("http://service.sap.com/sap/support/notes/1584077","1584077")</f>
        <v>1584077</v>
      </c>
      <c r="E5089">
        <v>3</v>
      </c>
      <c r="F5089" t="s">
        <v>5489</v>
      </c>
    </row>
    <row r="5090" spans="1:6" x14ac:dyDescent="0.25">
      <c r="A5090" t="s">
        <v>5510</v>
      </c>
      <c r="B5090" t="s">
        <v>508</v>
      </c>
      <c r="C5090" t="s">
        <v>509</v>
      </c>
      <c r="D5090" t="str">
        <f>HYPERLINK("http://service.sap.com/sap/support/notes/1594520","1594520")</f>
        <v>1594520</v>
      </c>
      <c r="E5090">
        <v>3</v>
      </c>
      <c r="F5090" t="s">
        <v>5490</v>
      </c>
    </row>
    <row r="5091" spans="1:6" x14ac:dyDescent="0.25">
      <c r="A5091" t="s">
        <v>5510</v>
      </c>
      <c r="B5091" t="s">
        <v>508</v>
      </c>
      <c r="C5091" t="s">
        <v>509</v>
      </c>
      <c r="D5091" t="str">
        <f>HYPERLINK("http://service.sap.com/sap/support/notes/1596486","1596486")</f>
        <v>1596486</v>
      </c>
      <c r="E5091">
        <v>5</v>
      </c>
      <c r="F5091" t="s">
        <v>5491</v>
      </c>
    </row>
    <row r="5092" spans="1:6" x14ac:dyDescent="0.25">
      <c r="A5092" t="s">
        <v>5510</v>
      </c>
      <c r="B5092" t="s">
        <v>508</v>
      </c>
      <c r="C5092" t="s">
        <v>509</v>
      </c>
      <c r="D5092" t="str">
        <f>HYPERLINK("http://service.sap.com/sap/support/notes/1598426","1598426")</f>
        <v>1598426</v>
      </c>
      <c r="E5092">
        <v>3</v>
      </c>
      <c r="F5092" t="s">
        <v>5492</v>
      </c>
    </row>
    <row r="5093" spans="1:6" x14ac:dyDescent="0.25">
      <c r="A5093" t="s">
        <v>5510</v>
      </c>
      <c r="B5093" t="s">
        <v>508</v>
      </c>
      <c r="C5093" t="s">
        <v>509</v>
      </c>
      <c r="D5093" t="str">
        <f>HYPERLINK("http://service.sap.com/sap/support/notes/1604670","1604670")</f>
        <v>1604670</v>
      </c>
      <c r="E5093">
        <v>2</v>
      </c>
      <c r="F5093" t="s">
        <v>5493</v>
      </c>
    </row>
    <row r="5094" spans="1:6" x14ac:dyDescent="0.25">
      <c r="A5094" t="s">
        <v>5510</v>
      </c>
      <c r="B5094" t="s">
        <v>508</v>
      </c>
      <c r="C5094" t="s">
        <v>509</v>
      </c>
      <c r="D5094" t="str">
        <f>HYPERLINK("http://service.sap.com/sap/support/notes/1605226","1605226")</f>
        <v>1605226</v>
      </c>
      <c r="E5094">
        <v>2</v>
      </c>
      <c r="F5094" t="s">
        <v>5494</v>
      </c>
    </row>
    <row r="5095" spans="1:6" x14ac:dyDescent="0.25">
      <c r="A5095" t="s">
        <v>5510</v>
      </c>
      <c r="B5095" t="s">
        <v>508</v>
      </c>
      <c r="C5095" t="s">
        <v>509</v>
      </c>
      <c r="D5095" t="str">
        <f>HYPERLINK("http://service.sap.com/sap/support/notes/1609010","1609010")</f>
        <v>1609010</v>
      </c>
      <c r="E5095">
        <v>3</v>
      </c>
      <c r="F5095" t="s">
        <v>5495</v>
      </c>
    </row>
    <row r="5096" spans="1:6" x14ac:dyDescent="0.25">
      <c r="A5096" t="s">
        <v>5510</v>
      </c>
      <c r="B5096" t="s">
        <v>508</v>
      </c>
      <c r="C5096" t="s">
        <v>509</v>
      </c>
      <c r="D5096" t="str">
        <f>HYPERLINK("http://service.sap.com/sap/support/notes/1610453","1610453")</f>
        <v>1610453</v>
      </c>
      <c r="E5096">
        <v>5</v>
      </c>
      <c r="F5096" t="s">
        <v>5496</v>
      </c>
    </row>
    <row r="5097" spans="1:6" x14ac:dyDescent="0.25">
      <c r="A5097" t="s">
        <v>5510</v>
      </c>
      <c r="B5097" t="s">
        <v>508</v>
      </c>
      <c r="C5097" t="s">
        <v>509</v>
      </c>
      <c r="D5097" t="str">
        <f>HYPERLINK("http://service.sap.com/sap/support/notes/1615379","1615379")</f>
        <v>1615379</v>
      </c>
      <c r="E5097">
        <v>1</v>
      </c>
      <c r="F5097" t="s">
        <v>5497</v>
      </c>
    </row>
    <row r="5098" spans="1:6" x14ac:dyDescent="0.25">
      <c r="A5098" t="s">
        <v>5510</v>
      </c>
      <c r="B5098" t="s">
        <v>508</v>
      </c>
      <c r="C5098" t="s">
        <v>509</v>
      </c>
      <c r="D5098" t="str">
        <f>HYPERLINK("http://service.sap.com/sap/support/notes/1616786","1616786")</f>
        <v>1616786</v>
      </c>
      <c r="E5098">
        <v>4</v>
      </c>
      <c r="F5098" t="s">
        <v>5498</v>
      </c>
    </row>
    <row r="5099" spans="1:6" x14ac:dyDescent="0.25">
      <c r="A5099" t="s">
        <v>5510</v>
      </c>
      <c r="B5099" t="s">
        <v>508</v>
      </c>
      <c r="C5099" t="s">
        <v>509</v>
      </c>
      <c r="D5099" t="str">
        <f>HYPERLINK("http://service.sap.com/sap/support/notes/1617700","1617700")</f>
        <v>1617700</v>
      </c>
      <c r="E5099">
        <v>2</v>
      </c>
      <c r="F5099" t="s">
        <v>5499</v>
      </c>
    </row>
    <row r="5100" spans="1:6" x14ac:dyDescent="0.25">
      <c r="A5100" t="s">
        <v>5510</v>
      </c>
      <c r="B5100" t="s">
        <v>508</v>
      </c>
      <c r="C5100" t="s">
        <v>509</v>
      </c>
      <c r="D5100" t="str">
        <f>HYPERLINK("http://service.sap.com/sap/support/notes/1621097","1621097")</f>
        <v>1621097</v>
      </c>
      <c r="E5100">
        <v>1</v>
      </c>
      <c r="F5100" t="s">
        <v>5500</v>
      </c>
    </row>
    <row r="5101" spans="1:6" x14ac:dyDescent="0.25">
      <c r="A5101" t="s">
        <v>5510</v>
      </c>
      <c r="B5101" t="s">
        <v>525</v>
      </c>
      <c r="C5101" t="s">
        <v>526</v>
      </c>
      <c r="D5101" t="str">
        <f>HYPERLINK("http://service.sap.com/sap/support/notes/1604261","1604261")</f>
        <v>1604261</v>
      </c>
      <c r="E5101">
        <v>3</v>
      </c>
      <c r="F5101" t="s">
        <v>5501</v>
      </c>
    </row>
    <row r="5102" spans="1:6" x14ac:dyDescent="0.25">
      <c r="A5102" t="s">
        <v>5510</v>
      </c>
      <c r="B5102" t="s">
        <v>525</v>
      </c>
      <c r="C5102" t="s">
        <v>526</v>
      </c>
      <c r="D5102" t="str">
        <f>HYPERLINK("http://service.sap.com/sap/support/notes/1615823","1615823")</f>
        <v>1615823</v>
      </c>
      <c r="E5102">
        <v>3</v>
      </c>
      <c r="F5102" t="s">
        <v>5502</v>
      </c>
    </row>
    <row r="5103" spans="1:6" x14ac:dyDescent="0.25">
      <c r="A5103" t="s">
        <v>5510</v>
      </c>
      <c r="B5103" t="s">
        <v>528</v>
      </c>
      <c r="C5103" t="s">
        <v>529</v>
      </c>
      <c r="D5103" t="str">
        <f>HYPERLINK("http://service.sap.com/sap/support/notes/1538356","1538356")</f>
        <v>1538356</v>
      </c>
      <c r="E5103">
        <v>6</v>
      </c>
      <c r="F5103" t="s">
        <v>5503</v>
      </c>
    </row>
    <row r="5104" spans="1:6" x14ac:dyDescent="0.25">
      <c r="A5104" t="s">
        <v>5510</v>
      </c>
      <c r="B5104" t="s">
        <v>528</v>
      </c>
      <c r="C5104" t="s">
        <v>529</v>
      </c>
      <c r="D5104" t="str">
        <f>HYPERLINK("http://service.sap.com/sap/support/notes/1603126","1603126")</f>
        <v>1603126</v>
      </c>
      <c r="E5104">
        <v>3</v>
      </c>
      <c r="F5104" t="s">
        <v>5504</v>
      </c>
    </row>
    <row r="5105" spans="1:6" x14ac:dyDescent="0.25">
      <c r="A5105" t="s">
        <v>5510</v>
      </c>
      <c r="B5105" t="s">
        <v>528</v>
      </c>
      <c r="C5105" t="s">
        <v>529</v>
      </c>
      <c r="D5105" t="str">
        <f>HYPERLINK("http://service.sap.com/sap/support/notes/1603710","1603710")</f>
        <v>1603710</v>
      </c>
      <c r="E5105">
        <v>4</v>
      </c>
      <c r="F5105" t="s">
        <v>5505</v>
      </c>
    </row>
    <row r="5106" spans="1:6" x14ac:dyDescent="0.25">
      <c r="A5106" t="s">
        <v>5510</v>
      </c>
      <c r="B5106" t="s">
        <v>528</v>
      </c>
      <c r="C5106" t="s">
        <v>529</v>
      </c>
      <c r="D5106" t="str">
        <f>HYPERLINK("http://service.sap.com/sap/support/notes/1608019","1608019")</f>
        <v>1608019</v>
      </c>
      <c r="E5106">
        <v>3</v>
      </c>
      <c r="F5106" t="s">
        <v>5506</v>
      </c>
    </row>
    <row r="5107" spans="1:6" x14ac:dyDescent="0.25">
      <c r="A5107" t="s">
        <v>5510</v>
      </c>
      <c r="B5107" t="s">
        <v>531</v>
      </c>
      <c r="C5107" t="s">
        <v>532</v>
      </c>
    </row>
    <row r="5108" spans="1:6" x14ac:dyDescent="0.25">
      <c r="A5108" t="s">
        <v>5510</v>
      </c>
      <c r="B5108" t="s">
        <v>1352</v>
      </c>
      <c r="C5108" t="s">
        <v>1662</v>
      </c>
      <c r="D5108" t="str">
        <f>HYPERLINK("http://service.sap.com/sap/support/notes/1613544","1613544")</f>
        <v>1613544</v>
      </c>
      <c r="E5108">
        <v>1</v>
      </c>
      <c r="F5108" t="s">
        <v>5507</v>
      </c>
    </row>
    <row r="5109" spans="1:6" x14ac:dyDescent="0.25">
      <c r="A5109" t="s">
        <v>5510</v>
      </c>
      <c r="B5109" t="s">
        <v>1352</v>
      </c>
      <c r="C5109" t="s">
        <v>1662</v>
      </c>
      <c r="D5109" t="str">
        <f>HYPERLINK("http://service.sap.com/sap/support/notes/1613546","1613546")</f>
        <v>1613546</v>
      </c>
      <c r="E5109">
        <v>1</v>
      </c>
      <c r="F5109" t="s">
        <v>5508</v>
      </c>
    </row>
    <row r="5110" spans="1:6" x14ac:dyDescent="0.25">
      <c r="A5110" t="s">
        <v>5510</v>
      </c>
      <c r="B5110" t="s">
        <v>4771</v>
      </c>
      <c r="C5110" t="s">
        <v>4772</v>
      </c>
      <c r="D5110" t="str">
        <f>HYPERLINK("http://service.sap.com/sap/support/notes/1374311","1374311")</f>
        <v>1374311</v>
      </c>
      <c r="E5110">
        <v>1</v>
      </c>
      <c r="F5110" t="s">
        <v>4773</v>
      </c>
    </row>
    <row r="5111" spans="1:6" x14ac:dyDescent="0.25">
      <c r="A5111" t="s">
        <v>5510</v>
      </c>
      <c r="B5111" t="s">
        <v>1380</v>
      </c>
      <c r="C5111" t="s">
        <v>4465</v>
      </c>
      <c r="D5111" t="str">
        <f>HYPERLINK("http://service.sap.com/sap/support/notes/1590352","1590352")</f>
        <v>1590352</v>
      </c>
      <c r="E5111">
        <v>1</v>
      </c>
      <c r="F5111" t="s">
        <v>4466</v>
      </c>
    </row>
    <row r="5112" spans="1:6" x14ac:dyDescent="0.25">
      <c r="A5112" t="s">
        <v>5510</v>
      </c>
      <c r="B5112" t="s">
        <v>534</v>
      </c>
      <c r="C5112" t="s">
        <v>535</v>
      </c>
      <c r="D5112" t="str">
        <f>HYPERLINK("http://service.sap.com/sap/support/notes/1584169","1584169")</f>
        <v>1584169</v>
      </c>
      <c r="E5112">
        <v>4</v>
      </c>
      <c r="F5112" t="s">
        <v>5509</v>
      </c>
    </row>
    <row r="5113" spans="1:6" x14ac:dyDescent="0.25">
      <c r="A5113" t="s">
        <v>8158</v>
      </c>
      <c r="B5113" t="s">
        <v>20</v>
      </c>
      <c r="C5113" t="s">
        <v>21</v>
      </c>
    </row>
    <row r="5114" spans="1:6" x14ac:dyDescent="0.25">
      <c r="A5114" t="s">
        <v>8158</v>
      </c>
      <c r="B5114" t="s">
        <v>22</v>
      </c>
      <c r="C5114" t="s">
        <v>23</v>
      </c>
    </row>
    <row r="5115" spans="1:6" x14ac:dyDescent="0.25">
      <c r="A5115" t="s">
        <v>8158</v>
      </c>
      <c r="B5115" t="s">
        <v>24</v>
      </c>
      <c r="C5115" t="s">
        <v>25</v>
      </c>
      <c r="D5115" t="str">
        <f>HYPERLINK("http://service.sap.com/sap/support/notes/1630601","1630601")</f>
        <v>1630601</v>
      </c>
      <c r="E5115">
        <v>2</v>
      </c>
      <c r="F5115" t="s">
        <v>7792</v>
      </c>
    </row>
    <row r="5116" spans="1:6" x14ac:dyDescent="0.25">
      <c r="A5116" t="s">
        <v>8158</v>
      </c>
      <c r="B5116" t="s">
        <v>27</v>
      </c>
      <c r="C5116" t="s">
        <v>13</v>
      </c>
    </row>
    <row r="5117" spans="1:6" x14ac:dyDescent="0.25">
      <c r="A5117" t="s">
        <v>8158</v>
      </c>
      <c r="B5117" t="s">
        <v>633</v>
      </c>
      <c r="C5117" t="s">
        <v>2959</v>
      </c>
      <c r="D5117" t="str">
        <f>HYPERLINK("http://service.sap.com/sap/support/notes/1627478","1627478")</f>
        <v>1627478</v>
      </c>
      <c r="E5117">
        <v>1</v>
      </c>
      <c r="F5117" t="s">
        <v>7793</v>
      </c>
    </row>
    <row r="5118" spans="1:6" x14ac:dyDescent="0.25">
      <c r="A5118" t="s">
        <v>8158</v>
      </c>
      <c r="B5118" t="s">
        <v>38</v>
      </c>
      <c r="C5118" t="s">
        <v>39</v>
      </c>
    </row>
    <row r="5119" spans="1:6" x14ac:dyDescent="0.25">
      <c r="A5119" t="s">
        <v>8158</v>
      </c>
      <c r="B5119" t="s">
        <v>40</v>
      </c>
      <c r="C5119" t="s">
        <v>41</v>
      </c>
      <c r="D5119" t="str">
        <f>HYPERLINK("http://service.sap.com/sap/support/notes/1631871","1631871")</f>
        <v>1631871</v>
      </c>
      <c r="E5119">
        <v>2</v>
      </c>
      <c r="F5119" t="s">
        <v>7794</v>
      </c>
    </row>
    <row r="5120" spans="1:6" x14ac:dyDescent="0.25">
      <c r="A5120" t="s">
        <v>8158</v>
      </c>
      <c r="B5120" t="s">
        <v>44</v>
      </c>
      <c r="C5120" t="s">
        <v>45</v>
      </c>
      <c r="D5120" t="str">
        <f>HYPERLINK("http://service.sap.com/sap/support/notes/1621811","1621811")</f>
        <v>1621811</v>
      </c>
      <c r="E5120">
        <v>1</v>
      </c>
      <c r="F5120" t="s">
        <v>7795</v>
      </c>
    </row>
    <row r="5121" spans="1:6" x14ac:dyDescent="0.25">
      <c r="A5121" t="s">
        <v>8158</v>
      </c>
      <c r="B5121" t="s">
        <v>44</v>
      </c>
      <c r="C5121" t="s">
        <v>45</v>
      </c>
      <c r="D5121" t="str">
        <f>HYPERLINK("http://service.sap.com/sap/support/notes/1625246","1625246")</f>
        <v>1625246</v>
      </c>
      <c r="E5121">
        <v>1</v>
      </c>
      <c r="F5121" t="s">
        <v>7730</v>
      </c>
    </row>
    <row r="5122" spans="1:6" x14ac:dyDescent="0.25">
      <c r="A5122" t="s">
        <v>8158</v>
      </c>
      <c r="B5122" t="s">
        <v>44</v>
      </c>
      <c r="C5122" t="s">
        <v>45</v>
      </c>
      <c r="D5122" t="str">
        <f>HYPERLINK("http://service.sap.com/sap/support/notes/1625737","1625737")</f>
        <v>1625737</v>
      </c>
      <c r="E5122">
        <v>3</v>
      </c>
      <c r="F5122" t="s">
        <v>7796</v>
      </c>
    </row>
    <row r="5123" spans="1:6" x14ac:dyDescent="0.25">
      <c r="A5123" t="s">
        <v>8158</v>
      </c>
      <c r="B5123" t="s">
        <v>7152</v>
      </c>
      <c r="C5123" t="s">
        <v>192</v>
      </c>
      <c r="D5123" t="str">
        <f>HYPERLINK("http://service.sap.com/sap/support/notes/1628309","1628309")</f>
        <v>1628309</v>
      </c>
      <c r="E5123">
        <v>2</v>
      </c>
      <c r="F5123" t="s">
        <v>7797</v>
      </c>
    </row>
    <row r="5124" spans="1:6" x14ac:dyDescent="0.25">
      <c r="A5124" t="s">
        <v>8158</v>
      </c>
      <c r="B5124" t="s">
        <v>48</v>
      </c>
      <c r="C5124" t="s">
        <v>49</v>
      </c>
      <c r="D5124" t="str">
        <f>HYPERLINK("http://service.sap.com/sap/support/notes/1621197","1621197")</f>
        <v>1621197</v>
      </c>
      <c r="E5124">
        <v>1</v>
      </c>
      <c r="F5124" t="s">
        <v>5206</v>
      </c>
    </row>
    <row r="5125" spans="1:6" x14ac:dyDescent="0.25">
      <c r="A5125" t="s">
        <v>8158</v>
      </c>
      <c r="B5125" t="s">
        <v>48</v>
      </c>
      <c r="C5125" t="s">
        <v>49</v>
      </c>
      <c r="D5125" t="str">
        <f>HYPERLINK("http://service.sap.com/sap/support/notes/1621309","1621309")</f>
        <v>1621309</v>
      </c>
      <c r="E5125">
        <v>1</v>
      </c>
      <c r="F5125" t="s">
        <v>7798</v>
      </c>
    </row>
    <row r="5126" spans="1:6" x14ac:dyDescent="0.25">
      <c r="A5126" t="s">
        <v>8158</v>
      </c>
      <c r="B5126" t="s">
        <v>57</v>
      </c>
      <c r="C5126" t="s">
        <v>58</v>
      </c>
      <c r="D5126" t="str">
        <f>HYPERLINK("http://service.sap.com/sap/support/notes/1625761","1625761")</f>
        <v>1625761</v>
      </c>
      <c r="E5126">
        <v>2</v>
      </c>
      <c r="F5126" t="s">
        <v>7799</v>
      </c>
    </row>
    <row r="5127" spans="1:6" x14ac:dyDescent="0.25">
      <c r="A5127" t="s">
        <v>8158</v>
      </c>
      <c r="B5127" t="s">
        <v>57</v>
      </c>
      <c r="C5127" t="s">
        <v>58</v>
      </c>
      <c r="D5127" t="str">
        <f>HYPERLINK("http://service.sap.com/sap/support/notes/1629098","1629098")</f>
        <v>1629098</v>
      </c>
      <c r="E5127">
        <v>1</v>
      </c>
      <c r="F5127" t="s">
        <v>7800</v>
      </c>
    </row>
    <row r="5128" spans="1:6" x14ac:dyDescent="0.25">
      <c r="A5128" t="s">
        <v>8158</v>
      </c>
      <c r="B5128" t="s">
        <v>59</v>
      </c>
      <c r="C5128" t="s">
        <v>60</v>
      </c>
      <c r="D5128" t="str">
        <f>HYPERLINK("http://service.sap.com/sap/support/notes/1615715","1615715")</f>
        <v>1615715</v>
      </c>
      <c r="E5128">
        <v>3</v>
      </c>
      <c r="F5128" t="s">
        <v>7801</v>
      </c>
    </row>
    <row r="5129" spans="1:6" x14ac:dyDescent="0.25">
      <c r="A5129" t="s">
        <v>8158</v>
      </c>
      <c r="B5129" t="s">
        <v>59</v>
      </c>
      <c r="C5129" t="s">
        <v>60</v>
      </c>
      <c r="D5129" t="str">
        <f>HYPERLINK("http://service.sap.com/sap/support/notes/1623621","1623621")</f>
        <v>1623621</v>
      </c>
      <c r="E5129">
        <v>1</v>
      </c>
      <c r="F5129" t="s">
        <v>7802</v>
      </c>
    </row>
    <row r="5130" spans="1:6" x14ac:dyDescent="0.25">
      <c r="A5130" t="s">
        <v>8158</v>
      </c>
      <c r="B5130" t="s">
        <v>59</v>
      </c>
      <c r="C5130" t="s">
        <v>60</v>
      </c>
      <c r="D5130" t="str">
        <f>HYPERLINK("http://service.sap.com/sap/support/notes/1633744","1633744")</f>
        <v>1633744</v>
      </c>
      <c r="E5130">
        <v>2</v>
      </c>
      <c r="F5130" t="s">
        <v>7803</v>
      </c>
    </row>
    <row r="5131" spans="1:6" x14ac:dyDescent="0.25">
      <c r="A5131" t="s">
        <v>8158</v>
      </c>
      <c r="B5131" t="s">
        <v>694</v>
      </c>
      <c r="C5131" t="s">
        <v>695</v>
      </c>
      <c r="D5131" t="str">
        <f>HYPERLINK("http://service.sap.com/sap/support/notes/1625574","1625574")</f>
        <v>1625574</v>
      </c>
      <c r="E5131">
        <v>5</v>
      </c>
      <c r="F5131" t="s">
        <v>7804</v>
      </c>
    </row>
    <row r="5132" spans="1:6" x14ac:dyDescent="0.25">
      <c r="A5132" t="s">
        <v>8158</v>
      </c>
      <c r="B5132" t="s">
        <v>70</v>
      </c>
      <c r="C5132" t="s">
        <v>71</v>
      </c>
      <c r="D5132" t="str">
        <f>HYPERLINK("http://service.sap.com/sap/support/notes/1623627","1623627")</f>
        <v>1623627</v>
      </c>
      <c r="E5132">
        <v>1</v>
      </c>
      <c r="F5132" t="s">
        <v>7805</v>
      </c>
    </row>
    <row r="5133" spans="1:6" x14ac:dyDescent="0.25">
      <c r="A5133" t="s">
        <v>8158</v>
      </c>
      <c r="B5133" t="s">
        <v>76</v>
      </c>
      <c r="C5133" t="s">
        <v>77</v>
      </c>
      <c r="D5133" t="str">
        <f>HYPERLINK("http://service.sap.com/sap/support/notes/448307","448307")</f>
        <v>448307</v>
      </c>
      <c r="E5133">
        <v>1</v>
      </c>
      <c r="F5133" t="s">
        <v>78</v>
      </c>
    </row>
    <row r="5134" spans="1:6" x14ac:dyDescent="0.25">
      <c r="A5134" t="s">
        <v>8158</v>
      </c>
      <c r="B5134" t="s">
        <v>76</v>
      </c>
      <c r="C5134" t="s">
        <v>77</v>
      </c>
      <c r="D5134" t="str">
        <f>HYPERLINK("http://service.sap.com/sap/support/notes/1623473","1623473")</f>
        <v>1623473</v>
      </c>
      <c r="E5134">
        <v>2</v>
      </c>
      <c r="F5134" t="s">
        <v>7806</v>
      </c>
    </row>
    <row r="5135" spans="1:6" x14ac:dyDescent="0.25">
      <c r="A5135" t="s">
        <v>8158</v>
      </c>
      <c r="B5135" t="s">
        <v>79</v>
      </c>
      <c r="C5135" t="s">
        <v>80</v>
      </c>
      <c r="D5135" t="str">
        <f>HYPERLINK("http://service.sap.com/sap/support/notes/1621572","1621572")</f>
        <v>1621572</v>
      </c>
      <c r="E5135">
        <v>1</v>
      </c>
      <c r="F5135" t="s">
        <v>7807</v>
      </c>
    </row>
    <row r="5136" spans="1:6" x14ac:dyDescent="0.25">
      <c r="A5136" t="s">
        <v>8158</v>
      </c>
      <c r="B5136" t="s">
        <v>79</v>
      </c>
      <c r="C5136" t="s">
        <v>80</v>
      </c>
      <c r="D5136" t="str">
        <f>HYPERLINK("http://service.sap.com/sap/support/notes/1628336","1628336")</f>
        <v>1628336</v>
      </c>
      <c r="E5136">
        <v>1</v>
      </c>
      <c r="F5136" t="s">
        <v>7808</v>
      </c>
    </row>
    <row r="5137" spans="1:6" x14ac:dyDescent="0.25">
      <c r="A5137" t="s">
        <v>8158</v>
      </c>
      <c r="B5137" t="s">
        <v>79</v>
      </c>
      <c r="C5137" t="s">
        <v>80</v>
      </c>
      <c r="D5137" t="str">
        <f>HYPERLINK("http://service.sap.com/sap/support/notes/1631938","1631938")</f>
        <v>1631938</v>
      </c>
      <c r="E5137">
        <v>1</v>
      </c>
      <c r="F5137" t="s">
        <v>7734</v>
      </c>
    </row>
    <row r="5138" spans="1:6" x14ac:dyDescent="0.25">
      <c r="A5138" t="s">
        <v>8158</v>
      </c>
      <c r="B5138" t="s">
        <v>79</v>
      </c>
      <c r="C5138" t="s">
        <v>80</v>
      </c>
      <c r="D5138" t="str">
        <f>HYPERLINK("http://service.sap.com/sap/support/notes/1632406","1632406")</f>
        <v>1632406</v>
      </c>
      <c r="E5138">
        <v>1</v>
      </c>
      <c r="F5138" t="s">
        <v>7809</v>
      </c>
    </row>
    <row r="5139" spans="1:6" x14ac:dyDescent="0.25">
      <c r="A5139" t="s">
        <v>8158</v>
      </c>
      <c r="B5139" t="s">
        <v>86</v>
      </c>
      <c r="C5139" t="s">
        <v>87</v>
      </c>
      <c r="D5139" t="str">
        <f>HYPERLINK("http://service.sap.com/sap/support/notes/1607723","1607723")</f>
        <v>1607723</v>
      </c>
      <c r="E5139">
        <v>1</v>
      </c>
      <c r="F5139" t="s">
        <v>7810</v>
      </c>
    </row>
    <row r="5140" spans="1:6" x14ac:dyDescent="0.25">
      <c r="A5140" t="s">
        <v>8158</v>
      </c>
      <c r="B5140" t="s">
        <v>89</v>
      </c>
      <c r="C5140" t="s">
        <v>90</v>
      </c>
      <c r="D5140" t="str">
        <f>HYPERLINK("http://service.sap.com/sap/support/notes/1629154","1629154")</f>
        <v>1629154</v>
      </c>
      <c r="E5140">
        <v>1</v>
      </c>
      <c r="F5140" t="s">
        <v>7811</v>
      </c>
    </row>
    <row r="5141" spans="1:6" x14ac:dyDescent="0.25">
      <c r="A5141" t="s">
        <v>8158</v>
      </c>
      <c r="B5141" t="s">
        <v>704</v>
      </c>
      <c r="C5141" t="s">
        <v>412</v>
      </c>
      <c r="D5141" t="str">
        <f>HYPERLINK("http://service.sap.com/sap/support/notes/1625851","1625851")</f>
        <v>1625851</v>
      </c>
      <c r="E5141">
        <v>2</v>
      </c>
      <c r="F5141" t="s">
        <v>7812</v>
      </c>
    </row>
    <row r="5142" spans="1:6" x14ac:dyDescent="0.25">
      <c r="A5142" t="s">
        <v>8158</v>
      </c>
      <c r="B5142" t="s">
        <v>704</v>
      </c>
      <c r="C5142" t="s">
        <v>412</v>
      </c>
      <c r="D5142" t="str">
        <f>HYPERLINK("http://service.sap.com/sap/support/notes/1627277","1627277")</f>
        <v>1627277</v>
      </c>
      <c r="E5142">
        <v>1</v>
      </c>
      <c r="F5142" t="s">
        <v>7813</v>
      </c>
    </row>
    <row r="5143" spans="1:6" x14ac:dyDescent="0.25">
      <c r="A5143" t="s">
        <v>8158</v>
      </c>
      <c r="B5143" t="s">
        <v>1461</v>
      </c>
      <c r="C5143" t="s">
        <v>441</v>
      </c>
      <c r="D5143" t="str">
        <f>HYPERLINK("http://service.sap.com/sap/support/notes/1626478","1626478")</f>
        <v>1626478</v>
      </c>
      <c r="E5143">
        <v>2</v>
      </c>
      <c r="F5143" t="s">
        <v>7814</v>
      </c>
    </row>
    <row r="5144" spans="1:6" x14ac:dyDescent="0.25">
      <c r="A5144" t="s">
        <v>8158</v>
      </c>
      <c r="B5144" t="s">
        <v>92</v>
      </c>
      <c r="C5144" t="s">
        <v>93</v>
      </c>
      <c r="D5144" t="str">
        <f>HYPERLINK("http://service.sap.com/sap/support/notes/1606787","1606787")</f>
        <v>1606787</v>
      </c>
      <c r="E5144">
        <v>2</v>
      </c>
      <c r="F5144" t="s">
        <v>4385</v>
      </c>
    </row>
    <row r="5145" spans="1:6" x14ac:dyDescent="0.25">
      <c r="A5145" t="s">
        <v>8158</v>
      </c>
      <c r="B5145" t="s">
        <v>92</v>
      </c>
      <c r="C5145" t="s">
        <v>93</v>
      </c>
      <c r="D5145" t="str">
        <f>HYPERLINK("http://service.sap.com/sap/support/notes/1616040","1616040")</f>
        <v>1616040</v>
      </c>
      <c r="E5145">
        <v>2</v>
      </c>
      <c r="F5145" t="s">
        <v>7815</v>
      </c>
    </row>
    <row r="5146" spans="1:6" x14ac:dyDescent="0.25">
      <c r="A5146" t="s">
        <v>8158</v>
      </c>
      <c r="B5146" t="s">
        <v>92</v>
      </c>
      <c r="C5146" t="s">
        <v>93</v>
      </c>
      <c r="D5146" t="str">
        <f>HYPERLINK("http://service.sap.com/sap/support/notes/1620111","1620111")</f>
        <v>1620111</v>
      </c>
      <c r="E5146">
        <v>1</v>
      </c>
      <c r="F5146" t="s">
        <v>7816</v>
      </c>
    </row>
    <row r="5147" spans="1:6" x14ac:dyDescent="0.25">
      <c r="A5147" t="s">
        <v>8158</v>
      </c>
      <c r="B5147" t="s">
        <v>92</v>
      </c>
      <c r="C5147" t="s">
        <v>93</v>
      </c>
      <c r="D5147" t="str">
        <f>HYPERLINK("http://service.sap.com/sap/support/notes/1621073","1621073")</f>
        <v>1621073</v>
      </c>
      <c r="E5147">
        <v>2</v>
      </c>
      <c r="F5147" t="s">
        <v>7817</v>
      </c>
    </row>
    <row r="5148" spans="1:6" x14ac:dyDescent="0.25">
      <c r="A5148" t="s">
        <v>8158</v>
      </c>
      <c r="B5148" t="s">
        <v>92</v>
      </c>
      <c r="C5148" t="s">
        <v>93</v>
      </c>
      <c r="D5148" t="str">
        <f>HYPERLINK("http://service.sap.com/sap/support/notes/1623821","1623821")</f>
        <v>1623821</v>
      </c>
      <c r="E5148">
        <v>1</v>
      </c>
      <c r="F5148" t="s">
        <v>7818</v>
      </c>
    </row>
    <row r="5149" spans="1:6" x14ac:dyDescent="0.25">
      <c r="A5149" t="s">
        <v>8158</v>
      </c>
      <c r="B5149" t="s">
        <v>92</v>
      </c>
      <c r="C5149" t="s">
        <v>93</v>
      </c>
      <c r="D5149" t="str">
        <f>HYPERLINK("http://service.sap.com/sap/support/notes/1624755","1624755")</f>
        <v>1624755</v>
      </c>
      <c r="E5149">
        <v>1</v>
      </c>
      <c r="F5149" t="s">
        <v>7819</v>
      </c>
    </row>
    <row r="5150" spans="1:6" x14ac:dyDescent="0.25">
      <c r="A5150" t="s">
        <v>8158</v>
      </c>
      <c r="B5150" t="s">
        <v>92</v>
      </c>
      <c r="C5150" t="s">
        <v>93</v>
      </c>
      <c r="D5150" t="str">
        <f>HYPERLINK("http://service.sap.com/sap/support/notes/1627503","1627503")</f>
        <v>1627503</v>
      </c>
      <c r="E5150">
        <v>1</v>
      </c>
      <c r="F5150" t="s">
        <v>7820</v>
      </c>
    </row>
    <row r="5151" spans="1:6" x14ac:dyDescent="0.25">
      <c r="A5151" t="s">
        <v>8158</v>
      </c>
      <c r="B5151" t="s">
        <v>92</v>
      </c>
      <c r="C5151" t="s">
        <v>93</v>
      </c>
      <c r="D5151" t="str">
        <f>HYPERLINK("http://service.sap.com/sap/support/notes/1634199","1634199")</f>
        <v>1634199</v>
      </c>
      <c r="E5151">
        <v>1</v>
      </c>
      <c r="F5151" t="s">
        <v>7821</v>
      </c>
    </row>
    <row r="5152" spans="1:6" x14ac:dyDescent="0.25">
      <c r="A5152" t="s">
        <v>8158</v>
      </c>
      <c r="B5152" t="s">
        <v>92</v>
      </c>
      <c r="C5152" t="s">
        <v>93</v>
      </c>
      <c r="D5152" t="str">
        <f>HYPERLINK("http://service.sap.com/sap/support/notes/1634683","1634683")</f>
        <v>1634683</v>
      </c>
      <c r="E5152">
        <v>2</v>
      </c>
      <c r="F5152" t="s">
        <v>7822</v>
      </c>
    </row>
    <row r="5153" spans="1:6" x14ac:dyDescent="0.25">
      <c r="A5153" t="s">
        <v>8158</v>
      </c>
      <c r="B5153" t="s">
        <v>103</v>
      </c>
      <c r="C5153" t="s">
        <v>104</v>
      </c>
      <c r="D5153" t="str">
        <f>HYPERLINK("http://service.sap.com/sap/support/notes/1628971","1628971")</f>
        <v>1628971</v>
      </c>
      <c r="E5153">
        <v>1</v>
      </c>
      <c r="F5153" t="s">
        <v>7823</v>
      </c>
    </row>
    <row r="5154" spans="1:6" x14ac:dyDescent="0.25">
      <c r="A5154" t="s">
        <v>8158</v>
      </c>
      <c r="B5154" t="s">
        <v>717</v>
      </c>
      <c r="C5154" t="s">
        <v>496</v>
      </c>
      <c r="D5154" t="str">
        <f>HYPERLINK("http://service.sap.com/sap/support/notes/1635023","1635023")</f>
        <v>1635023</v>
      </c>
      <c r="E5154">
        <v>1</v>
      </c>
      <c r="F5154" t="s">
        <v>7824</v>
      </c>
    </row>
    <row r="5155" spans="1:6" x14ac:dyDescent="0.25">
      <c r="A5155" t="s">
        <v>8158</v>
      </c>
      <c r="B5155" t="s">
        <v>107</v>
      </c>
      <c r="C5155" t="s">
        <v>108</v>
      </c>
      <c r="D5155" t="str">
        <f>HYPERLINK("http://service.sap.com/sap/support/notes/1484326","1484326")</f>
        <v>1484326</v>
      </c>
      <c r="E5155">
        <v>11</v>
      </c>
      <c r="F5155" t="s">
        <v>7825</v>
      </c>
    </row>
    <row r="5156" spans="1:6" x14ac:dyDescent="0.25">
      <c r="A5156" t="s">
        <v>8158</v>
      </c>
      <c r="B5156" t="s">
        <v>107</v>
      </c>
      <c r="C5156" t="s">
        <v>108</v>
      </c>
      <c r="D5156" t="str">
        <f>HYPERLINK("http://service.sap.com/sap/support/notes/1623380","1623380")</f>
        <v>1623380</v>
      </c>
      <c r="E5156">
        <v>1</v>
      </c>
      <c r="F5156" t="s">
        <v>7826</v>
      </c>
    </row>
    <row r="5157" spans="1:6" x14ac:dyDescent="0.25">
      <c r="A5157" t="s">
        <v>8158</v>
      </c>
      <c r="B5157" t="s">
        <v>111</v>
      </c>
      <c r="C5157" t="s">
        <v>112</v>
      </c>
      <c r="D5157" t="str">
        <f>HYPERLINK("http://service.sap.com/sap/support/notes/1594650","1594650")</f>
        <v>1594650</v>
      </c>
      <c r="E5157">
        <v>3</v>
      </c>
      <c r="F5157" t="s">
        <v>7827</v>
      </c>
    </row>
    <row r="5158" spans="1:6" x14ac:dyDescent="0.25">
      <c r="A5158" t="s">
        <v>8158</v>
      </c>
      <c r="B5158" t="s">
        <v>1469</v>
      </c>
      <c r="C5158" t="s">
        <v>535</v>
      </c>
      <c r="D5158" t="str">
        <f>HYPERLINK("http://service.sap.com/sap/support/notes/1596793","1596793")</f>
        <v>1596793</v>
      </c>
      <c r="E5158">
        <v>1</v>
      </c>
      <c r="F5158" t="s">
        <v>7828</v>
      </c>
    </row>
    <row r="5159" spans="1:6" x14ac:dyDescent="0.25">
      <c r="A5159" t="s">
        <v>8158</v>
      </c>
      <c r="B5159" t="s">
        <v>118</v>
      </c>
      <c r="C5159" t="s">
        <v>119</v>
      </c>
    </row>
    <row r="5160" spans="1:6" x14ac:dyDescent="0.25">
      <c r="A5160" t="s">
        <v>8158</v>
      </c>
      <c r="B5160" t="s">
        <v>120</v>
      </c>
      <c r="C5160" t="s">
        <v>121</v>
      </c>
      <c r="D5160" t="str">
        <f>HYPERLINK("http://service.sap.com/sap/support/notes/1621639","1621639")</f>
        <v>1621639</v>
      </c>
      <c r="E5160">
        <v>1</v>
      </c>
      <c r="F5160" t="s">
        <v>7829</v>
      </c>
    </row>
    <row r="5161" spans="1:6" x14ac:dyDescent="0.25">
      <c r="A5161" t="s">
        <v>8158</v>
      </c>
      <c r="B5161" t="s">
        <v>123</v>
      </c>
      <c r="C5161" t="s">
        <v>124</v>
      </c>
      <c r="D5161" t="str">
        <f>HYPERLINK("http://service.sap.com/sap/support/notes/1610213","1610213")</f>
        <v>1610213</v>
      </c>
      <c r="E5161">
        <v>4</v>
      </c>
      <c r="F5161" t="s">
        <v>7830</v>
      </c>
    </row>
    <row r="5162" spans="1:6" x14ac:dyDescent="0.25">
      <c r="A5162" t="s">
        <v>8158</v>
      </c>
      <c r="B5162" t="s">
        <v>123</v>
      </c>
      <c r="C5162" t="s">
        <v>124</v>
      </c>
      <c r="D5162" t="str">
        <f>HYPERLINK("http://service.sap.com/sap/support/notes/1619306","1619306")</f>
        <v>1619306</v>
      </c>
      <c r="E5162">
        <v>4</v>
      </c>
      <c r="F5162" t="s">
        <v>7831</v>
      </c>
    </row>
    <row r="5163" spans="1:6" x14ac:dyDescent="0.25">
      <c r="A5163" t="s">
        <v>8158</v>
      </c>
      <c r="B5163" t="s">
        <v>123</v>
      </c>
      <c r="C5163" t="s">
        <v>124</v>
      </c>
      <c r="D5163" t="str">
        <f>HYPERLINK("http://service.sap.com/sap/support/notes/1625504","1625504")</f>
        <v>1625504</v>
      </c>
      <c r="E5163">
        <v>1</v>
      </c>
      <c r="F5163" t="s">
        <v>7832</v>
      </c>
    </row>
    <row r="5164" spans="1:6" x14ac:dyDescent="0.25">
      <c r="A5164" t="s">
        <v>8158</v>
      </c>
      <c r="B5164" t="s">
        <v>123</v>
      </c>
      <c r="C5164" t="s">
        <v>124</v>
      </c>
      <c r="D5164" t="str">
        <f>HYPERLINK("http://service.sap.com/sap/support/notes/1626699","1626699")</f>
        <v>1626699</v>
      </c>
      <c r="E5164">
        <v>1</v>
      </c>
      <c r="F5164" t="s">
        <v>7833</v>
      </c>
    </row>
    <row r="5165" spans="1:6" x14ac:dyDescent="0.25">
      <c r="A5165" t="s">
        <v>8158</v>
      </c>
      <c r="B5165" t="s">
        <v>123</v>
      </c>
      <c r="C5165" t="s">
        <v>124</v>
      </c>
      <c r="D5165" t="str">
        <f>HYPERLINK("http://service.sap.com/sap/support/notes/1631074","1631074")</f>
        <v>1631074</v>
      </c>
      <c r="E5165">
        <v>1</v>
      </c>
      <c r="F5165" t="s">
        <v>7834</v>
      </c>
    </row>
    <row r="5166" spans="1:6" x14ac:dyDescent="0.25">
      <c r="A5166" t="s">
        <v>8158</v>
      </c>
      <c r="B5166" t="s">
        <v>126</v>
      </c>
      <c r="C5166" t="s">
        <v>127</v>
      </c>
    </row>
    <row r="5167" spans="1:6" x14ac:dyDescent="0.25">
      <c r="A5167" t="s">
        <v>8158</v>
      </c>
      <c r="B5167" t="s">
        <v>824</v>
      </c>
      <c r="C5167" t="s">
        <v>1777</v>
      </c>
    </row>
    <row r="5168" spans="1:6" x14ac:dyDescent="0.25">
      <c r="A5168" t="s">
        <v>8158</v>
      </c>
      <c r="B5168" t="s">
        <v>825</v>
      </c>
      <c r="C5168" t="s">
        <v>1778</v>
      </c>
      <c r="D5168" t="str">
        <f>HYPERLINK("http://service.sap.com/sap/support/notes/1483162","1483162")</f>
        <v>1483162</v>
      </c>
      <c r="E5168">
        <v>11</v>
      </c>
      <c r="F5168" t="s">
        <v>7835</v>
      </c>
    </row>
    <row r="5169" spans="1:6" x14ac:dyDescent="0.25">
      <c r="A5169" t="s">
        <v>8158</v>
      </c>
      <c r="B5169" t="s">
        <v>825</v>
      </c>
      <c r="C5169" t="s">
        <v>1778</v>
      </c>
      <c r="D5169" t="str">
        <f>HYPERLINK("http://service.sap.com/sap/support/notes/1579968","1579968")</f>
        <v>1579968</v>
      </c>
      <c r="E5169">
        <v>9</v>
      </c>
      <c r="F5169" t="s">
        <v>4428</v>
      </c>
    </row>
    <row r="5170" spans="1:6" x14ac:dyDescent="0.25">
      <c r="A5170" t="s">
        <v>8158</v>
      </c>
      <c r="B5170" t="s">
        <v>825</v>
      </c>
      <c r="C5170" t="s">
        <v>1778</v>
      </c>
      <c r="D5170" t="str">
        <f>HYPERLINK("http://service.sap.com/sap/support/notes/1604967","1604967")</f>
        <v>1604967</v>
      </c>
      <c r="E5170">
        <v>1</v>
      </c>
      <c r="F5170" t="s">
        <v>7836</v>
      </c>
    </row>
    <row r="5171" spans="1:6" x14ac:dyDescent="0.25">
      <c r="A5171" t="s">
        <v>8158</v>
      </c>
      <c r="B5171" t="s">
        <v>128</v>
      </c>
      <c r="C5171" t="s">
        <v>129</v>
      </c>
      <c r="D5171" t="str">
        <f>HYPERLINK("http://service.sap.com/sap/support/notes/1522090","1522090")</f>
        <v>1522090</v>
      </c>
      <c r="E5171">
        <v>1</v>
      </c>
      <c r="F5171" t="s">
        <v>7837</v>
      </c>
    </row>
    <row r="5172" spans="1:6" x14ac:dyDescent="0.25">
      <c r="A5172" t="s">
        <v>8158</v>
      </c>
      <c r="B5172" t="s">
        <v>4444</v>
      </c>
      <c r="C5172" t="s">
        <v>4445</v>
      </c>
    </row>
    <row r="5173" spans="1:6" x14ac:dyDescent="0.25">
      <c r="A5173" t="s">
        <v>8158</v>
      </c>
      <c r="B5173" t="s">
        <v>4446</v>
      </c>
      <c r="C5173" t="s">
        <v>4447</v>
      </c>
      <c r="D5173" t="str">
        <f>HYPERLINK("http://service.sap.com/sap/support/notes/1626020","1626020")</f>
        <v>1626020</v>
      </c>
      <c r="E5173">
        <v>1</v>
      </c>
      <c r="F5173" t="s">
        <v>7838</v>
      </c>
    </row>
    <row r="5174" spans="1:6" x14ac:dyDescent="0.25">
      <c r="A5174" t="s">
        <v>8158</v>
      </c>
      <c r="B5174" t="s">
        <v>831</v>
      </c>
      <c r="C5174" t="s">
        <v>2598</v>
      </c>
    </row>
    <row r="5175" spans="1:6" x14ac:dyDescent="0.25">
      <c r="A5175" t="s">
        <v>8158</v>
      </c>
      <c r="B5175" t="s">
        <v>849</v>
      </c>
      <c r="C5175" t="s">
        <v>4450</v>
      </c>
    </row>
    <row r="5176" spans="1:6" x14ac:dyDescent="0.25">
      <c r="A5176" t="s">
        <v>8158</v>
      </c>
      <c r="B5176" t="s">
        <v>7839</v>
      </c>
      <c r="C5176" t="s">
        <v>7840</v>
      </c>
      <c r="D5176" t="str">
        <f>HYPERLINK("http://service.sap.com/sap/support/notes/1617937","1617937")</f>
        <v>1617937</v>
      </c>
      <c r="E5176">
        <v>1</v>
      </c>
      <c r="F5176" t="s">
        <v>7841</v>
      </c>
    </row>
    <row r="5177" spans="1:6" x14ac:dyDescent="0.25">
      <c r="A5177" t="s">
        <v>8158</v>
      </c>
      <c r="B5177" t="s">
        <v>871</v>
      </c>
      <c r="C5177" t="s">
        <v>872</v>
      </c>
      <c r="D5177" t="str">
        <f>HYPERLINK("http://service.sap.com/sap/support/notes/1616883","1616883")</f>
        <v>1616883</v>
      </c>
      <c r="E5177">
        <v>1</v>
      </c>
      <c r="F5177" t="s">
        <v>7842</v>
      </c>
    </row>
    <row r="5178" spans="1:6" x14ac:dyDescent="0.25">
      <c r="A5178" t="s">
        <v>8158</v>
      </c>
      <c r="B5178" t="s">
        <v>871</v>
      </c>
      <c r="C5178" t="s">
        <v>872</v>
      </c>
      <c r="D5178" t="str">
        <f>HYPERLINK("http://service.sap.com/sap/support/notes/1621040","1621040")</f>
        <v>1621040</v>
      </c>
      <c r="E5178">
        <v>3</v>
      </c>
      <c r="F5178" t="s">
        <v>7843</v>
      </c>
    </row>
    <row r="5179" spans="1:6" x14ac:dyDescent="0.25">
      <c r="A5179" t="s">
        <v>8158</v>
      </c>
      <c r="B5179" t="s">
        <v>871</v>
      </c>
      <c r="C5179" t="s">
        <v>872</v>
      </c>
      <c r="D5179" t="str">
        <f>HYPERLINK("http://service.sap.com/sap/support/notes/1622404","1622404")</f>
        <v>1622404</v>
      </c>
      <c r="E5179">
        <v>1</v>
      </c>
      <c r="F5179" t="s">
        <v>7844</v>
      </c>
    </row>
    <row r="5180" spans="1:6" x14ac:dyDescent="0.25">
      <c r="A5180" t="s">
        <v>8158</v>
      </c>
      <c r="B5180" t="s">
        <v>871</v>
      </c>
      <c r="C5180" t="s">
        <v>872</v>
      </c>
      <c r="D5180" t="str">
        <f>HYPERLINK("http://service.sap.com/sap/support/notes/1623367","1623367")</f>
        <v>1623367</v>
      </c>
      <c r="E5180">
        <v>2</v>
      </c>
      <c r="F5180" t="s">
        <v>7845</v>
      </c>
    </row>
    <row r="5181" spans="1:6" x14ac:dyDescent="0.25">
      <c r="A5181" t="s">
        <v>8158</v>
      </c>
      <c r="B5181" t="s">
        <v>871</v>
      </c>
      <c r="C5181" t="s">
        <v>872</v>
      </c>
      <c r="D5181" t="str">
        <f>HYPERLINK("http://service.sap.com/sap/support/notes/1625271","1625271")</f>
        <v>1625271</v>
      </c>
      <c r="E5181">
        <v>1</v>
      </c>
      <c r="F5181" t="s">
        <v>7846</v>
      </c>
    </row>
    <row r="5182" spans="1:6" x14ac:dyDescent="0.25">
      <c r="A5182" t="s">
        <v>8158</v>
      </c>
      <c r="B5182" t="s">
        <v>871</v>
      </c>
      <c r="C5182" t="s">
        <v>872</v>
      </c>
      <c r="D5182" t="str">
        <f>HYPERLINK("http://service.sap.com/sap/support/notes/1634314","1634314")</f>
        <v>1634314</v>
      </c>
      <c r="E5182">
        <v>1</v>
      </c>
      <c r="F5182" t="s">
        <v>7847</v>
      </c>
    </row>
    <row r="5183" spans="1:6" x14ac:dyDescent="0.25">
      <c r="A5183" t="s">
        <v>8158</v>
      </c>
      <c r="B5183" t="s">
        <v>131</v>
      </c>
      <c r="C5183" t="s">
        <v>132</v>
      </c>
    </row>
    <row r="5184" spans="1:6" x14ac:dyDescent="0.25">
      <c r="A5184" t="s">
        <v>8158</v>
      </c>
      <c r="B5184" t="s">
        <v>133</v>
      </c>
      <c r="C5184" t="s">
        <v>134</v>
      </c>
      <c r="D5184" t="str">
        <f>HYPERLINK("http://service.sap.com/sap/support/notes/1576318","1576318")</f>
        <v>1576318</v>
      </c>
      <c r="E5184">
        <v>2</v>
      </c>
      <c r="F5184" t="s">
        <v>7848</v>
      </c>
    </row>
    <row r="5185" spans="1:6" x14ac:dyDescent="0.25">
      <c r="A5185" t="s">
        <v>8158</v>
      </c>
      <c r="B5185" t="s">
        <v>133</v>
      </c>
      <c r="C5185" t="s">
        <v>134</v>
      </c>
      <c r="D5185" t="str">
        <f>HYPERLINK("http://service.sap.com/sap/support/notes/1607852","1607852")</f>
        <v>1607852</v>
      </c>
      <c r="E5185">
        <v>5</v>
      </c>
      <c r="F5185" t="s">
        <v>7849</v>
      </c>
    </row>
    <row r="5186" spans="1:6" x14ac:dyDescent="0.25">
      <c r="A5186" t="s">
        <v>8158</v>
      </c>
      <c r="B5186" t="s">
        <v>141</v>
      </c>
      <c r="C5186" t="s">
        <v>41</v>
      </c>
      <c r="D5186" t="str">
        <f>HYPERLINK("http://service.sap.com/sap/support/notes/1552009","1552009")</f>
        <v>1552009</v>
      </c>
      <c r="E5186">
        <v>1</v>
      </c>
      <c r="F5186" t="s">
        <v>7850</v>
      </c>
    </row>
    <row r="5187" spans="1:6" x14ac:dyDescent="0.25">
      <c r="A5187" t="s">
        <v>8158</v>
      </c>
      <c r="B5187" t="s">
        <v>141</v>
      </c>
      <c r="C5187" t="s">
        <v>41</v>
      </c>
      <c r="D5187" t="str">
        <f>HYPERLINK("http://service.sap.com/sap/support/notes/1613492","1613492")</f>
        <v>1613492</v>
      </c>
      <c r="E5187">
        <v>1</v>
      </c>
      <c r="F5187" t="s">
        <v>7851</v>
      </c>
    </row>
    <row r="5188" spans="1:6" x14ac:dyDescent="0.25">
      <c r="A5188" t="s">
        <v>8158</v>
      </c>
      <c r="B5188" t="s">
        <v>141</v>
      </c>
      <c r="C5188" t="s">
        <v>41</v>
      </c>
      <c r="D5188" t="str">
        <f>HYPERLINK("http://service.sap.com/sap/support/notes/1619675","1619675")</f>
        <v>1619675</v>
      </c>
      <c r="E5188">
        <v>3</v>
      </c>
      <c r="F5188" t="s">
        <v>7852</v>
      </c>
    </row>
    <row r="5189" spans="1:6" x14ac:dyDescent="0.25">
      <c r="A5189" t="s">
        <v>8158</v>
      </c>
      <c r="B5189" t="s">
        <v>141</v>
      </c>
      <c r="C5189" t="s">
        <v>41</v>
      </c>
      <c r="D5189" t="str">
        <f>HYPERLINK("http://service.sap.com/sap/support/notes/1621155","1621155")</f>
        <v>1621155</v>
      </c>
      <c r="E5189">
        <v>2</v>
      </c>
      <c r="F5189" t="s">
        <v>7853</v>
      </c>
    </row>
    <row r="5190" spans="1:6" x14ac:dyDescent="0.25">
      <c r="A5190" t="s">
        <v>8158</v>
      </c>
      <c r="B5190" t="s">
        <v>141</v>
      </c>
      <c r="C5190" t="s">
        <v>41</v>
      </c>
      <c r="D5190" t="str">
        <f>HYPERLINK("http://service.sap.com/sap/support/notes/1623581","1623581")</f>
        <v>1623581</v>
      </c>
      <c r="E5190">
        <v>3</v>
      </c>
      <c r="F5190" t="s">
        <v>7854</v>
      </c>
    </row>
    <row r="5191" spans="1:6" x14ac:dyDescent="0.25">
      <c r="A5191" t="s">
        <v>8158</v>
      </c>
      <c r="B5191" t="s">
        <v>141</v>
      </c>
      <c r="C5191" t="s">
        <v>41</v>
      </c>
      <c r="D5191" t="str">
        <f>HYPERLINK("http://service.sap.com/sap/support/notes/1624970","1624970")</f>
        <v>1624970</v>
      </c>
      <c r="E5191">
        <v>1</v>
      </c>
      <c r="F5191" t="s">
        <v>7855</v>
      </c>
    </row>
    <row r="5192" spans="1:6" x14ac:dyDescent="0.25">
      <c r="A5192" t="s">
        <v>8158</v>
      </c>
      <c r="B5192" t="s">
        <v>141</v>
      </c>
      <c r="C5192" t="s">
        <v>41</v>
      </c>
      <c r="D5192" t="str">
        <f>HYPERLINK("http://service.sap.com/sap/support/notes/1627244","1627244")</f>
        <v>1627244</v>
      </c>
      <c r="E5192">
        <v>1</v>
      </c>
      <c r="F5192" t="s">
        <v>7856</v>
      </c>
    </row>
    <row r="5193" spans="1:6" x14ac:dyDescent="0.25">
      <c r="A5193" t="s">
        <v>8158</v>
      </c>
      <c r="B5193" t="s">
        <v>141</v>
      </c>
      <c r="C5193" t="s">
        <v>41</v>
      </c>
      <c r="D5193" t="str">
        <f>HYPERLINK("http://service.sap.com/sap/support/notes/1628196","1628196")</f>
        <v>1628196</v>
      </c>
      <c r="E5193">
        <v>1</v>
      </c>
      <c r="F5193" t="s">
        <v>7857</v>
      </c>
    </row>
    <row r="5194" spans="1:6" x14ac:dyDescent="0.25">
      <c r="A5194" t="s">
        <v>8158</v>
      </c>
      <c r="B5194" t="s">
        <v>152</v>
      </c>
      <c r="C5194" t="s">
        <v>153</v>
      </c>
      <c r="D5194" t="str">
        <f>HYPERLINK("http://service.sap.com/sap/support/notes/1634581","1634581")</f>
        <v>1634581</v>
      </c>
      <c r="E5194">
        <v>1</v>
      </c>
      <c r="F5194" t="s">
        <v>7858</v>
      </c>
    </row>
    <row r="5195" spans="1:6" x14ac:dyDescent="0.25">
      <c r="A5195" t="s">
        <v>8158</v>
      </c>
      <c r="B5195" t="s">
        <v>155</v>
      </c>
      <c r="C5195" t="s">
        <v>156</v>
      </c>
      <c r="D5195" t="str">
        <f>HYPERLINK("http://service.sap.com/sap/support/notes/815445","815445")</f>
        <v>815445</v>
      </c>
      <c r="E5195">
        <v>1</v>
      </c>
      <c r="F5195" t="s">
        <v>157</v>
      </c>
    </row>
    <row r="5196" spans="1:6" x14ac:dyDescent="0.25">
      <c r="A5196" t="s">
        <v>8158</v>
      </c>
      <c r="B5196" t="s">
        <v>155</v>
      </c>
      <c r="C5196" t="s">
        <v>156</v>
      </c>
      <c r="D5196" t="str">
        <f>HYPERLINK("http://service.sap.com/sap/support/notes/1621122","1621122")</f>
        <v>1621122</v>
      </c>
      <c r="E5196">
        <v>1</v>
      </c>
      <c r="F5196" t="s">
        <v>7859</v>
      </c>
    </row>
    <row r="5197" spans="1:6" x14ac:dyDescent="0.25">
      <c r="A5197" t="s">
        <v>8158</v>
      </c>
      <c r="B5197" t="s">
        <v>155</v>
      </c>
      <c r="C5197" t="s">
        <v>156</v>
      </c>
      <c r="D5197" t="str">
        <f>HYPERLINK("http://service.sap.com/sap/support/notes/1622274","1622274")</f>
        <v>1622274</v>
      </c>
      <c r="E5197">
        <v>1</v>
      </c>
      <c r="F5197" t="s">
        <v>7860</v>
      </c>
    </row>
    <row r="5198" spans="1:6" x14ac:dyDescent="0.25">
      <c r="A5198" t="s">
        <v>8158</v>
      </c>
      <c r="B5198" t="s">
        <v>155</v>
      </c>
      <c r="C5198" t="s">
        <v>156</v>
      </c>
      <c r="D5198" t="str">
        <f>HYPERLINK("http://service.sap.com/sap/support/notes/1622648","1622648")</f>
        <v>1622648</v>
      </c>
      <c r="E5198">
        <v>1</v>
      </c>
      <c r="F5198" t="s">
        <v>7861</v>
      </c>
    </row>
    <row r="5199" spans="1:6" x14ac:dyDescent="0.25">
      <c r="A5199" t="s">
        <v>8158</v>
      </c>
      <c r="B5199" t="s">
        <v>155</v>
      </c>
      <c r="C5199" t="s">
        <v>156</v>
      </c>
      <c r="D5199" t="str">
        <f>HYPERLINK("http://service.sap.com/sap/support/notes/1627559","1627559")</f>
        <v>1627559</v>
      </c>
      <c r="E5199">
        <v>1</v>
      </c>
      <c r="F5199" t="s">
        <v>7862</v>
      </c>
    </row>
    <row r="5200" spans="1:6" x14ac:dyDescent="0.25">
      <c r="A5200" t="s">
        <v>8158</v>
      </c>
      <c r="B5200" t="s">
        <v>155</v>
      </c>
      <c r="C5200" t="s">
        <v>156</v>
      </c>
      <c r="D5200" t="str">
        <f>HYPERLINK("http://service.sap.com/sap/support/notes/1627954","1627954")</f>
        <v>1627954</v>
      </c>
      <c r="E5200">
        <v>1</v>
      </c>
      <c r="F5200" t="s">
        <v>7863</v>
      </c>
    </row>
    <row r="5201" spans="1:6" x14ac:dyDescent="0.25">
      <c r="A5201" t="s">
        <v>8158</v>
      </c>
      <c r="B5201" t="s">
        <v>155</v>
      </c>
      <c r="C5201" t="s">
        <v>156</v>
      </c>
      <c r="D5201" t="str">
        <f>HYPERLINK("http://service.sap.com/sap/support/notes/1633287","1633287")</f>
        <v>1633287</v>
      </c>
      <c r="E5201">
        <v>1</v>
      </c>
      <c r="F5201" t="s">
        <v>7864</v>
      </c>
    </row>
    <row r="5202" spans="1:6" x14ac:dyDescent="0.25">
      <c r="A5202" t="s">
        <v>8158</v>
      </c>
      <c r="B5202" t="s">
        <v>155</v>
      </c>
      <c r="C5202" t="s">
        <v>156</v>
      </c>
      <c r="D5202" t="str">
        <f>HYPERLINK("http://service.sap.com/sap/support/notes/1633896","1633896")</f>
        <v>1633896</v>
      </c>
      <c r="E5202">
        <v>1</v>
      </c>
      <c r="F5202" t="s">
        <v>7865</v>
      </c>
    </row>
    <row r="5203" spans="1:6" x14ac:dyDescent="0.25">
      <c r="A5203" t="s">
        <v>8158</v>
      </c>
      <c r="B5203" t="s">
        <v>171</v>
      </c>
      <c r="C5203" t="s">
        <v>153</v>
      </c>
      <c r="D5203" t="str">
        <f>HYPERLINK("http://service.sap.com/sap/support/notes/1570665","1570665")</f>
        <v>1570665</v>
      </c>
      <c r="E5203">
        <v>2</v>
      </c>
      <c r="F5203" t="s">
        <v>7866</v>
      </c>
    </row>
    <row r="5204" spans="1:6" x14ac:dyDescent="0.25">
      <c r="A5204" t="s">
        <v>8158</v>
      </c>
      <c r="B5204" t="s">
        <v>171</v>
      </c>
      <c r="C5204" t="s">
        <v>153</v>
      </c>
      <c r="D5204" t="str">
        <f>HYPERLINK("http://service.sap.com/sap/support/notes/1618964","1618964")</f>
        <v>1618964</v>
      </c>
      <c r="E5204">
        <v>2</v>
      </c>
      <c r="F5204" t="s">
        <v>7867</v>
      </c>
    </row>
    <row r="5205" spans="1:6" x14ac:dyDescent="0.25">
      <c r="A5205" t="s">
        <v>8158</v>
      </c>
      <c r="B5205" t="s">
        <v>171</v>
      </c>
      <c r="C5205" t="s">
        <v>153</v>
      </c>
      <c r="D5205" t="str">
        <f>HYPERLINK("http://service.sap.com/sap/support/notes/1623397","1623397")</f>
        <v>1623397</v>
      </c>
      <c r="E5205">
        <v>1</v>
      </c>
      <c r="F5205" t="s">
        <v>7868</v>
      </c>
    </row>
    <row r="5206" spans="1:6" x14ac:dyDescent="0.25">
      <c r="A5206" t="s">
        <v>8158</v>
      </c>
      <c r="B5206" t="s">
        <v>171</v>
      </c>
      <c r="C5206" t="s">
        <v>153</v>
      </c>
      <c r="D5206" t="str">
        <f>HYPERLINK("http://service.sap.com/sap/support/notes/1625539","1625539")</f>
        <v>1625539</v>
      </c>
      <c r="E5206">
        <v>2</v>
      </c>
      <c r="F5206" t="s">
        <v>7869</v>
      </c>
    </row>
    <row r="5207" spans="1:6" x14ac:dyDescent="0.25">
      <c r="A5207" t="s">
        <v>8158</v>
      </c>
      <c r="B5207" t="s">
        <v>171</v>
      </c>
      <c r="C5207" t="s">
        <v>153</v>
      </c>
      <c r="D5207" t="str">
        <f>HYPERLINK("http://service.sap.com/sap/support/notes/1625998","1625998")</f>
        <v>1625998</v>
      </c>
      <c r="E5207">
        <v>1</v>
      </c>
      <c r="F5207" t="s">
        <v>7870</v>
      </c>
    </row>
    <row r="5208" spans="1:6" x14ac:dyDescent="0.25">
      <c r="A5208" t="s">
        <v>8158</v>
      </c>
      <c r="B5208" t="s">
        <v>171</v>
      </c>
      <c r="C5208" t="s">
        <v>153</v>
      </c>
      <c r="D5208" t="str">
        <f>HYPERLINK("http://service.sap.com/sap/support/notes/1628792","1628792")</f>
        <v>1628792</v>
      </c>
      <c r="E5208">
        <v>2</v>
      </c>
      <c r="F5208" t="s">
        <v>7871</v>
      </c>
    </row>
    <row r="5209" spans="1:6" x14ac:dyDescent="0.25">
      <c r="A5209" t="s">
        <v>8158</v>
      </c>
      <c r="B5209" t="s">
        <v>173</v>
      </c>
      <c r="C5209" t="s">
        <v>45</v>
      </c>
      <c r="D5209" t="str">
        <f>HYPERLINK("http://service.sap.com/sap/support/notes/1595216","1595216")</f>
        <v>1595216</v>
      </c>
      <c r="E5209">
        <v>2</v>
      </c>
      <c r="F5209" t="s">
        <v>7872</v>
      </c>
    </row>
    <row r="5210" spans="1:6" x14ac:dyDescent="0.25">
      <c r="A5210" t="s">
        <v>8158</v>
      </c>
      <c r="B5210" t="s">
        <v>173</v>
      </c>
      <c r="C5210" t="s">
        <v>45</v>
      </c>
      <c r="D5210" t="str">
        <f>HYPERLINK("http://service.sap.com/sap/support/notes/1595614","1595614")</f>
        <v>1595614</v>
      </c>
      <c r="E5210">
        <v>1</v>
      </c>
      <c r="F5210" t="s">
        <v>4546</v>
      </c>
    </row>
    <row r="5211" spans="1:6" x14ac:dyDescent="0.25">
      <c r="A5211" t="s">
        <v>8158</v>
      </c>
      <c r="B5211" t="s">
        <v>173</v>
      </c>
      <c r="C5211" t="s">
        <v>45</v>
      </c>
      <c r="D5211" t="str">
        <f>HYPERLINK("http://service.sap.com/sap/support/notes/1607324","1607324")</f>
        <v>1607324</v>
      </c>
      <c r="E5211">
        <v>1</v>
      </c>
      <c r="F5211" t="s">
        <v>4864</v>
      </c>
    </row>
    <row r="5212" spans="1:6" x14ac:dyDescent="0.25">
      <c r="A5212" t="s">
        <v>8158</v>
      </c>
      <c r="B5212" t="s">
        <v>173</v>
      </c>
      <c r="C5212" t="s">
        <v>45</v>
      </c>
      <c r="D5212" t="str">
        <f>HYPERLINK("http://service.sap.com/sap/support/notes/1612766","1612766")</f>
        <v>1612766</v>
      </c>
      <c r="E5212">
        <v>2</v>
      </c>
      <c r="F5212" t="s">
        <v>7873</v>
      </c>
    </row>
    <row r="5213" spans="1:6" x14ac:dyDescent="0.25">
      <c r="A5213" t="s">
        <v>8158</v>
      </c>
      <c r="B5213" t="s">
        <v>173</v>
      </c>
      <c r="C5213" t="s">
        <v>45</v>
      </c>
      <c r="D5213" t="str">
        <f>HYPERLINK("http://service.sap.com/sap/support/notes/1620793","1620793")</f>
        <v>1620793</v>
      </c>
      <c r="E5213">
        <v>5</v>
      </c>
      <c r="F5213" t="s">
        <v>7874</v>
      </c>
    </row>
    <row r="5214" spans="1:6" x14ac:dyDescent="0.25">
      <c r="A5214" t="s">
        <v>8158</v>
      </c>
      <c r="B5214" t="s">
        <v>173</v>
      </c>
      <c r="C5214" t="s">
        <v>45</v>
      </c>
      <c r="D5214" t="str">
        <f>HYPERLINK("http://service.sap.com/sap/support/notes/1620882","1620882")</f>
        <v>1620882</v>
      </c>
      <c r="E5214">
        <v>1</v>
      </c>
      <c r="F5214" t="s">
        <v>7875</v>
      </c>
    </row>
    <row r="5215" spans="1:6" x14ac:dyDescent="0.25">
      <c r="A5215" t="s">
        <v>8158</v>
      </c>
      <c r="B5215" t="s">
        <v>173</v>
      </c>
      <c r="C5215" t="s">
        <v>45</v>
      </c>
      <c r="D5215" t="str">
        <f>HYPERLINK("http://service.sap.com/sap/support/notes/1620892","1620892")</f>
        <v>1620892</v>
      </c>
      <c r="E5215">
        <v>1</v>
      </c>
      <c r="F5215" t="s">
        <v>7876</v>
      </c>
    </row>
    <row r="5216" spans="1:6" x14ac:dyDescent="0.25">
      <c r="A5216" t="s">
        <v>8158</v>
      </c>
      <c r="B5216" t="s">
        <v>173</v>
      </c>
      <c r="C5216" t="s">
        <v>45</v>
      </c>
      <c r="D5216" t="str">
        <f>HYPERLINK("http://service.sap.com/sap/support/notes/1621538","1621538")</f>
        <v>1621538</v>
      </c>
      <c r="E5216">
        <v>4</v>
      </c>
      <c r="F5216" t="s">
        <v>7877</v>
      </c>
    </row>
    <row r="5217" spans="1:6" x14ac:dyDescent="0.25">
      <c r="A5217" t="s">
        <v>8158</v>
      </c>
      <c r="B5217" t="s">
        <v>173</v>
      </c>
      <c r="C5217" t="s">
        <v>45</v>
      </c>
      <c r="D5217" t="str">
        <f>HYPERLINK("http://service.sap.com/sap/support/notes/1623079","1623079")</f>
        <v>1623079</v>
      </c>
      <c r="E5217">
        <v>1</v>
      </c>
      <c r="F5217" t="s">
        <v>7878</v>
      </c>
    </row>
    <row r="5218" spans="1:6" x14ac:dyDescent="0.25">
      <c r="A5218" t="s">
        <v>8158</v>
      </c>
      <c r="B5218" t="s">
        <v>173</v>
      </c>
      <c r="C5218" t="s">
        <v>45</v>
      </c>
      <c r="D5218" t="str">
        <f>HYPERLINK("http://service.sap.com/sap/support/notes/1623247","1623247")</f>
        <v>1623247</v>
      </c>
      <c r="E5218">
        <v>2</v>
      </c>
      <c r="F5218" t="s">
        <v>7879</v>
      </c>
    </row>
    <row r="5219" spans="1:6" x14ac:dyDescent="0.25">
      <c r="A5219" t="s">
        <v>8158</v>
      </c>
      <c r="B5219" t="s">
        <v>173</v>
      </c>
      <c r="C5219" t="s">
        <v>45</v>
      </c>
      <c r="D5219" t="str">
        <f>HYPERLINK("http://service.sap.com/sap/support/notes/1623608","1623608")</f>
        <v>1623608</v>
      </c>
      <c r="E5219">
        <v>2</v>
      </c>
      <c r="F5219" t="s">
        <v>7880</v>
      </c>
    </row>
    <row r="5220" spans="1:6" x14ac:dyDescent="0.25">
      <c r="A5220" t="s">
        <v>8158</v>
      </c>
      <c r="B5220" t="s">
        <v>173</v>
      </c>
      <c r="C5220" t="s">
        <v>45</v>
      </c>
      <c r="D5220" t="str">
        <f>HYPERLINK("http://service.sap.com/sap/support/notes/1625029","1625029")</f>
        <v>1625029</v>
      </c>
      <c r="E5220">
        <v>2</v>
      </c>
      <c r="F5220" t="s">
        <v>7881</v>
      </c>
    </row>
    <row r="5221" spans="1:6" x14ac:dyDescent="0.25">
      <c r="A5221" t="s">
        <v>8158</v>
      </c>
      <c r="B5221" t="s">
        <v>173</v>
      </c>
      <c r="C5221" t="s">
        <v>45</v>
      </c>
      <c r="D5221" t="str">
        <f>HYPERLINK("http://service.sap.com/sap/support/notes/1625338","1625338")</f>
        <v>1625338</v>
      </c>
      <c r="E5221">
        <v>4</v>
      </c>
      <c r="F5221" t="s">
        <v>7882</v>
      </c>
    </row>
    <row r="5222" spans="1:6" x14ac:dyDescent="0.25">
      <c r="A5222" t="s">
        <v>8158</v>
      </c>
      <c r="B5222" t="s">
        <v>173</v>
      </c>
      <c r="C5222" t="s">
        <v>45</v>
      </c>
      <c r="D5222" t="str">
        <f>HYPERLINK("http://service.sap.com/sap/support/notes/1626708","1626708")</f>
        <v>1626708</v>
      </c>
      <c r="E5222">
        <v>1</v>
      </c>
      <c r="F5222" t="s">
        <v>7883</v>
      </c>
    </row>
    <row r="5223" spans="1:6" x14ac:dyDescent="0.25">
      <c r="A5223" t="s">
        <v>8158</v>
      </c>
      <c r="B5223" t="s">
        <v>173</v>
      </c>
      <c r="C5223" t="s">
        <v>45</v>
      </c>
      <c r="D5223" t="str">
        <f>HYPERLINK("http://service.sap.com/sap/support/notes/1627536","1627536")</f>
        <v>1627536</v>
      </c>
      <c r="E5223">
        <v>3</v>
      </c>
      <c r="F5223" t="s">
        <v>7884</v>
      </c>
    </row>
    <row r="5224" spans="1:6" x14ac:dyDescent="0.25">
      <c r="A5224" t="s">
        <v>8158</v>
      </c>
      <c r="B5224" t="s">
        <v>173</v>
      </c>
      <c r="C5224" t="s">
        <v>45</v>
      </c>
      <c r="D5224" t="str">
        <f>HYPERLINK("http://service.sap.com/sap/support/notes/1627542","1627542")</f>
        <v>1627542</v>
      </c>
      <c r="E5224">
        <v>3</v>
      </c>
      <c r="F5224" t="s">
        <v>7885</v>
      </c>
    </row>
    <row r="5225" spans="1:6" x14ac:dyDescent="0.25">
      <c r="A5225" t="s">
        <v>8158</v>
      </c>
      <c r="B5225" t="s">
        <v>173</v>
      </c>
      <c r="C5225" t="s">
        <v>45</v>
      </c>
      <c r="D5225" t="str">
        <f>HYPERLINK("http://service.sap.com/sap/support/notes/1627570","1627570")</f>
        <v>1627570</v>
      </c>
      <c r="E5225">
        <v>2</v>
      </c>
      <c r="F5225" t="s">
        <v>7886</v>
      </c>
    </row>
    <row r="5226" spans="1:6" x14ac:dyDescent="0.25">
      <c r="A5226" t="s">
        <v>8158</v>
      </c>
      <c r="B5226" t="s">
        <v>173</v>
      </c>
      <c r="C5226" t="s">
        <v>45</v>
      </c>
      <c r="D5226" t="str">
        <f>HYPERLINK("http://service.sap.com/sap/support/notes/1628079","1628079")</f>
        <v>1628079</v>
      </c>
      <c r="E5226">
        <v>1</v>
      </c>
      <c r="F5226" t="s">
        <v>7887</v>
      </c>
    </row>
    <row r="5227" spans="1:6" x14ac:dyDescent="0.25">
      <c r="A5227" t="s">
        <v>8158</v>
      </c>
      <c r="B5227" t="s">
        <v>173</v>
      </c>
      <c r="C5227" t="s">
        <v>45</v>
      </c>
      <c r="D5227" t="str">
        <f>HYPERLINK("http://service.sap.com/sap/support/notes/1628598","1628598")</f>
        <v>1628598</v>
      </c>
      <c r="E5227">
        <v>2</v>
      </c>
      <c r="F5227" t="s">
        <v>7888</v>
      </c>
    </row>
    <row r="5228" spans="1:6" x14ac:dyDescent="0.25">
      <c r="A5228" t="s">
        <v>8158</v>
      </c>
      <c r="B5228" t="s">
        <v>173</v>
      </c>
      <c r="C5228" t="s">
        <v>45</v>
      </c>
      <c r="D5228" t="str">
        <f>HYPERLINK("http://service.sap.com/sap/support/notes/1628677","1628677")</f>
        <v>1628677</v>
      </c>
      <c r="E5228">
        <v>1</v>
      </c>
      <c r="F5228" t="s">
        <v>7889</v>
      </c>
    </row>
    <row r="5229" spans="1:6" x14ac:dyDescent="0.25">
      <c r="A5229" t="s">
        <v>8158</v>
      </c>
      <c r="B5229" t="s">
        <v>173</v>
      </c>
      <c r="C5229" t="s">
        <v>45</v>
      </c>
      <c r="D5229" t="str">
        <f>HYPERLINK("http://service.sap.com/sap/support/notes/1628978","1628978")</f>
        <v>1628978</v>
      </c>
      <c r="E5229">
        <v>3</v>
      </c>
      <c r="F5229" t="s">
        <v>7890</v>
      </c>
    </row>
    <row r="5230" spans="1:6" x14ac:dyDescent="0.25">
      <c r="A5230" t="s">
        <v>8158</v>
      </c>
      <c r="B5230" t="s">
        <v>173</v>
      </c>
      <c r="C5230" t="s">
        <v>45</v>
      </c>
      <c r="D5230" t="str">
        <f>HYPERLINK("http://service.sap.com/sap/support/notes/1629062","1629062")</f>
        <v>1629062</v>
      </c>
      <c r="E5230">
        <v>2</v>
      </c>
      <c r="F5230" t="s">
        <v>7891</v>
      </c>
    </row>
    <row r="5231" spans="1:6" x14ac:dyDescent="0.25">
      <c r="A5231" t="s">
        <v>8158</v>
      </c>
      <c r="B5231" t="s">
        <v>173</v>
      </c>
      <c r="C5231" t="s">
        <v>45</v>
      </c>
      <c r="D5231" t="str">
        <f>HYPERLINK("http://service.sap.com/sap/support/notes/1629375","1629375")</f>
        <v>1629375</v>
      </c>
      <c r="E5231">
        <v>2</v>
      </c>
      <c r="F5231" t="s">
        <v>7892</v>
      </c>
    </row>
    <row r="5232" spans="1:6" x14ac:dyDescent="0.25">
      <c r="A5232" t="s">
        <v>8158</v>
      </c>
      <c r="B5232" t="s">
        <v>173</v>
      </c>
      <c r="C5232" t="s">
        <v>45</v>
      </c>
      <c r="D5232" t="str">
        <f>HYPERLINK("http://service.sap.com/sap/support/notes/1629609","1629609")</f>
        <v>1629609</v>
      </c>
      <c r="E5232">
        <v>1</v>
      </c>
      <c r="F5232" t="s">
        <v>7893</v>
      </c>
    </row>
    <row r="5233" spans="1:6" x14ac:dyDescent="0.25">
      <c r="A5233" t="s">
        <v>8158</v>
      </c>
      <c r="B5233" t="s">
        <v>173</v>
      </c>
      <c r="C5233" t="s">
        <v>45</v>
      </c>
      <c r="D5233" t="str">
        <f>HYPERLINK("http://service.sap.com/sap/support/notes/1629832","1629832")</f>
        <v>1629832</v>
      </c>
      <c r="E5233">
        <v>1</v>
      </c>
      <c r="F5233" t="s">
        <v>7894</v>
      </c>
    </row>
    <row r="5234" spans="1:6" x14ac:dyDescent="0.25">
      <c r="A5234" t="s">
        <v>8158</v>
      </c>
      <c r="B5234" t="s">
        <v>173</v>
      </c>
      <c r="C5234" t="s">
        <v>45</v>
      </c>
      <c r="D5234" t="str">
        <f>HYPERLINK("http://service.sap.com/sap/support/notes/1630395","1630395")</f>
        <v>1630395</v>
      </c>
      <c r="E5234">
        <v>2</v>
      </c>
      <c r="F5234" t="s">
        <v>7895</v>
      </c>
    </row>
    <row r="5235" spans="1:6" x14ac:dyDescent="0.25">
      <c r="A5235" t="s">
        <v>8158</v>
      </c>
      <c r="B5235" t="s">
        <v>173</v>
      </c>
      <c r="C5235" t="s">
        <v>45</v>
      </c>
      <c r="D5235" t="str">
        <f>HYPERLINK("http://service.sap.com/sap/support/notes/1631680","1631680")</f>
        <v>1631680</v>
      </c>
      <c r="E5235">
        <v>1</v>
      </c>
      <c r="F5235" t="s">
        <v>7896</v>
      </c>
    </row>
    <row r="5236" spans="1:6" x14ac:dyDescent="0.25">
      <c r="A5236" t="s">
        <v>8158</v>
      </c>
      <c r="B5236" t="s">
        <v>173</v>
      </c>
      <c r="C5236" t="s">
        <v>45</v>
      </c>
      <c r="D5236" t="str">
        <f>HYPERLINK("http://service.sap.com/sap/support/notes/1633666","1633666")</f>
        <v>1633666</v>
      </c>
      <c r="E5236">
        <v>2</v>
      </c>
      <c r="F5236" t="s">
        <v>7897</v>
      </c>
    </row>
    <row r="5237" spans="1:6" x14ac:dyDescent="0.25">
      <c r="A5237" t="s">
        <v>8158</v>
      </c>
      <c r="B5237" t="s">
        <v>173</v>
      </c>
      <c r="C5237" t="s">
        <v>45</v>
      </c>
      <c r="D5237" t="str">
        <f>HYPERLINK("http://service.sap.com/sap/support/notes/1633991","1633991")</f>
        <v>1633991</v>
      </c>
      <c r="E5237">
        <v>3</v>
      </c>
      <c r="F5237" t="s">
        <v>7898</v>
      </c>
    </row>
    <row r="5238" spans="1:6" x14ac:dyDescent="0.25">
      <c r="A5238" t="s">
        <v>8158</v>
      </c>
      <c r="B5238" t="s">
        <v>173</v>
      </c>
      <c r="C5238" t="s">
        <v>45</v>
      </c>
      <c r="D5238" t="str">
        <f>HYPERLINK("http://service.sap.com/sap/support/notes/1634097","1634097")</f>
        <v>1634097</v>
      </c>
      <c r="E5238">
        <v>2</v>
      </c>
      <c r="F5238" t="s">
        <v>7899</v>
      </c>
    </row>
    <row r="5239" spans="1:6" x14ac:dyDescent="0.25">
      <c r="A5239" t="s">
        <v>8158</v>
      </c>
      <c r="B5239" t="s">
        <v>191</v>
      </c>
      <c r="C5239" t="s">
        <v>192</v>
      </c>
      <c r="D5239" t="str">
        <f>HYPERLINK("http://service.sap.com/sap/support/notes/1060819","1060819")</f>
        <v>1060819</v>
      </c>
      <c r="E5239">
        <v>1</v>
      </c>
      <c r="F5239" t="s">
        <v>193</v>
      </c>
    </row>
    <row r="5240" spans="1:6" x14ac:dyDescent="0.25">
      <c r="A5240" t="s">
        <v>8158</v>
      </c>
      <c r="B5240" t="s">
        <v>191</v>
      </c>
      <c r="C5240" t="s">
        <v>192</v>
      </c>
      <c r="D5240" t="str">
        <f>HYPERLINK("http://service.sap.com/sap/support/notes/1497982","1497982")</f>
        <v>1497982</v>
      </c>
      <c r="E5240">
        <v>11</v>
      </c>
      <c r="F5240" t="s">
        <v>7900</v>
      </c>
    </row>
    <row r="5241" spans="1:6" x14ac:dyDescent="0.25">
      <c r="A5241" t="s">
        <v>8158</v>
      </c>
      <c r="B5241" t="s">
        <v>191</v>
      </c>
      <c r="C5241" t="s">
        <v>192</v>
      </c>
      <c r="D5241" t="str">
        <f>HYPERLINK("http://service.sap.com/sap/support/notes/1499285","1499285")</f>
        <v>1499285</v>
      </c>
      <c r="E5241">
        <v>3</v>
      </c>
      <c r="F5241" t="s">
        <v>7901</v>
      </c>
    </row>
    <row r="5242" spans="1:6" x14ac:dyDescent="0.25">
      <c r="A5242" t="s">
        <v>8158</v>
      </c>
      <c r="B5242" t="s">
        <v>191</v>
      </c>
      <c r="C5242" t="s">
        <v>192</v>
      </c>
      <c r="D5242" t="str">
        <f>HYPERLINK("http://service.sap.com/sap/support/notes/1573260","1573260")</f>
        <v>1573260</v>
      </c>
      <c r="E5242">
        <v>3</v>
      </c>
      <c r="F5242" t="s">
        <v>7902</v>
      </c>
    </row>
    <row r="5243" spans="1:6" x14ac:dyDescent="0.25">
      <c r="A5243" t="s">
        <v>8158</v>
      </c>
      <c r="B5243" t="s">
        <v>191</v>
      </c>
      <c r="C5243" t="s">
        <v>192</v>
      </c>
      <c r="D5243" t="str">
        <f>HYPERLINK("http://service.sap.com/sap/support/notes/1612578","1612578")</f>
        <v>1612578</v>
      </c>
      <c r="E5243">
        <v>2</v>
      </c>
      <c r="F5243" t="s">
        <v>7903</v>
      </c>
    </row>
    <row r="5244" spans="1:6" x14ac:dyDescent="0.25">
      <c r="A5244" t="s">
        <v>8158</v>
      </c>
      <c r="B5244" t="s">
        <v>191</v>
      </c>
      <c r="C5244" t="s">
        <v>192</v>
      </c>
      <c r="D5244" t="str">
        <f>HYPERLINK("http://service.sap.com/sap/support/notes/1623277","1623277")</f>
        <v>1623277</v>
      </c>
      <c r="E5244">
        <v>1</v>
      </c>
      <c r="F5244" t="s">
        <v>7904</v>
      </c>
    </row>
    <row r="5245" spans="1:6" x14ac:dyDescent="0.25">
      <c r="A5245" t="s">
        <v>8158</v>
      </c>
      <c r="B5245" t="s">
        <v>191</v>
      </c>
      <c r="C5245" t="s">
        <v>192</v>
      </c>
      <c r="D5245" t="str">
        <f>HYPERLINK("http://service.sap.com/sap/support/notes/1623307","1623307")</f>
        <v>1623307</v>
      </c>
      <c r="E5245">
        <v>1</v>
      </c>
      <c r="F5245" t="s">
        <v>7905</v>
      </c>
    </row>
    <row r="5246" spans="1:6" x14ac:dyDescent="0.25">
      <c r="A5246" t="s">
        <v>8158</v>
      </c>
      <c r="B5246" t="s">
        <v>191</v>
      </c>
      <c r="C5246" t="s">
        <v>192</v>
      </c>
      <c r="D5246" t="str">
        <f>HYPERLINK("http://service.sap.com/sap/support/notes/1623362","1623362")</f>
        <v>1623362</v>
      </c>
      <c r="E5246">
        <v>2</v>
      </c>
      <c r="F5246" t="s">
        <v>7906</v>
      </c>
    </row>
    <row r="5247" spans="1:6" x14ac:dyDescent="0.25">
      <c r="A5247" t="s">
        <v>8158</v>
      </c>
      <c r="B5247" t="s">
        <v>191</v>
      </c>
      <c r="C5247" t="s">
        <v>192</v>
      </c>
      <c r="D5247" t="str">
        <f>HYPERLINK("http://service.sap.com/sap/support/notes/1623419","1623419")</f>
        <v>1623419</v>
      </c>
      <c r="E5247">
        <v>3</v>
      </c>
      <c r="F5247" t="s">
        <v>7907</v>
      </c>
    </row>
    <row r="5248" spans="1:6" x14ac:dyDescent="0.25">
      <c r="A5248" t="s">
        <v>8158</v>
      </c>
      <c r="B5248" t="s">
        <v>191</v>
      </c>
      <c r="C5248" t="s">
        <v>192</v>
      </c>
      <c r="D5248" t="str">
        <f>HYPERLINK("http://service.sap.com/sap/support/notes/1626374","1626374")</f>
        <v>1626374</v>
      </c>
      <c r="E5248">
        <v>2</v>
      </c>
      <c r="F5248" t="s">
        <v>7908</v>
      </c>
    </row>
    <row r="5249" spans="1:6" x14ac:dyDescent="0.25">
      <c r="A5249" t="s">
        <v>8158</v>
      </c>
      <c r="B5249" t="s">
        <v>191</v>
      </c>
      <c r="C5249" t="s">
        <v>192</v>
      </c>
      <c r="D5249" t="str">
        <f>HYPERLINK("http://service.sap.com/sap/support/notes/1626466","1626466")</f>
        <v>1626466</v>
      </c>
      <c r="E5249">
        <v>2</v>
      </c>
      <c r="F5249" t="s">
        <v>7909</v>
      </c>
    </row>
    <row r="5250" spans="1:6" x14ac:dyDescent="0.25">
      <c r="A5250" t="s">
        <v>8158</v>
      </c>
      <c r="B5250" t="s">
        <v>191</v>
      </c>
      <c r="C5250" t="s">
        <v>192</v>
      </c>
      <c r="D5250" t="str">
        <f>HYPERLINK("http://service.sap.com/sap/support/notes/1628302","1628302")</f>
        <v>1628302</v>
      </c>
      <c r="E5250">
        <v>3</v>
      </c>
      <c r="F5250" t="s">
        <v>7910</v>
      </c>
    </row>
    <row r="5251" spans="1:6" x14ac:dyDescent="0.25">
      <c r="A5251" t="s">
        <v>8158</v>
      </c>
      <c r="B5251" t="s">
        <v>201</v>
      </c>
      <c r="C5251" t="s">
        <v>202</v>
      </c>
      <c r="D5251" t="str">
        <f>HYPERLINK("http://service.sap.com/sap/support/notes/1564773","1564773")</f>
        <v>1564773</v>
      </c>
      <c r="E5251">
        <v>3</v>
      </c>
      <c r="F5251" t="s">
        <v>7911</v>
      </c>
    </row>
    <row r="5252" spans="1:6" x14ac:dyDescent="0.25">
      <c r="A5252" t="s">
        <v>8158</v>
      </c>
      <c r="B5252" t="s">
        <v>201</v>
      </c>
      <c r="C5252" t="s">
        <v>202</v>
      </c>
      <c r="D5252" t="str">
        <f>HYPERLINK("http://service.sap.com/sap/support/notes/1605354","1605354")</f>
        <v>1605354</v>
      </c>
      <c r="E5252">
        <v>2</v>
      </c>
      <c r="F5252" t="s">
        <v>7912</v>
      </c>
    </row>
    <row r="5253" spans="1:6" x14ac:dyDescent="0.25">
      <c r="A5253" t="s">
        <v>8158</v>
      </c>
      <c r="B5253" t="s">
        <v>201</v>
      </c>
      <c r="C5253" t="s">
        <v>202</v>
      </c>
      <c r="D5253" t="str">
        <f>HYPERLINK("http://service.sap.com/sap/support/notes/1609069","1609069")</f>
        <v>1609069</v>
      </c>
      <c r="E5253">
        <v>1</v>
      </c>
      <c r="F5253" t="s">
        <v>7913</v>
      </c>
    </row>
    <row r="5254" spans="1:6" x14ac:dyDescent="0.25">
      <c r="A5254" t="s">
        <v>8158</v>
      </c>
      <c r="B5254" t="s">
        <v>201</v>
      </c>
      <c r="C5254" t="s">
        <v>202</v>
      </c>
      <c r="D5254" t="str">
        <f>HYPERLINK("http://service.sap.com/sap/support/notes/1610714","1610714")</f>
        <v>1610714</v>
      </c>
      <c r="E5254">
        <v>2</v>
      </c>
      <c r="F5254" t="s">
        <v>7914</v>
      </c>
    </row>
    <row r="5255" spans="1:6" x14ac:dyDescent="0.25">
      <c r="A5255" t="s">
        <v>8158</v>
      </c>
      <c r="B5255" t="s">
        <v>201</v>
      </c>
      <c r="C5255" t="s">
        <v>202</v>
      </c>
      <c r="D5255" t="str">
        <f>HYPERLINK("http://service.sap.com/sap/support/notes/1624554","1624554")</f>
        <v>1624554</v>
      </c>
      <c r="E5255">
        <v>1</v>
      </c>
      <c r="F5255" t="s">
        <v>7915</v>
      </c>
    </row>
    <row r="5256" spans="1:6" x14ac:dyDescent="0.25">
      <c r="A5256" t="s">
        <v>8158</v>
      </c>
      <c r="B5256" t="s">
        <v>201</v>
      </c>
      <c r="C5256" t="s">
        <v>202</v>
      </c>
      <c r="D5256" t="str">
        <f>HYPERLINK("http://service.sap.com/sap/support/notes/1630315","1630315")</f>
        <v>1630315</v>
      </c>
      <c r="E5256">
        <v>1</v>
      </c>
      <c r="F5256" t="s">
        <v>7916</v>
      </c>
    </row>
    <row r="5257" spans="1:6" x14ac:dyDescent="0.25">
      <c r="A5257" t="s">
        <v>8158</v>
      </c>
      <c r="B5257" t="s">
        <v>201</v>
      </c>
      <c r="C5257" t="s">
        <v>202</v>
      </c>
      <c r="D5257" t="str">
        <f>HYPERLINK("http://service.sap.com/sap/support/notes/1635633","1635633")</f>
        <v>1635633</v>
      </c>
      <c r="E5257">
        <v>1</v>
      </c>
      <c r="F5257" t="s">
        <v>7917</v>
      </c>
    </row>
    <row r="5258" spans="1:6" x14ac:dyDescent="0.25">
      <c r="A5258" t="s">
        <v>8158</v>
      </c>
      <c r="B5258" t="s">
        <v>7769</v>
      </c>
      <c r="C5258" t="s">
        <v>7770</v>
      </c>
      <c r="D5258" t="str">
        <f>HYPERLINK("http://service.sap.com/sap/support/notes/1597950","1597950")</f>
        <v>1597950</v>
      </c>
      <c r="E5258">
        <v>2</v>
      </c>
      <c r="F5258" t="s">
        <v>7918</v>
      </c>
    </row>
    <row r="5259" spans="1:6" x14ac:dyDescent="0.25">
      <c r="A5259" t="s">
        <v>8158</v>
      </c>
      <c r="B5259" t="s">
        <v>964</v>
      </c>
      <c r="C5259" t="s">
        <v>299</v>
      </c>
      <c r="D5259" t="str">
        <f>HYPERLINK("http://service.sap.com/sap/support/notes/1595943","1595943")</f>
        <v>1595943</v>
      </c>
      <c r="E5259">
        <v>2</v>
      </c>
      <c r="F5259" t="s">
        <v>7919</v>
      </c>
    </row>
    <row r="5260" spans="1:6" x14ac:dyDescent="0.25">
      <c r="A5260" t="s">
        <v>8158</v>
      </c>
      <c r="B5260" t="s">
        <v>964</v>
      </c>
      <c r="C5260" t="s">
        <v>299</v>
      </c>
      <c r="D5260" t="str">
        <f>HYPERLINK("http://service.sap.com/sap/support/notes/1615061","1615061")</f>
        <v>1615061</v>
      </c>
      <c r="E5260">
        <v>3</v>
      </c>
      <c r="F5260" t="s">
        <v>7920</v>
      </c>
    </row>
    <row r="5261" spans="1:6" x14ac:dyDescent="0.25">
      <c r="A5261" t="s">
        <v>8158</v>
      </c>
      <c r="B5261" t="s">
        <v>964</v>
      </c>
      <c r="C5261" t="s">
        <v>299</v>
      </c>
      <c r="D5261" t="str">
        <f>HYPERLINK("http://service.sap.com/sap/support/notes/1629837","1629837")</f>
        <v>1629837</v>
      </c>
      <c r="E5261">
        <v>1</v>
      </c>
      <c r="F5261" t="s">
        <v>7921</v>
      </c>
    </row>
    <row r="5262" spans="1:6" x14ac:dyDescent="0.25">
      <c r="A5262" t="s">
        <v>8158</v>
      </c>
      <c r="B5262" t="s">
        <v>207</v>
      </c>
      <c r="C5262" t="s">
        <v>208</v>
      </c>
      <c r="D5262" t="str">
        <f>HYPERLINK("http://service.sap.com/sap/support/notes/1031994","1031994")</f>
        <v>1031994</v>
      </c>
      <c r="E5262">
        <v>1</v>
      </c>
      <c r="F5262" t="s">
        <v>7922</v>
      </c>
    </row>
    <row r="5263" spans="1:6" x14ac:dyDescent="0.25">
      <c r="A5263" t="s">
        <v>8158</v>
      </c>
      <c r="B5263" t="s">
        <v>207</v>
      </c>
      <c r="C5263" t="s">
        <v>208</v>
      </c>
      <c r="D5263" t="str">
        <f>HYPERLINK("http://service.sap.com/sap/support/notes/1618194","1618194")</f>
        <v>1618194</v>
      </c>
      <c r="E5263">
        <v>2</v>
      </c>
      <c r="F5263" t="s">
        <v>7923</v>
      </c>
    </row>
    <row r="5264" spans="1:6" x14ac:dyDescent="0.25">
      <c r="A5264" t="s">
        <v>8158</v>
      </c>
      <c r="B5264" t="s">
        <v>207</v>
      </c>
      <c r="C5264" t="s">
        <v>208</v>
      </c>
      <c r="D5264" t="str">
        <f>HYPERLINK("http://service.sap.com/sap/support/notes/1621668","1621668")</f>
        <v>1621668</v>
      </c>
      <c r="E5264">
        <v>1</v>
      </c>
      <c r="F5264" t="s">
        <v>7924</v>
      </c>
    </row>
    <row r="5265" spans="1:6" x14ac:dyDescent="0.25">
      <c r="A5265" t="s">
        <v>8158</v>
      </c>
      <c r="B5265" t="s">
        <v>207</v>
      </c>
      <c r="C5265" t="s">
        <v>208</v>
      </c>
      <c r="D5265" t="str">
        <f>HYPERLINK("http://service.sap.com/sap/support/notes/1625288","1625288")</f>
        <v>1625288</v>
      </c>
      <c r="E5265">
        <v>1</v>
      </c>
      <c r="F5265" t="s">
        <v>7925</v>
      </c>
    </row>
    <row r="5266" spans="1:6" x14ac:dyDescent="0.25">
      <c r="A5266" t="s">
        <v>8158</v>
      </c>
      <c r="B5266" t="s">
        <v>213</v>
      </c>
      <c r="C5266" t="s">
        <v>214</v>
      </c>
      <c r="D5266" t="str">
        <f>HYPERLINK("http://service.sap.com/sap/support/notes/1598777","1598777")</f>
        <v>1598777</v>
      </c>
      <c r="E5266">
        <v>5</v>
      </c>
      <c r="F5266" t="s">
        <v>7926</v>
      </c>
    </row>
    <row r="5267" spans="1:6" x14ac:dyDescent="0.25">
      <c r="A5267" t="s">
        <v>8158</v>
      </c>
      <c r="B5267" t="s">
        <v>213</v>
      </c>
      <c r="C5267" t="s">
        <v>214</v>
      </c>
      <c r="D5267" t="str">
        <f>HYPERLINK("http://service.sap.com/sap/support/notes/1606192","1606192")</f>
        <v>1606192</v>
      </c>
      <c r="E5267">
        <v>3</v>
      </c>
      <c r="F5267" t="s">
        <v>7927</v>
      </c>
    </row>
    <row r="5268" spans="1:6" x14ac:dyDescent="0.25">
      <c r="A5268" t="s">
        <v>8158</v>
      </c>
      <c r="B5268" t="s">
        <v>213</v>
      </c>
      <c r="C5268" t="s">
        <v>214</v>
      </c>
      <c r="D5268" t="str">
        <f>HYPERLINK("http://service.sap.com/sap/support/notes/1616862","1616862")</f>
        <v>1616862</v>
      </c>
      <c r="E5268">
        <v>9</v>
      </c>
      <c r="F5268" t="s">
        <v>7928</v>
      </c>
    </row>
    <row r="5269" spans="1:6" x14ac:dyDescent="0.25">
      <c r="A5269" t="s">
        <v>8158</v>
      </c>
      <c r="B5269" t="s">
        <v>213</v>
      </c>
      <c r="C5269" t="s">
        <v>214</v>
      </c>
      <c r="D5269" t="str">
        <f>HYPERLINK("http://service.sap.com/sap/support/notes/1622527","1622527")</f>
        <v>1622527</v>
      </c>
      <c r="E5269">
        <v>6</v>
      </c>
      <c r="F5269" t="s">
        <v>7929</v>
      </c>
    </row>
    <row r="5270" spans="1:6" x14ac:dyDescent="0.25">
      <c r="A5270" t="s">
        <v>8158</v>
      </c>
      <c r="B5270" t="s">
        <v>213</v>
      </c>
      <c r="C5270" t="s">
        <v>214</v>
      </c>
      <c r="D5270" t="str">
        <f>HYPERLINK("http://service.sap.com/sap/support/notes/1627383","1627383")</f>
        <v>1627383</v>
      </c>
      <c r="E5270">
        <v>2</v>
      </c>
      <c r="F5270" t="s">
        <v>7930</v>
      </c>
    </row>
    <row r="5271" spans="1:6" x14ac:dyDescent="0.25">
      <c r="A5271" t="s">
        <v>8158</v>
      </c>
      <c r="B5271" t="s">
        <v>223</v>
      </c>
      <c r="C5271" t="s">
        <v>49</v>
      </c>
      <c r="D5271" t="str">
        <f>HYPERLINK("http://service.sap.com/sap/support/notes/1611614","1611614")</f>
        <v>1611614</v>
      </c>
      <c r="E5271">
        <v>2</v>
      </c>
      <c r="F5271" t="s">
        <v>7931</v>
      </c>
    </row>
    <row r="5272" spans="1:6" x14ac:dyDescent="0.25">
      <c r="A5272" t="s">
        <v>8158</v>
      </c>
      <c r="B5272" t="s">
        <v>223</v>
      </c>
      <c r="C5272" t="s">
        <v>49</v>
      </c>
      <c r="D5272" t="str">
        <f>HYPERLINK("http://service.sap.com/sap/support/notes/1623019","1623019")</f>
        <v>1623019</v>
      </c>
      <c r="E5272">
        <v>1</v>
      </c>
      <c r="F5272" t="s">
        <v>7932</v>
      </c>
    </row>
    <row r="5273" spans="1:6" x14ac:dyDescent="0.25">
      <c r="A5273" t="s">
        <v>8158</v>
      </c>
      <c r="B5273" t="s">
        <v>223</v>
      </c>
      <c r="C5273" t="s">
        <v>49</v>
      </c>
      <c r="D5273" t="str">
        <f>HYPERLINK("http://service.sap.com/sap/support/notes/1625565","1625565")</f>
        <v>1625565</v>
      </c>
      <c r="E5273">
        <v>1</v>
      </c>
      <c r="F5273" t="s">
        <v>7933</v>
      </c>
    </row>
    <row r="5274" spans="1:6" x14ac:dyDescent="0.25">
      <c r="A5274" t="s">
        <v>8158</v>
      </c>
      <c r="B5274" t="s">
        <v>226</v>
      </c>
      <c r="C5274" t="s">
        <v>52</v>
      </c>
      <c r="D5274" t="str">
        <f>HYPERLINK("http://service.sap.com/sap/support/notes/1597126","1597126")</f>
        <v>1597126</v>
      </c>
      <c r="E5274">
        <v>4</v>
      </c>
      <c r="F5274" t="s">
        <v>7934</v>
      </c>
    </row>
    <row r="5275" spans="1:6" x14ac:dyDescent="0.25">
      <c r="A5275" t="s">
        <v>8158</v>
      </c>
      <c r="B5275" t="s">
        <v>226</v>
      </c>
      <c r="C5275" t="s">
        <v>52</v>
      </c>
      <c r="D5275" t="str">
        <f>HYPERLINK("http://service.sap.com/sap/support/notes/1631375","1631375")</f>
        <v>1631375</v>
      </c>
      <c r="E5275">
        <v>1</v>
      </c>
      <c r="F5275" t="s">
        <v>7935</v>
      </c>
    </row>
    <row r="5276" spans="1:6" x14ac:dyDescent="0.25">
      <c r="A5276" t="s">
        <v>8158</v>
      </c>
      <c r="B5276" t="s">
        <v>227</v>
      </c>
      <c r="C5276" t="s">
        <v>228</v>
      </c>
      <c r="D5276" t="str">
        <f>HYPERLINK("http://service.sap.com/sap/support/notes/1628024","1628024")</f>
        <v>1628024</v>
      </c>
      <c r="E5276">
        <v>2</v>
      </c>
      <c r="F5276" t="s">
        <v>7936</v>
      </c>
    </row>
    <row r="5277" spans="1:6" x14ac:dyDescent="0.25">
      <c r="A5277" t="s">
        <v>8158</v>
      </c>
      <c r="B5277" t="s">
        <v>227</v>
      </c>
      <c r="C5277" t="s">
        <v>228</v>
      </c>
      <c r="D5277" t="str">
        <f>HYPERLINK("http://service.sap.com/sap/support/notes/1628256","1628256")</f>
        <v>1628256</v>
      </c>
      <c r="E5277">
        <v>1</v>
      </c>
      <c r="F5277" t="s">
        <v>7937</v>
      </c>
    </row>
    <row r="5278" spans="1:6" x14ac:dyDescent="0.25">
      <c r="A5278" t="s">
        <v>8158</v>
      </c>
      <c r="B5278" t="s">
        <v>232</v>
      </c>
      <c r="C5278" t="s">
        <v>233</v>
      </c>
      <c r="D5278" t="str">
        <f>HYPERLINK("http://service.sap.com/sap/support/notes/1569672","1569672")</f>
        <v>1569672</v>
      </c>
      <c r="E5278">
        <v>1</v>
      </c>
      <c r="F5278" t="s">
        <v>4588</v>
      </c>
    </row>
    <row r="5279" spans="1:6" x14ac:dyDescent="0.25">
      <c r="A5279" t="s">
        <v>8158</v>
      </c>
      <c r="B5279" t="s">
        <v>232</v>
      </c>
      <c r="C5279" t="s">
        <v>233</v>
      </c>
      <c r="D5279" t="str">
        <f>HYPERLINK("http://service.sap.com/sap/support/notes/1615645","1615645")</f>
        <v>1615645</v>
      </c>
      <c r="E5279">
        <v>3</v>
      </c>
      <c r="F5279" t="s">
        <v>7938</v>
      </c>
    </row>
    <row r="5280" spans="1:6" x14ac:dyDescent="0.25">
      <c r="A5280" t="s">
        <v>8158</v>
      </c>
      <c r="B5280" t="s">
        <v>232</v>
      </c>
      <c r="C5280" t="s">
        <v>233</v>
      </c>
      <c r="D5280" t="str">
        <f>HYPERLINK("http://service.sap.com/sap/support/notes/1618988","1618988")</f>
        <v>1618988</v>
      </c>
      <c r="E5280">
        <v>4</v>
      </c>
      <c r="F5280" t="s">
        <v>7939</v>
      </c>
    </row>
    <row r="5281" spans="1:6" x14ac:dyDescent="0.25">
      <c r="A5281" t="s">
        <v>8158</v>
      </c>
      <c r="B5281" t="s">
        <v>232</v>
      </c>
      <c r="C5281" t="s">
        <v>233</v>
      </c>
      <c r="D5281" t="str">
        <f>HYPERLINK("http://service.sap.com/sap/support/notes/1625731","1625731")</f>
        <v>1625731</v>
      </c>
      <c r="E5281">
        <v>2</v>
      </c>
      <c r="F5281" t="s">
        <v>7940</v>
      </c>
    </row>
    <row r="5282" spans="1:6" x14ac:dyDescent="0.25">
      <c r="A5282" t="s">
        <v>8158</v>
      </c>
      <c r="B5282" t="s">
        <v>235</v>
      </c>
      <c r="C5282" t="s">
        <v>236</v>
      </c>
    </row>
    <row r="5283" spans="1:6" x14ac:dyDescent="0.25">
      <c r="A5283" t="s">
        <v>8158</v>
      </c>
      <c r="B5283" t="s">
        <v>237</v>
      </c>
      <c r="C5283" t="s">
        <v>238</v>
      </c>
      <c r="D5283" t="str">
        <f>HYPERLINK("http://service.sap.com/sap/support/notes/1564436","1564436")</f>
        <v>1564436</v>
      </c>
      <c r="E5283">
        <v>3</v>
      </c>
      <c r="F5283" t="s">
        <v>7941</v>
      </c>
    </row>
    <row r="5284" spans="1:6" x14ac:dyDescent="0.25">
      <c r="A5284" t="s">
        <v>8158</v>
      </c>
      <c r="B5284" t="s">
        <v>237</v>
      </c>
      <c r="C5284" t="s">
        <v>238</v>
      </c>
      <c r="D5284" t="str">
        <f>HYPERLINK("http://service.sap.com/sap/support/notes/1616158","1616158")</f>
        <v>1616158</v>
      </c>
      <c r="E5284">
        <v>6</v>
      </c>
      <c r="F5284" t="s">
        <v>7942</v>
      </c>
    </row>
    <row r="5285" spans="1:6" x14ac:dyDescent="0.25">
      <c r="A5285" t="s">
        <v>8158</v>
      </c>
      <c r="B5285" t="s">
        <v>237</v>
      </c>
      <c r="C5285" t="s">
        <v>238</v>
      </c>
      <c r="D5285" t="str">
        <f>HYPERLINK("http://service.sap.com/sap/support/notes/1623203","1623203")</f>
        <v>1623203</v>
      </c>
      <c r="E5285">
        <v>2</v>
      </c>
      <c r="F5285" t="s">
        <v>7943</v>
      </c>
    </row>
    <row r="5286" spans="1:6" x14ac:dyDescent="0.25">
      <c r="A5286" t="s">
        <v>8158</v>
      </c>
      <c r="B5286" t="s">
        <v>237</v>
      </c>
      <c r="C5286" t="s">
        <v>238</v>
      </c>
      <c r="D5286" t="str">
        <f>HYPERLINK("http://service.sap.com/sap/support/notes/1624487","1624487")</f>
        <v>1624487</v>
      </c>
      <c r="E5286">
        <v>2</v>
      </c>
      <c r="F5286" t="s">
        <v>7773</v>
      </c>
    </row>
    <row r="5287" spans="1:6" x14ac:dyDescent="0.25">
      <c r="A5287" t="s">
        <v>8158</v>
      </c>
      <c r="B5287" t="s">
        <v>237</v>
      </c>
      <c r="C5287" t="s">
        <v>238</v>
      </c>
      <c r="D5287" t="str">
        <f>HYPERLINK("http://service.sap.com/sap/support/notes/1624724","1624724")</f>
        <v>1624724</v>
      </c>
      <c r="E5287">
        <v>1</v>
      </c>
      <c r="F5287" t="s">
        <v>7944</v>
      </c>
    </row>
    <row r="5288" spans="1:6" x14ac:dyDescent="0.25">
      <c r="A5288" t="s">
        <v>8158</v>
      </c>
      <c r="B5288" t="s">
        <v>5308</v>
      </c>
      <c r="C5288" t="s">
        <v>5309</v>
      </c>
      <c r="D5288" t="str">
        <f>HYPERLINK("http://service.sap.com/sap/support/notes/1623073","1623073")</f>
        <v>1623073</v>
      </c>
      <c r="E5288">
        <v>2</v>
      </c>
      <c r="F5288" t="s">
        <v>7945</v>
      </c>
    </row>
    <row r="5289" spans="1:6" x14ac:dyDescent="0.25">
      <c r="A5289" t="s">
        <v>8158</v>
      </c>
      <c r="B5289" t="s">
        <v>5308</v>
      </c>
      <c r="C5289" t="s">
        <v>5309</v>
      </c>
      <c r="D5289" t="str">
        <f>HYPERLINK("http://service.sap.com/sap/support/notes/1624666","1624666")</f>
        <v>1624666</v>
      </c>
      <c r="E5289">
        <v>2</v>
      </c>
      <c r="F5289" t="s">
        <v>7946</v>
      </c>
    </row>
    <row r="5290" spans="1:6" x14ac:dyDescent="0.25">
      <c r="A5290" t="s">
        <v>8158</v>
      </c>
      <c r="B5290" t="s">
        <v>5308</v>
      </c>
      <c r="C5290" t="s">
        <v>5309</v>
      </c>
      <c r="D5290" t="str">
        <f>HYPERLINK("http://service.sap.com/sap/support/notes/1633935","1633935")</f>
        <v>1633935</v>
      </c>
      <c r="E5290">
        <v>2</v>
      </c>
      <c r="F5290" t="s">
        <v>7947</v>
      </c>
    </row>
    <row r="5291" spans="1:6" x14ac:dyDescent="0.25">
      <c r="A5291" t="s">
        <v>8158</v>
      </c>
      <c r="B5291" t="s">
        <v>1009</v>
      </c>
      <c r="C5291" t="s">
        <v>1010</v>
      </c>
      <c r="D5291" t="str">
        <f>HYPERLINK("http://service.sap.com/sap/support/notes/1597116","1597116")</f>
        <v>1597116</v>
      </c>
      <c r="E5291">
        <v>1</v>
      </c>
      <c r="F5291" t="s">
        <v>7948</v>
      </c>
    </row>
    <row r="5292" spans="1:6" x14ac:dyDescent="0.25">
      <c r="A5292" t="s">
        <v>8158</v>
      </c>
      <c r="B5292" t="s">
        <v>1009</v>
      </c>
      <c r="C5292" t="s">
        <v>1010</v>
      </c>
      <c r="D5292" t="str">
        <f>HYPERLINK("http://service.sap.com/sap/support/notes/1611416","1611416")</f>
        <v>1611416</v>
      </c>
      <c r="E5292">
        <v>2</v>
      </c>
      <c r="F5292" t="s">
        <v>7949</v>
      </c>
    </row>
    <row r="5293" spans="1:6" x14ac:dyDescent="0.25">
      <c r="A5293" t="s">
        <v>8158</v>
      </c>
      <c r="B5293" t="s">
        <v>1009</v>
      </c>
      <c r="C5293" t="s">
        <v>1010</v>
      </c>
      <c r="D5293" t="str">
        <f>HYPERLINK("http://service.sap.com/sap/support/notes/1623782","1623782")</f>
        <v>1623782</v>
      </c>
      <c r="E5293">
        <v>1</v>
      </c>
      <c r="F5293" t="s">
        <v>7950</v>
      </c>
    </row>
    <row r="5294" spans="1:6" x14ac:dyDescent="0.25">
      <c r="A5294" t="s">
        <v>8158</v>
      </c>
      <c r="B5294" t="s">
        <v>1009</v>
      </c>
      <c r="C5294" t="s">
        <v>1010</v>
      </c>
      <c r="D5294" t="str">
        <f>HYPERLINK("http://service.sap.com/sap/support/notes/1624362","1624362")</f>
        <v>1624362</v>
      </c>
      <c r="E5294">
        <v>1</v>
      </c>
      <c r="F5294" t="s">
        <v>7951</v>
      </c>
    </row>
    <row r="5295" spans="1:6" x14ac:dyDescent="0.25">
      <c r="A5295" t="s">
        <v>8158</v>
      </c>
      <c r="B5295" t="s">
        <v>1009</v>
      </c>
      <c r="C5295" t="s">
        <v>1010</v>
      </c>
      <c r="D5295" t="str">
        <f>HYPERLINK("http://service.sap.com/sap/support/notes/1625079","1625079")</f>
        <v>1625079</v>
      </c>
      <c r="E5295">
        <v>1</v>
      </c>
      <c r="F5295" t="s">
        <v>7952</v>
      </c>
    </row>
    <row r="5296" spans="1:6" x14ac:dyDescent="0.25">
      <c r="A5296" t="s">
        <v>8158</v>
      </c>
      <c r="B5296" t="s">
        <v>1009</v>
      </c>
      <c r="C5296" t="s">
        <v>1010</v>
      </c>
      <c r="D5296" t="str">
        <f>HYPERLINK("http://service.sap.com/sap/support/notes/1625249","1625249")</f>
        <v>1625249</v>
      </c>
      <c r="E5296">
        <v>1</v>
      </c>
      <c r="F5296" t="s">
        <v>7953</v>
      </c>
    </row>
    <row r="5297" spans="1:6" x14ac:dyDescent="0.25">
      <c r="A5297" t="s">
        <v>8158</v>
      </c>
      <c r="B5297" t="s">
        <v>1009</v>
      </c>
      <c r="C5297" t="s">
        <v>1010</v>
      </c>
      <c r="D5297" t="str">
        <f>HYPERLINK("http://service.sap.com/sap/support/notes/1626570","1626570")</f>
        <v>1626570</v>
      </c>
      <c r="E5297">
        <v>1</v>
      </c>
      <c r="F5297" t="s">
        <v>7954</v>
      </c>
    </row>
    <row r="5298" spans="1:6" x14ac:dyDescent="0.25">
      <c r="A5298" t="s">
        <v>8158</v>
      </c>
      <c r="B5298" t="s">
        <v>1009</v>
      </c>
      <c r="C5298" t="s">
        <v>1010</v>
      </c>
      <c r="D5298" t="str">
        <f>HYPERLINK("http://service.sap.com/sap/support/notes/1626709","1626709")</f>
        <v>1626709</v>
      </c>
      <c r="E5298">
        <v>2</v>
      </c>
      <c r="F5298" t="s">
        <v>7955</v>
      </c>
    </row>
    <row r="5299" spans="1:6" x14ac:dyDescent="0.25">
      <c r="A5299" t="s">
        <v>8158</v>
      </c>
      <c r="B5299" t="s">
        <v>1009</v>
      </c>
      <c r="C5299" t="s">
        <v>1010</v>
      </c>
      <c r="D5299" t="str">
        <f>HYPERLINK("http://service.sap.com/sap/support/notes/1626863","1626863")</f>
        <v>1626863</v>
      </c>
      <c r="E5299">
        <v>1</v>
      </c>
      <c r="F5299" t="s">
        <v>7956</v>
      </c>
    </row>
    <row r="5300" spans="1:6" x14ac:dyDescent="0.25">
      <c r="A5300" t="s">
        <v>8158</v>
      </c>
      <c r="B5300" t="s">
        <v>1009</v>
      </c>
      <c r="C5300" t="s">
        <v>1010</v>
      </c>
      <c r="D5300" t="str">
        <f>HYPERLINK("http://service.sap.com/sap/support/notes/1627420","1627420")</f>
        <v>1627420</v>
      </c>
      <c r="E5300">
        <v>1</v>
      </c>
      <c r="F5300" t="s">
        <v>7957</v>
      </c>
    </row>
    <row r="5301" spans="1:6" x14ac:dyDescent="0.25">
      <c r="A5301" t="s">
        <v>8158</v>
      </c>
      <c r="B5301" t="s">
        <v>1009</v>
      </c>
      <c r="C5301" t="s">
        <v>1010</v>
      </c>
      <c r="D5301" t="str">
        <f>HYPERLINK("http://service.sap.com/sap/support/notes/1630398","1630398")</f>
        <v>1630398</v>
      </c>
      <c r="E5301">
        <v>2</v>
      </c>
      <c r="F5301" t="s">
        <v>7958</v>
      </c>
    </row>
    <row r="5302" spans="1:6" x14ac:dyDescent="0.25">
      <c r="A5302" t="s">
        <v>8158</v>
      </c>
      <c r="B5302" t="s">
        <v>1009</v>
      </c>
      <c r="C5302" t="s">
        <v>1010</v>
      </c>
      <c r="D5302" t="str">
        <f>HYPERLINK("http://service.sap.com/sap/support/notes/1631166","1631166")</f>
        <v>1631166</v>
      </c>
      <c r="E5302">
        <v>1</v>
      </c>
      <c r="F5302" t="s">
        <v>7959</v>
      </c>
    </row>
    <row r="5303" spans="1:6" x14ac:dyDescent="0.25">
      <c r="A5303" t="s">
        <v>8158</v>
      </c>
      <c r="B5303" t="s">
        <v>1009</v>
      </c>
      <c r="C5303" t="s">
        <v>1010</v>
      </c>
      <c r="D5303" t="str">
        <f>HYPERLINK("http://service.sap.com/sap/support/notes/1631845","1631845")</f>
        <v>1631845</v>
      </c>
      <c r="E5303">
        <v>1</v>
      </c>
      <c r="F5303" t="s">
        <v>7960</v>
      </c>
    </row>
    <row r="5304" spans="1:6" x14ac:dyDescent="0.25">
      <c r="A5304" t="s">
        <v>8158</v>
      </c>
      <c r="B5304" t="s">
        <v>1009</v>
      </c>
      <c r="C5304" t="s">
        <v>1010</v>
      </c>
      <c r="D5304" t="str">
        <f>HYPERLINK("http://service.sap.com/sap/support/notes/1634147","1634147")</f>
        <v>1634147</v>
      </c>
      <c r="E5304">
        <v>2</v>
      </c>
      <c r="F5304" t="s">
        <v>7961</v>
      </c>
    </row>
    <row r="5305" spans="1:6" x14ac:dyDescent="0.25">
      <c r="A5305" t="s">
        <v>8158</v>
      </c>
      <c r="B5305" t="s">
        <v>250</v>
      </c>
      <c r="C5305" t="s">
        <v>251</v>
      </c>
    </row>
    <row r="5306" spans="1:6" x14ac:dyDescent="0.25">
      <c r="A5306" t="s">
        <v>8158</v>
      </c>
      <c r="B5306" t="s">
        <v>258</v>
      </c>
      <c r="C5306" t="s">
        <v>259</v>
      </c>
      <c r="D5306" t="str">
        <f>HYPERLINK("http://service.sap.com/sap/support/notes/1626107","1626107")</f>
        <v>1626107</v>
      </c>
      <c r="E5306">
        <v>2</v>
      </c>
      <c r="F5306" t="s">
        <v>7962</v>
      </c>
    </row>
    <row r="5307" spans="1:6" x14ac:dyDescent="0.25">
      <c r="A5307" t="s">
        <v>8158</v>
      </c>
      <c r="B5307" t="s">
        <v>258</v>
      </c>
      <c r="C5307" t="s">
        <v>259</v>
      </c>
      <c r="D5307" t="str">
        <f>HYPERLINK("http://service.sap.com/sap/support/notes/1626520","1626520")</f>
        <v>1626520</v>
      </c>
      <c r="E5307">
        <v>3</v>
      </c>
      <c r="F5307" t="s">
        <v>7963</v>
      </c>
    </row>
    <row r="5308" spans="1:6" x14ac:dyDescent="0.25">
      <c r="A5308" t="s">
        <v>8158</v>
      </c>
      <c r="B5308" t="s">
        <v>1023</v>
      </c>
      <c r="C5308" t="s">
        <v>2715</v>
      </c>
      <c r="D5308" t="str">
        <f>HYPERLINK("http://service.sap.com/sap/support/notes/1332887","1332887")</f>
        <v>1332887</v>
      </c>
      <c r="E5308">
        <v>3</v>
      </c>
      <c r="F5308" t="s">
        <v>7964</v>
      </c>
    </row>
    <row r="5309" spans="1:6" x14ac:dyDescent="0.25">
      <c r="A5309" t="s">
        <v>8158</v>
      </c>
      <c r="B5309" t="s">
        <v>1023</v>
      </c>
      <c r="C5309" t="s">
        <v>2715</v>
      </c>
      <c r="D5309" t="str">
        <f>HYPERLINK("http://service.sap.com/sap/support/notes/1627273","1627273")</f>
        <v>1627273</v>
      </c>
      <c r="E5309">
        <v>2</v>
      </c>
      <c r="F5309" t="s">
        <v>7965</v>
      </c>
    </row>
    <row r="5310" spans="1:6" x14ac:dyDescent="0.25">
      <c r="A5310" t="s">
        <v>8158</v>
      </c>
      <c r="B5310" t="s">
        <v>1023</v>
      </c>
      <c r="C5310" t="s">
        <v>2715</v>
      </c>
      <c r="D5310" t="str">
        <f>HYPERLINK("http://service.sap.com/sap/support/notes/1630523","1630523")</f>
        <v>1630523</v>
      </c>
      <c r="E5310">
        <v>1</v>
      </c>
      <c r="F5310" t="s">
        <v>7966</v>
      </c>
    </row>
    <row r="5311" spans="1:6" x14ac:dyDescent="0.25">
      <c r="A5311" t="s">
        <v>8158</v>
      </c>
      <c r="B5311" t="s">
        <v>1027</v>
      </c>
      <c r="C5311" t="s">
        <v>4607</v>
      </c>
      <c r="D5311" t="str">
        <f>HYPERLINK("http://service.sap.com/sap/support/notes/1525631","1525631")</f>
        <v>1525631</v>
      </c>
      <c r="E5311">
        <v>3</v>
      </c>
      <c r="F5311" t="s">
        <v>7967</v>
      </c>
    </row>
    <row r="5312" spans="1:6" x14ac:dyDescent="0.25">
      <c r="A5312" t="s">
        <v>8158</v>
      </c>
      <c r="B5312" t="s">
        <v>1027</v>
      </c>
      <c r="C5312" t="s">
        <v>4607</v>
      </c>
      <c r="D5312" t="str">
        <f>HYPERLINK("http://service.sap.com/sap/support/notes/1633872","1633872")</f>
        <v>1633872</v>
      </c>
      <c r="E5312">
        <v>1</v>
      </c>
      <c r="F5312" t="s">
        <v>7968</v>
      </c>
    </row>
    <row r="5313" spans="1:6" x14ac:dyDescent="0.25">
      <c r="A5313" t="s">
        <v>8158</v>
      </c>
      <c r="B5313" t="s">
        <v>264</v>
      </c>
      <c r="C5313" t="s">
        <v>265</v>
      </c>
      <c r="D5313" t="str">
        <f>HYPERLINK("http://service.sap.com/sap/support/notes/1624596","1624596")</f>
        <v>1624596</v>
      </c>
      <c r="E5313">
        <v>3</v>
      </c>
      <c r="F5313" t="s">
        <v>7969</v>
      </c>
    </row>
    <row r="5314" spans="1:6" x14ac:dyDescent="0.25">
      <c r="A5314" t="s">
        <v>8158</v>
      </c>
      <c r="B5314" t="s">
        <v>264</v>
      </c>
      <c r="C5314" t="s">
        <v>265</v>
      </c>
      <c r="D5314" t="str">
        <f>HYPERLINK("http://service.sap.com/sap/support/notes/1628417","1628417")</f>
        <v>1628417</v>
      </c>
      <c r="E5314">
        <v>1</v>
      </c>
      <c r="F5314" t="s">
        <v>7970</v>
      </c>
    </row>
    <row r="5315" spans="1:6" x14ac:dyDescent="0.25">
      <c r="A5315" t="s">
        <v>8158</v>
      </c>
      <c r="B5315" t="s">
        <v>273</v>
      </c>
      <c r="C5315" t="s">
        <v>153</v>
      </c>
      <c r="D5315" t="str">
        <f>HYPERLINK("http://service.sap.com/sap/support/notes/1364875","1364875")</f>
        <v>1364875</v>
      </c>
      <c r="E5315">
        <v>4</v>
      </c>
      <c r="F5315" t="s">
        <v>7971</v>
      </c>
    </row>
    <row r="5316" spans="1:6" x14ac:dyDescent="0.25">
      <c r="A5316" t="s">
        <v>8158</v>
      </c>
      <c r="B5316" t="s">
        <v>273</v>
      </c>
      <c r="C5316" t="s">
        <v>153</v>
      </c>
      <c r="D5316" t="str">
        <f>HYPERLINK("http://service.sap.com/sap/support/notes/1585627","1585627")</f>
        <v>1585627</v>
      </c>
      <c r="E5316">
        <v>2</v>
      </c>
      <c r="F5316" t="s">
        <v>7972</v>
      </c>
    </row>
    <row r="5317" spans="1:6" x14ac:dyDescent="0.25">
      <c r="A5317" t="s">
        <v>8158</v>
      </c>
      <c r="B5317" t="s">
        <v>273</v>
      </c>
      <c r="C5317" t="s">
        <v>153</v>
      </c>
      <c r="D5317" t="str">
        <f>HYPERLINK("http://service.sap.com/sap/support/notes/1624434","1624434")</f>
        <v>1624434</v>
      </c>
      <c r="E5317">
        <v>3</v>
      </c>
      <c r="F5317" t="s">
        <v>7973</v>
      </c>
    </row>
    <row r="5318" spans="1:6" x14ac:dyDescent="0.25">
      <c r="A5318" t="s">
        <v>8158</v>
      </c>
      <c r="B5318" t="s">
        <v>273</v>
      </c>
      <c r="C5318" t="s">
        <v>153</v>
      </c>
      <c r="D5318" t="str">
        <f>HYPERLINK("http://service.sap.com/sap/support/notes/1625089","1625089")</f>
        <v>1625089</v>
      </c>
      <c r="E5318">
        <v>2</v>
      </c>
      <c r="F5318" t="s">
        <v>7974</v>
      </c>
    </row>
    <row r="5319" spans="1:6" x14ac:dyDescent="0.25">
      <c r="A5319" t="s">
        <v>8158</v>
      </c>
      <c r="B5319" t="s">
        <v>273</v>
      </c>
      <c r="C5319" t="s">
        <v>153</v>
      </c>
      <c r="D5319" t="str">
        <f>HYPERLINK("http://service.sap.com/sap/support/notes/1625845","1625845")</f>
        <v>1625845</v>
      </c>
      <c r="E5319">
        <v>1</v>
      </c>
      <c r="F5319" t="s">
        <v>7975</v>
      </c>
    </row>
    <row r="5320" spans="1:6" x14ac:dyDescent="0.25">
      <c r="A5320" t="s">
        <v>8158</v>
      </c>
      <c r="B5320" t="s">
        <v>273</v>
      </c>
      <c r="C5320" t="s">
        <v>153</v>
      </c>
      <c r="D5320" t="str">
        <f>HYPERLINK("http://service.sap.com/sap/support/notes/1626567","1626567")</f>
        <v>1626567</v>
      </c>
      <c r="E5320">
        <v>2</v>
      </c>
      <c r="F5320" t="s">
        <v>7976</v>
      </c>
    </row>
    <row r="5321" spans="1:6" x14ac:dyDescent="0.25">
      <c r="A5321" t="s">
        <v>8158</v>
      </c>
      <c r="B5321" t="s">
        <v>273</v>
      </c>
      <c r="C5321" t="s">
        <v>153</v>
      </c>
      <c r="D5321" t="str">
        <f>HYPERLINK("http://service.sap.com/sap/support/notes/1627920","1627920")</f>
        <v>1627920</v>
      </c>
      <c r="E5321">
        <v>1</v>
      </c>
      <c r="F5321" t="s">
        <v>7977</v>
      </c>
    </row>
    <row r="5322" spans="1:6" x14ac:dyDescent="0.25">
      <c r="A5322" t="s">
        <v>8158</v>
      </c>
      <c r="B5322" t="s">
        <v>273</v>
      </c>
      <c r="C5322" t="s">
        <v>153</v>
      </c>
      <c r="D5322" t="str">
        <f>HYPERLINK("http://service.sap.com/sap/support/notes/1629420","1629420")</f>
        <v>1629420</v>
      </c>
      <c r="E5322">
        <v>2</v>
      </c>
      <c r="F5322" t="s">
        <v>7978</v>
      </c>
    </row>
    <row r="5323" spans="1:6" x14ac:dyDescent="0.25">
      <c r="A5323" t="s">
        <v>8158</v>
      </c>
      <c r="B5323" t="s">
        <v>273</v>
      </c>
      <c r="C5323" t="s">
        <v>153</v>
      </c>
      <c r="D5323" t="str">
        <f>HYPERLINK("http://service.sap.com/sap/support/notes/1630073","1630073")</f>
        <v>1630073</v>
      </c>
      <c r="E5323">
        <v>2</v>
      </c>
      <c r="F5323" t="s">
        <v>7979</v>
      </c>
    </row>
    <row r="5324" spans="1:6" x14ac:dyDescent="0.25">
      <c r="A5324" t="s">
        <v>8158</v>
      </c>
      <c r="B5324" t="s">
        <v>273</v>
      </c>
      <c r="C5324" t="s">
        <v>153</v>
      </c>
      <c r="D5324" t="str">
        <f>HYPERLINK("http://service.sap.com/sap/support/notes/1633507","1633507")</f>
        <v>1633507</v>
      </c>
      <c r="E5324">
        <v>1</v>
      </c>
      <c r="F5324" t="s">
        <v>7980</v>
      </c>
    </row>
    <row r="5325" spans="1:6" x14ac:dyDescent="0.25">
      <c r="A5325" t="s">
        <v>8158</v>
      </c>
      <c r="B5325" t="s">
        <v>273</v>
      </c>
      <c r="C5325" t="s">
        <v>153</v>
      </c>
      <c r="D5325" t="str">
        <f>HYPERLINK("http://service.sap.com/sap/support/notes/1635063","1635063")</f>
        <v>1635063</v>
      </c>
      <c r="E5325">
        <v>2</v>
      </c>
      <c r="F5325" t="s">
        <v>7981</v>
      </c>
    </row>
    <row r="5326" spans="1:6" x14ac:dyDescent="0.25">
      <c r="A5326" t="s">
        <v>8158</v>
      </c>
      <c r="B5326" t="s">
        <v>284</v>
      </c>
      <c r="C5326" t="s">
        <v>285</v>
      </c>
      <c r="D5326" t="str">
        <f>HYPERLINK("http://service.sap.com/sap/support/notes/1612903","1612903")</f>
        <v>1612903</v>
      </c>
      <c r="E5326">
        <v>3</v>
      </c>
      <c r="F5326" t="s">
        <v>7982</v>
      </c>
    </row>
    <row r="5327" spans="1:6" x14ac:dyDescent="0.25">
      <c r="A5327" t="s">
        <v>8158</v>
      </c>
      <c r="B5327" t="s">
        <v>284</v>
      </c>
      <c r="C5327" t="s">
        <v>285</v>
      </c>
      <c r="D5327" t="str">
        <f>HYPERLINK("http://service.sap.com/sap/support/notes/1622288","1622288")</f>
        <v>1622288</v>
      </c>
      <c r="E5327">
        <v>2</v>
      </c>
      <c r="F5327" t="s">
        <v>7983</v>
      </c>
    </row>
    <row r="5328" spans="1:6" x14ac:dyDescent="0.25">
      <c r="A5328" t="s">
        <v>8158</v>
      </c>
      <c r="B5328" t="s">
        <v>284</v>
      </c>
      <c r="C5328" t="s">
        <v>285</v>
      </c>
      <c r="D5328" t="str">
        <f>HYPERLINK("http://service.sap.com/sap/support/notes/1622669","1622669")</f>
        <v>1622669</v>
      </c>
      <c r="E5328">
        <v>2</v>
      </c>
      <c r="F5328" t="s">
        <v>7984</v>
      </c>
    </row>
    <row r="5329" spans="1:6" x14ac:dyDescent="0.25">
      <c r="A5329" t="s">
        <v>8158</v>
      </c>
      <c r="B5329" t="s">
        <v>284</v>
      </c>
      <c r="C5329" t="s">
        <v>285</v>
      </c>
      <c r="D5329" t="str">
        <f>HYPERLINK("http://service.sap.com/sap/support/notes/1623289","1623289")</f>
        <v>1623289</v>
      </c>
      <c r="E5329">
        <v>2</v>
      </c>
      <c r="F5329" t="s">
        <v>7985</v>
      </c>
    </row>
    <row r="5330" spans="1:6" x14ac:dyDescent="0.25">
      <c r="A5330" t="s">
        <v>8158</v>
      </c>
      <c r="B5330" t="s">
        <v>284</v>
      </c>
      <c r="C5330" t="s">
        <v>285</v>
      </c>
      <c r="D5330" t="str">
        <f>HYPERLINK("http://service.sap.com/sap/support/notes/1624039","1624039")</f>
        <v>1624039</v>
      </c>
      <c r="E5330">
        <v>1</v>
      </c>
      <c r="F5330" t="s">
        <v>7986</v>
      </c>
    </row>
    <row r="5331" spans="1:6" x14ac:dyDescent="0.25">
      <c r="A5331" t="s">
        <v>8158</v>
      </c>
      <c r="B5331" t="s">
        <v>284</v>
      </c>
      <c r="C5331" t="s">
        <v>285</v>
      </c>
      <c r="D5331" t="str">
        <f>HYPERLINK("http://service.sap.com/sap/support/notes/1625290","1625290")</f>
        <v>1625290</v>
      </c>
      <c r="E5331">
        <v>1</v>
      </c>
      <c r="F5331" t="s">
        <v>7987</v>
      </c>
    </row>
    <row r="5332" spans="1:6" x14ac:dyDescent="0.25">
      <c r="A5332" t="s">
        <v>8158</v>
      </c>
      <c r="B5332" t="s">
        <v>284</v>
      </c>
      <c r="C5332" t="s">
        <v>285</v>
      </c>
      <c r="D5332" t="str">
        <f>HYPERLINK("http://service.sap.com/sap/support/notes/1627125","1627125")</f>
        <v>1627125</v>
      </c>
      <c r="E5332">
        <v>1</v>
      </c>
      <c r="F5332" t="s">
        <v>7988</v>
      </c>
    </row>
    <row r="5333" spans="1:6" x14ac:dyDescent="0.25">
      <c r="A5333" t="s">
        <v>8158</v>
      </c>
      <c r="B5333" t="s">
        <v>284</v>
      </c>
      <c r="C5333" t="s">
        <v>285</v>
      </c>
      <c r="D5333" t="str">
        <f>HYPERLINK("http://service.sap.com/sap/support/notes/1627442","1627442")</f>
        <v>1627442</v>
      </c>
      <c r="E5333">
        <v>1</v>
      </c>
      <c r="F5333" t="s">
        <v>7989</v>
      </c>
    </row>
    <row r="5334" spans="1:6" x14ac:dyDescent="0.25">
      <c r="A5334" t="s">
        <v>8158</v>
      </c>
      <c r="B5334" t="s">
        <v>293</v>
      </c>
      <c r="C5334" t="s">
        <v>294</v>
      </c>
      <c r="D5334" t="str">
        <f>HYPERLINK("http://service.sap.com/sap/support/notes/1627426","1627426")</f>
        <v>1627426</v>
      </c>
      <c r="E5334">
        <v>3</v>
      </c>
      <c r="F5334" t="s">
        <v>7990</v>
      </c>
    </row>
    <row r="5335" spans="1:6" x14ac:dyDescent="0.25">
      <c r="A5335" t="s">
        <v>8158</v>
      </c>
      <c r="B5335" t="s">
        <v>298</v>
      </c>
      <c r="C5335" t="s">
        <v>299</v>
      </c>
    </row>
    <row r="5336" spans="1:6" x14ac:dyDescent="0.25">
      <c r="A5336" t="s">
        <v>8158</v>
      </c>
      <c r="B5336" t="s">
        <v>1063</v>
      </c>
      <c r="C5336" t="s">
        <v>1565</v>
      </c>
      <c r="D5336" t="str">
        <f>HYPERLINK("http://service.sap.com/sap/support/notes/1613848","1613848")</f>
        <v>1613848</v>
      </c>
      <c r="E5336">
        <v>3</v>
      </c>
      <c r="F5336" t="s">
        <v>7991</v>
      </c>
    </row>
    <row r="5337" spans="1:6" x14ac:dyDescent="0.25">
      <c r="A5337" t="s">
        <v>8158</v>
      </c>
      <c r="B5337" t="s">
        <v>1063</v>
      </c>
      <c r="C5337" t="s">
        <v>1565</v>
      </c>
      <c r="D5337" t="str">
        <f>HYPERLINK("http://service.sap.com/sap/support/notes/1628130","1628130")</f>
        <v>1628130</v>
      </c>
      <c r="E5337">
        <v>1</v>
      </c>
      <c r="F5337" t="s">
        <v>7992</v>
      </c>
    </row>
    <row r="5338" spans="1:6" x14ac:dyDescent="0.25">
      <c r="A5338" t="s">
        <v>8158</v>
      </c>
      <c r="B5338" t="s">
        <v>1063</v>
      </c>
      <c r="C5338" t="s">
        <v>1565</v>
      </c>
      <c r="D5338" t="str">
        <f>HYPERLINK("http://service.sap.com/sap/support/notes/1631105","1631105")</f>
        <v>1631105</v>
      </c>
      <c r="E5338">
        <v>1</v>
      </c>
      <c r="F5338" t="s">
        <v>7993</v>
      </c>
    </row>
    <row r="5339" spans="1:6" x14ac:dyDescent="0.25">
      <c r="A5339" t="s">
        <v>8158</v>
      </c>
      <c r="B5339" t="s">
        <v>300</v>
      </c>
      <c r="C5339" t="s">
        <v>301</v>
      </c>
      <c r="D5339" t="str">
        <f>HYPERLINK("http://service.sap.com/sap/support/notes/1621953","1621953")</f>
        <v>1621953</v>
      </c>
      <c r="E5339">
        <v>2</v>
      </c>
      <c r="F5339" t="s">
        <v>7994</v>
      </c>
    </row>
    <row r="5340" spans="1:6" x14ac:dyDescent="0.25">
      <c r="A5340" t="s">
        <v>8158</v>
      </c>
      <c r="B5340" t="s">
        <v>300</v>
      </c>
      <c r="C5340" t="s">
        <v>301</v>
      </c>
      <c r="D5340" t="str">
        <f>HYPERLINK("http://service.sap.com/sap/support/notes/1632159","1632159")</f>
        <v>1632159</v>
      </c>
      <c r="E5340">
        <v>1</v>
      </c>
      <c r="F5340" t="s">
        <v>7995</v>
      </c>
    </row>
    <row r="5341" spans="1:6" x14ac:dyDescent="0.25">
      <c r="A5341" t="s">
        <v>8158</v>
      </c>
      <c r="B5341" t="s">
        <v>304</v>
      </c>
      <c r="C5341" t="s">
        <v>305</v>
      </c>
      <c r="D5341" t="str">
        <f>HYPERLINK("http://service.sap.com/sap/support/notes/1017716","1017716")</f>
        <v>1017716</v>
      </c>
      <c r="E5341">
        <v>1</v>
      </c>
      <c r="F5341" t="s">
        <v>1074</v>
      </c>
    </row>
    <row r="5342" spans="1:6" x14ac:dyDescent="0.25">
      <c r="A5342" t="s">
        <v>8158</v>
      </c>
      <c r="B5342" t="s">
        <v>304</v>
      </c>
      <c r="C5342" t="s">
        <v>305</v>
      </c>
      <c r="D5342" t="str">
        <f>HYPERLINK("http://service.sap.com/sap/support/notes/1568678","1568678")</f>
        <v>1568678</v>
      </c>
      <c r="E5342">
        <v>1</v>
      </c>
      <c r="F5342" t="s">
        <v>7996</v>
      </c>
    </row>
    <row r="5343" spans="1:6" x14ac:dyDescent="0.25">
      <c r="A5343" t="s">
        <v>8158</v>
      </c>
      <c r="B5343" t="s">
        <v>304</v>
      </c>
      <c r="C5343" t="s">
        <v>305</v>
      </c>
      <c r="D5343" t="str">
        <f>HYPERLINK("http://service.sap.com/sap/support/notes/1569031","1569031")</f>
        <v>1569031</v>
      </c>
      <c r="E5343">
        <v>1</v>
      </c>
      <c r="F5343" t="s">
        <v>7775</v>
      </c>
    </row>
    <row r="5344" spans="1:6" x14ac:dyDescent="0.25">
      <c r="A5344" t="s">
        <v>8158</v>
      </c>
      <c r="B5344" t="s">
        <v>304</v>
      </c>
      <c r="C5344" t="s">
        <v>305</v>
      </c>
      <c r="D5344" t="str">
        <f>HYPERLINK("http://service.sap.com/sap/support/notes/1595339","1595339")</f>
        <v>1595339</v>
      </c>
      <c r="E5344">
        <v>8</v>
      </c>
      <c r="F5344" t="s">
        <v>7997</v>
      </c>
    </row>
    <row r="5345" spans="1:6" x14ac:dyDescent="0.25">
      <c r="A5345" t="s">
        <v>8158</v>
      </c>
      <c r="B5345" t="s">
        <v>304</v>
      </c>
      <c r="C5345" t="s">
        <v>305</v>
      </c>
      <c r="D5345" t="str">
        <f>HYPERLINK("http://service.sap.com/sap/support/notes/1607474","1607474")</f>
        <v>1607474</v>
      </c>
      <c r="E5345">
        <v>12</v>
      </c>
      <c r="F5345" t="s">
        <v>7998</v>
      </c>
    </row>
    <row r="5346" spans="1:6" x14ac:dyDescent="0.25">
      <c r="A5346" t="s">
        <v>8158</v>
      </c>
      <c r="B5346" t="s">
        <v>304</v>
      </c>
      <c r="C5346" t="s">
        <v>305</v>
      </c>
      <c r="D5346" t="str">
        <f>HYPERLINK("http://service.sap.com/sap/support/notes/1609914","1609914")</f>
        <v>1609914</v>
      </c>
      <c r="E5346">
        <v>5</v>
      </c>
      <c r="F5346" t="s">
        <v>7999</v>
      </c>
    </row>
    <row r="5347" spans="1:6" x14ac:dyDescent="0.25">
      <c r="A5347" t="s">
        <v>8158</v>
      </c>
      <c r="B5347" t="s">
        <v>304</v>
      </c>
      <c r="C5347" t="s">
        <v>305</v>
      </c>
      <c r="D5347" t="str">
        <f>HYPERLINK("http://service.sap.com/sap/support/notes/1610566","1610566")</f>
        <v>1610566</v>
      </c>
      <c r="E5347">
        <v>1</v>
      </c>
      <c r="F5347" t="s">
        <v>8000</v>
      </c>
    </row>
    <row r="5348" spans="1:6" x14ac:dyDescent="0.25">
      <c r="A5348" t="s">
        <v>8158</v>
      </c>
      <c r="B5348" t="s">
        <v>304</v>
      </c>
      <c r="C5348" t="s">
        <v>305</v>
      </c>
      <c r="D5348" t="str">
        <f>HYPERLINK("http://service.sap.com/sap/support/notes/1611952","1611952")</f>
        <v>1611952</v>
      </c>
      <c r="E5348">
        <v>3</v>
      </c>
      <c r="F5348" t="s">
        <v>8001</v>
      </c>
    </row>
    <row r="5349" spans="1:6" x14ac:dyDescent="0.25">
      <c r="A5349" t="s">
        <v>8158</v>
      </c>
      <c r="B5349" t="s">
        <v>304</v>
      </c>
      <c r="C5349" t="s">
        <v>305</v>
      </c>
      <c r="D5349" t="str">
        <f>HYPERLINK("http://service.sap.com/sap/support/notes/1612558","1612558")</f>
        <v>1612558</v>
      </c>
      <c r="E5349">
        <v>2</v>
      </c>
      <c r="F5349" t="s">
        <v>8002</v>
      </c>
    </row>
    <row r="5350" spans="1:6" x14ac:dyDescent="0.25">
      <c r="A5350" t="s">
        <v>8158</v>
      </c>
      <c r="B5350" t="s">
        <v>304</v>
      </c>
      <c r="C5350" t="s">
        <v>305</v>
      </c>
      <c r="D5350" t="str">
        <f>HYPERLINK("http://service.sap.com/sap/support/notes/1616355","1616355")</f>
        <v>1616355</v>
      </c>
      <c r="E5350">
        <v>4</v>
      </c>
      <c r="F5350" t="s">
        <v>8003</v>
      </c>
    </row>
    <row r="5351" spans="1:6" x14ac:dyDescent="0.25">
      <c r="A5351" t="s">
        <v>8158</v>
      </c>
      <c r="B5351" t="s">
        <v>304</v>
      </c>
      <c r="C5351" t="s">
        <v>305</v>
      </c>
      <c r="D5351" t="str">
        <f>HYPERLINK("http://service.sap.com/sap/support/notes/1616444","1616444")</f>
        <v>1616444</v>
      </c>
      <c r="E5351">
        <v>2</v>
      </c>
      <c r="F5351" t="s">
        <v>8004</v>
      </c>
    </row>
    <row r="5352" spans="1:6" x14ac:dyDescent="0.25">
      <c r="A5352" t="s">
        <v>8158</v>
      </c>
      <c r="B5352" t="s">
        <v>304</v>
      </c>
      <c r="C5352" t="s">
        <v>305</v>
      </c>
      <c r="D5352" t="str">
        <f>HYPERLINK("http://service.sap.com/sap/support/notes/1616801","1616801")</f>
        <v>1616801</v>
      </c>
      <c r="E5352">
        <v>3</v>
      </c>
      <c r="F5352" t="s">
        <v>8005</v>
      </c>
    </row>
    <row r="5353" spans="1:6" x14ac:dyDescent="0.25">
      <c r="A5353" t="s">
        <v>8158</v>
      </c>
      <c r="B5353" t="s">
        <v>304</v>
      </c>
      <c r="C5353" t="s">
        <v>305</v>
      </c>
      <c r="D5353" t="str">
        <f>HYPERLINK("http://service.sap.com/sap/support/notes/1618249","1618249")</f>
        <v>1618249</v>
      </c>
      <c r="E5353">
        <v>2</v>
      </c>
      <c r="F5353" t="s">
        <v>8006</v>
      </c>
    </row>
    <row r="5354" spans="1:6" x14ac:dyDescent="0.25">
      <c r="A5354" t="s">
        <v>8158</v>
      </c>
      <c r="B5354" t="s">
        <v>304</v>
      </c>
      <c r="C5354" t="s">
        <v>305</v>
      </c>
      <c r="D5354" t="str">
        <f>HYPERLINK("http://service.sap.com/sap/support/notes/1619359","1619359")</f>
        <v>1619359</v>
      </c>
      <c r="E5354">
        <v>3</v>
      </c>
      <c r="F5354" t="s">
        <v>8007</v>
      </c>
    </row>
    <row r="5355" spans="1:6" x14ac:dyDescent="0.25">
      <c r="A5355" t="s">
        <v>8158</v>
      </c>
      <c r="B5355" t="s">
        <v>304</v>
      </c>
      <c r="C5355" t="s">
        <v>305</v>
      </c>
      <c r="D5355" t="str">
        <f>HYPERLINK("http://service.sap.com/sap/support/notes/1620308","1620308")</f>
        <v>1620308</v>
      </c>
      <c r="E5355">
        <v>3</v>
      </c>
      <c r="F5355" t="s">
        <v>8008</v>
      </c>
    </row>
    <row r="5356" spans="1:6" x14ac:dyDescent="0.25">
      <c r="A5356" t="s">
        <v>8158</v>
      </c>
      <c r="B5356" t="s">
        <v>304</v>
      </c>
      <c r="C5356" t="s">
        <v>305</v>
      </c>
      <c r="D5356" t="str">
        <f>HYPERLINK("http://service.sap.com/sap/support/notes/1620762","1620762")</f>
        <v>1620762</v>
      </c>
      <c r="E5356">
        <v>1</v>
      </c>
      <c r="F5356" t="s">
        <v>8009</v>
      </c>
    </row>
    <row r="5357" spans="1:6" x14ac:dyDescent="0.25">
      <c r="A5357" t="s">
        <v>8158</v>
      </c>
      <c r="B5357" t="s">
        <v>304</v>
      </c>
      <c r="C5357" t="s">
        <v>305</v>
      </c>
      <c r="D5357" t="str">
        <f>HYPERLINK("http://service.sap.com/sap/support/notes/1621056","1621056")</f>
        <v>1621056</v>
      </c>
      <c r="E5357">
        <v>1</v>
      </c>
      <c r="F5357" t="s">
        <v>8010</v>
      </c>
    </row>
    <row r="5358" spans="1:6" x14ac:dyDescent="0.25">
      <c r="A5358" t="s">
        <v>8158</v>
      </c>
      <c r="B5358" t="s">
        <v>304</v>
      </c>
      <c r="C5358" t="s">
        <v>305</v>
      </c>
      <c r="D5358" t="str">
        <f>HYPERLINK("http://service.sap.com/sap/support/notes/1623314","1623314")</f>
        <v>1623314</v>
      </c>
      <c r="E5358">
        <v>5</v>
      </c>
      <c r="F5358" t="s">
        <v>8011</v>
      </c>
    </row>
    <row r="5359" spans="1:6" x14ac:dyDescent="0.25">
      <c r="A5359" t="s">
        <v>8158</v>
      </c>
      <c r="B5359" t="s">
        <v>304</v>
      </c>
      <c r="C5359" t="s">
        <v>305</v>
      </c>
      <c r="D5359" t="str">
        <f>HYPERLINK("http://service.sap.com/sap/support/notes/1624409","1624409")</f>
        <v>1624409</v>
      </c>
      <c r="E5359">
        <v>4</v>
      </c>
      <c r="F5359" t="s">
        <v>8012</v>
      </c>
    </row>
    <row r="5360" spans="1:6" x14ac:dyDescent="0.25">
      <c r="A5360" t="s">
        <v>8158</v>
      </c>
      <c r="B5360" t="s">
        <v>304</v>
      </c>
      <c r="C5360" t="s">
        <v>305</v>
      </c>
      <c r="D5360" t="str">
        <f>HYPERLINK("http://service.sap.com/sap/support/notes/1624940","1624940")</f>
        <v>1624940</v>
      </c>
      <c r="E5360">
        <v>2</v>
      </c>
      <c r="F5360" t="s">
        <v>8013</v>
      </c>
    </row>
    <row r="5361" spans="1:6" x14ac:dyDescent="0.25">
      <c r="A5361" t="s">
        <v>8158</v>
      </c>
      <c r="B5361" t="s">
        <v>304</v>
      </c>
      <c r="C5361" t="s">
        <v>305</v>
      </c>
      <c r="D5361" t="str">
        <f>HYPERLINK("http://service.sap.com/sap/support/notes/1624956","1624956")</f>
        <v>1624956</v>
      </c>
      <c r="E5361">
        <v>4</v>
      </c>
      <c r="F5361" t="s">
        <v>8014</v>
      </c>
    </row>
    <row r="5362" spans="1:6" x14ac:dyDescent="0.25">
      <c r="A5362" t="s">
        <v>8158</v>
      </c>
      <c r="B5362" t="s">
        <v>304</v>
      </c>
      <c r="C5362" t="s">
        <v>305</v>
      </c>
      <c r="D5362" t="str">
        <f>HYPERLINK("http://service.sap.com/sap/support/notes/1625447","1625447")</f>
        <v>1625447</v>
      </c>
      <c r="E5362">
        <v>2</v>
      </c>
      <c r="F5362" t="s">
        <v>8015</v>
      </c>
    </row>
    <row r="5363" spans="1:6" x14ac:dyDescent="0.25">
      <c r="A5363" t="s">
        <v>8158</v>
      </c>
      <c r="B5363" t="s">
        <v>304</v>
      </c>
      <c r="C5363" t="s">
        <v>305</v>
      </c>
      <c r="D5363" t="str">
        <f>HYPERLINK("http://service.sap.com/sap/support/notes/1625877","1625877")</f>
        <v>1625877</v>
      </c>
      <c r="E5363">
        <v>3</v>
      </c>
      <c r="F5363" t="s">
        <v>8016</v>
      </c>
    </row>
    <row r="5364" spans="1:6" x14ac:dyDescent="0.25">
      <c r="A5364" t="s">
        <v>8158</v>
      </c>
      <c r="B5364" t="s">
        <v>304</v>
      </c>
      <c r="C5364" t="s">
        <v>305</v>
      </c>
      <c r="D5364" t="str">
        <f>HYPERLINK("http://service.sap.com/sap/support/notes/1626887","1626887")</f>
        <v>1626887</v>
      </c>
      <c r="E5364">
        <v>1</v>
      </c>
      <c r="F5364" t="s">
        <v>8017</v>
      </c>
    </row>
    <row r="5365" spans="1:6" x14ac:dyDescent="0.25">
      <c r="A5365" t="s">
        <v>8158</v>
      </c>
      <c r="B5365" t="s">
        <v>304</v>
      </c>
      <c r="C5365" t="s">
        <v>305</v>
      </c>
      <c r="D5365" t="str">
        <f>HYPERLINK("http://service.sap.com/sap/support/notes/1630706","1630706")</f>
        <v>1630706</v>
      </c>
      <c r="E5365">
        <v>2</v>
      </c>
      <c r="F5365" t="s">
        <v>8018</v>
      </c>
    </row>
    <row r="5366" spans="1:6" x14ac:dyDescent="0.25">
      <c r="A5366" t="s">
        <v>8158</v>
      </c>
      <c r="B5366" t="s">
        <v>304</v>
      </c>
      <c r="C5366" t="s">
        <v>305</v>
      </c>
      <c r="D5366" t="str">
        <f>HYPERLINK("http://service.sap.com/sap/support/notes/1632211","1632211")</f>
        <v>1632211</v>
      </c>
      <c r="E5366">
        <v>1</v>
      </c>
      <c r="F5366" t="s">
        <v>8019</v>
      </c>
    </row>
    <row r="5367" spans="1:6" x14ac:dyDescent="0.25">
      <c r="A5367" t="s">
        <v>8158</v>
      </c>
      <c r="B5367" t="s">
        <v>304</v>
      </c>
      <c r="C5367" t="s">
        <v>305</v>
      </c>
      <c r="D5367" t="str">
        <f>HYPERLINK("http://service.sap.com/sap/support/notes/1634720","1634720")</f>
        <v>1634720</v>
      </c>
      <c r="E5367">
        <v>1</v>
      </c>
      <c r="F5367" t="s">
        <v>8020</v>
      </c>
    </row>
    <row r="5368" spans="1:6" x14ac:dyDescent="0.25">
      <c r="A5368" t="s">
        <v>8158</v>
      </c>
      <c r="B5368" t="s">
        <v>304</v>
      </c>
      <c r="C5368" t="s">
        <v>305</v>
      </c>
      <c r="D5368" t="str">
        <f>HYPERLINK("http://service.sap.com/sap/support/notes/1634841","1634841")</f>
        <v>1634841</v>
      </c>
      <c r="E5368">
        <v>1</v>
      </c>
      <c r="F5368" t="s">
        <v>8021</v>
      </c>
    </row>
    <row r="5369" spans="1:6" x14ac:dyDescent="0.25">
      <c r="A5369" t="s">
        <v>8158</v>
      </c>
      <c r="B5369" t="s">
        <v>304</v>
      </c>
      <c r="C5369" t="s">
        <v>305</v>
      </c>
      <c r="D5369" t="str">
        <f>HYPERLINK("http://service.sap.com/sap/support/notes/1635384","1635384")</f>
        <v>1635384</v>
      </c>
      <c r="E5369">
        <v>1</v>
      </c>
      <c r="F5369" t="s">
        <v>8022</v>
      </c>
    </row>
    <row r="5370" spans="1:6" x14ac:dyDescent="0.25">
      <c r="A5370" t="s">
        <v>8158</v>
      </c>
      <c r="B5370" t="s">
        <v>324</v>
      </c>
      <c r="C5370" t="s">
        <v>55</v>
      </c>
      <c r="D5370" t="str">
        <f>HYPERLINK("http://service.sap.com/sap/support/notes/1581093","1581093")</f>
        <v>1581093</v>
      </c>
      <c r="E5370">
        <v>5</v>
      </c>
      <c r="F5370" t="s">
        <v>8023</v>
      </c>
    </row>
    <row r="5371" spans="1:6" x14ac:dyDescent="0.25">
      <c r="A5371" t="s">
        <v>8158</v>
      </c>
      <c r="B5371" t="s">
        <v>324</v>
      </c>
      <c r="C5371" t="s">
        <v>55</v>
      </c>
      <c r="D5371" t="str">
        <f>HYPERLINK("http://service.sap.com/sap/support/notes/1629103","1629103")</f>
        <v>1629103</v>
      </c>
      <c r="E5371">
        <v>1</v>
      </c>
      <c r="F5371" t="s">
        <v>8024</v>
      </c>
    </row>
    <row r="5372" spans="1:6" x14ac:dyDescent="0.25">
      <c r="A5372" t="s">
        <v>8158</v>
      </c>
      <c r="B5372" t="s">
        <v>324</v>
      </c>
      <c r="C5372" t="s">
        <v>55</v>
      </c>
      <c r="D5372" t="str">
        <f>HYPERLINK("http://service.sap.com/sap/support/notes/1632403","1632403")</f>
        <v>1632403</v>
      </c>
      <c r="E5372">
        <v>1</v>
      </c>
      <c r="F5372" t="s">
        <v>8025</v>
      </c>
    </row>
    <row r="5373" spans="1:6" x14ac:dyDescent="0.25">
      <c r="A5373" t="s">
        <v>8158</v>
      </c>
      <c r="B5373" t="s">
        <v>328</v>
      </c>
      <c r="C5373" t="s">
        <v>58</v>
      </c>
      <c r="D5373" t="str">
        <f>HYPERLINK("http://service.sap.com/sap/support/notes/1597214","1597214")</f>
        <v>1597214</v>
      </c>
      <c r="E5373">
        <v>1</v>
      </c>
      <c r="F5373" t="s">
        <v>5017</v>
      </c>
    </row>
    <row r="5374" spans="1:6" x14ac:dyDescent="0.25">
      <c r="A5374" t="s">
        <v>8158</v>
      </c>
      <c r="B5374" t="s">
        <v>328</v>
      </c>
      <c r="C5374" t="s">
        <v>58</v>
      </c>
      <c r="D5374" t="str">
        <f>HYPERLINK("http://service.sap.com/sap/support/notes/1619761","1619761")</f>
        <v>1619761</v>
      </c>
      <c r="E5374">
        <v>2</v>
      </c>
      <c r="F5374" t="s">
        <v>8026</v>
      </c>
    </row>
    <row r="5375" spans="1:6" x14ac:dyDescent="0.25">
      <c r="A5375" t="s">
        <v>8158</v>
      </c>
      <c r="B5375" t="s">
        <v>328</v>
      </c>
      <c r="C5375" t="s">
        <v>58</v>
      </c>
      <c r="D5375" t="str">
        <f>HYPERLINK("http://service.sap.com/sap/support/notes/1625818","1625818")</f>
        <v>1625818</v>
      </c>
      <c r="E5375">
        <v>1</v>
      </c>
      <c r="F5375" t="s">
        <v>8027</v>
      </c>
    </row>
    <row r="5376" spans="1:6" x14ac:dyDescent="0.25">
      <c r="A5376" t="s">
        <v>8158</v>
      </c>
      <c r="B5376" t="s">
        <v>328</v>
      </c>
      <c r="C5376" t="s">
        <v>58</v>
      </c>
      <c r="D5376" t="str">
        <f>HYPERLINK("http://service.sap.com/sap/support/notes/1625898","1625898")</f>
        <v>1625898</v>
      </c>
      <c r="E5376">
        <v>2</v>
      </c>
      <c r="F5376" t="s">
        <v>8028</v>
      </c>
    </row>
    <row r="5377" spans="1:6" x14ac:dyDescent="0.25">
      <c r="A5377" t="s">
        <v>8158</v>
      </c>
      <c r="B5377" t="s">
        <v>328</v>
      </c>
      <c r="C5377" t="s">
        <v>58</v>
      </c>
      <c r="D5377" t="str">
        <f>HYPERLINK("http://service.sap.com/sap/support/notes/1626337","1626337")</f>
        <v>1626337</v>
      </c>
      <c r="E5377">
        <v>4</v>
      </c>
      <c r="F5377" t="s">
        <v>8029</v>
      </c>
    </row>
    <row r="5378" spans="1:6" x14ac:dyDescent="0.25">
      <c r="A5378" t="s">
        <v>8158</v>
      </c>
      <c r="B5378" t="s">
        <v>328</v>
      </c>
      <c r="C5378" t="s">
        <v>58</v>
      </c>
      <c r="D5378" t="str">
        <f>HYPERLINK("http://service.sap.com/sap/support/notes/1630042","1630042")</f>
        <v>1630042</v>
      </c>
      <c r="E5378">
        <v>2</v>
      </c>
      <c r="F5378" t="s">
        <v>8030</v>
      </c>
    </row>
    <row r="5379" spans="1:6" x14ac:dyDescent="0.25">
      <c r="A5379" t="s">
        <v>8158</v>
      </c>
      <c r="B5379" t="s">
        <v>328</v>
      </c>
      <c r="C5379" t="s">
        <v>58</v>
      </c>
      <c r="D5379" t="str">
        <f>HYPERLINK("http://service.sap.com/sap/support/notes/1630665","1630665")</f>
        <v>1630665</v>
      </c>
      <c r="E5379">
        <v>1</v>
      </c>
      <c r="F5379" t="s">
        <v>8031</v>
      </c>
    </row>
    <row r="5380" spans="1:6" x14ac:dyDescent="0.25">
      <c r="A5380" t="s">
        <v>8158</v>
      </c>
      <c r="B5380" t="s">
        <v>328</v>
      </c>
      <c r="C5380" t="s">
        <v>58</v>
      </c>
      <c r="D5380" t="str">
        <f>HYPERLINK("http://service.sap.com/sap/support/notes/1633420","1633420")</f>
        <v>1633420</v>
      </c>
      <c r="E5380">
        <v>1</v>
      </c>
      <c r="F5380" t="s">
        <v>8032</v>
      </c>
    </row>
    <row r="5381" spans="1:6" x14ac:dyDescent="0.25">
      <c r="A5381" t="s">
        <v>8158</v>
      </c>
      <c r="B5381" t="s">
        <v>2415</v>
      </c>
      <c r="C5381" t="s">
        <v>153</v>
      </c>
      <c r="D5381" t="str">
        <f>HYPERLINK("http://service.sap.com/sap/support/notes/1625215","1625215")</f>
        <v>1625215</v>
      </c>
      <c r="E5381">
        <v>1</v>
      </c>
      <c r="F5381" t="s">
        <v>8033</v>
      </c>
    </row>
    <row r="5382" spans="1:6" x14ac:dyDescent="0.25">
      <c r="A5382" t="s">
        <v>8158</v>
      </c>
      <c r="B5382" t="s">
        <v>343</v>
      </c>
      <c r="C5382" t="s">
        <v>344</v>
      </c>
    </row>
    <row r="5383" spans="1:6" x14ac:dyDescent="0.25">
      <c r="A5383" t="s">
        <v>8158</v>
      </c>
      <c r="B5383" t="s">
        <v>2021</v>
      </c>
      <c r="C5383" t="s">
        <v>1010</v>
      </c>
    </row>
    <row r="5384" spans="1:6" x14ac:dyDescent="0.25">
      <c r="A5384" t="s">
        <v>8158</v>
      </c>
      <c r="B5384" t="s">
        <v>2022</v>
      </c>
      <c r="C5384" t="s">
        <v>2023</v>
      </c>
      <c r="D5384" t="str">
        <f>HYPERLINK("http://service.sap.com/sap/support/notes/1616015","1616015")</f>
        <v>1616015</v>
      </c>
      <c r="E5384">
        <v>2</v>
      </c>
      <c r="F5384" t="s">
        <v>8034</v>
      </c>
    </row>
    <row r="5385" spans="1:6" x14ac:dyDescent="0.25">
      <c r="A5385" t="s">
        <v>8158</v>
      </c>
      <c r="B5385" t="s">
        <v>2022</v>
      </c>
      <c r="C5385" t="s">
        <v>2023</v>
      </c>
      <c r="D5385" t="str">
        <f>HYPERLINK("http://service.sap.com/sap/support/notes/1625431","1625431")</f>
        <v>1625431</v>
      </c>
      <c r="E5385">
        <v>1</v>
      </c>
      <c r="F5385" t="s">
        <v>8035</v>
      </c>
    </row>
    <row r="5386" spans="1:6" x14ac:dyDescent="0.25">
      <c r="A5386" t="s">
        <v>8158</v>
      </c>
      <c r="B5386" t="s">
        <v>2022</v>
      </c>
      <c r="C5386" t="s">
        <v>2023</v>
      </c>
      <c r="D5386" t="str">
        <f>HYPERLINK("http://service.sap.com/sap/support/notes/1628852","1628852")</f>
        <v>1628852</v>
      </c>
      <c r="E5386">
        <v>1</v>
      </c>
      <c r="F5386" t="s">
        <v>8036</v>
      </c>
    </row>
    <row r="5387" spans="1:6" x14ac:dyDescent="0.25">
      <c r="A5387" t="s">
        <v>8158</v>
      </c>
      <c r="B5387" t="s">
        <v>1121</v>
      </c>
      <c r="C5387" t="s">
        <v>251</v>
      </c>
    </row>
    <row r="5388" spans="1:6" x14ac:dyDescent="0.25">
      <c r="A5388" t="s">
        <v>8158</v>
      </c>
      <c r="B5388" t="s">
        <v>3781</v>
      </c>
      <c r="C5388" t="s">
        <v>3782</v>
      </c>
      <c r="D5388" t="str">
        <f>HYPERLINK("http://service.sap.com/sap/support/notes/1626288","1626288")</f>
        <v>1626288</v>
      </c>
      <c r="E5388">
        <v>3</v>
      </c>
      <c r="F5388" t="s">
        <v>8037</v>
      </c>
    </row>
    <row r="5389" spans="1:6" x14ac:dyDescent="0.25">
      <c r="A5389" t="s">
        <v>8158</v>
      </c>
      <c r="B5389" t="s">
        <v>347</v>
      </c>
      <c r="C5389" t="s">
        <v>153</v>
      </c>
      <c r="D5389" t="str">
        <f>HYPERLINK("http://service.sap.com/sap/support/notes/1585922","1585922")</f>
        <v>1585922</v>
      </c>
      <c r="E5389">
        <v>4</v>
      </c>
      <c r="F5389" t="s">
        <v>8038</v>
      </c>
    </row>
    <row r="5390" spans="1:6" x14ac:dyDescent="0.25">
      <c r="A5390" t="s">
        <v>8158</v>
      </c>
      <c r="B5390" t="s">
        <v>347</v>
      </c>
      <c r="C5390" t="s">
        <v>153</v>
      </c>
      <c r="D5390" t="str">
        <f>HYPERLINK("http://service.sap.com/sap/support/notes/1631521","1631521")</f>
        <v>1631521</v>
      </c>
      <c r="E5390">
        <v>1</v>
      </c>
      <c r="F5390" t="s">
        <v>8039</v>
      </c>
    </row>
    <row r="5391" spans="1:6" x14ac:dyDescent="0.25">
      <c r="A5391" t="s">
        <v>8158</v>
      </c>
      <c r="B5391" t="s">
        <v>353</v>
      </c>
      <c r="C5391" t="s">
        <v>354</v>
      </c>
      <c r="D5391" t="str">
        <f>HYPERLINK("http://service.sap.com/sap/support/notes/1628544","1628544")</f>
        <v>1628544</v>
      </c>
      <c r="E5391">
        <v>1</v>
      </c>
      <c r="F5391" t="s">
        <v>8040</v>
      </c>
    </row>
    <row r="5392" spans="1:6" x14ac:dyDescent="0.25">
      <c r="A5392" t="s">
        <v>8158</v>
      </c>
      <c r="B5392" t="s">
        <v>353</v>
      </c>
      <c r="C5392" t="s">
        <v>354</v>
      </c>
      <c r="D5392" t="str">
        <f>HYPERLINK("http://service.sap.com/sap/support/notes/1629365","1629365")</f>
        <v>1629365</v>
      </c>
      <c r="E5392">
        <v>1</v>
      </c>
      <c r="F5392" t="s">
        <v>8041</v>
      </c>
    </row>
    <row r="5393" spans="1:6" x14ac:dyDescent="0.25">
      <c r="A5393" t="s">
        <v>8158</v>
      </c>
      <c r="B5393" t="s">
        <v>356</v>
      </c>
      <c r="C5393" t="s">
        <v>71</v>
      </c>
      <c r="D5393" t="str">
        <f>HYPERLINK("http://service.sap.com/sap/support/notes/1632355","1632355")</f>
        <v>1632355</v>
      </c>
      <c r="E5393">
        <v>1</v>
      </c>
      <c r="F5393" t="s">
        <v>8042</v>
      </c>
    </row>
    <row r="5394" spans="1:6" x14ac:dyDescent="0.25">
      <c r="A5394" t="s">
        <v>8158</v>
      </c>
      <c r="B5394" t="s">
        <v>358</v>
      </c>
      <c r="C5394" t="s">
        <v>359</v>
      </c>
      <c r="D5394" t="str">
        <f>HYPERLINK("http://service.sap.com/sap/support/notes/1620031","1620031")</f>
        <v>1620031</v>
      </c>
      <c r="E5394">
        <v>1</v>
      </c>
      <c r="F5394" t="s">
        <v>8043</v>
      </c>
    </row>
    <row r="5395" spans="1:6" x14ac:dyDescent="0.25">
      <c r="A5395" t="s">
        <v>8158</v>
      </c>
      <c r="B5395" t="s">
        <v>358</v>
      </c>
      <c r="C5395" t="s">
        <v>359</v>
      </c>
      <c r="D5395" t="str">
        <f>HYPERLINK("http://service.sap.com/sap/support/notes/1629508","1629508")</f>
        <v>1629508</v>
      </c>
      <c r="E5395">
        <v>1</v>
      </c>
      <c r="F5395" t="s">
        <v>8044</v>
      </c>
    </row>
    <row r="5396" spans="1:6" x14ac:dyDescent="0.25">
      <c r="A5396" t="s">
        <v>8158</v>
      </c>
      <c r="B5396" t="s">
        <v>358</v>
      </c>
      <c r="C5396" t="s">
        <v>359</v>
      </c>
      <c r="D5396" t="str">
        <f>HYPERLINK("http://service.sap.com/sap/support/notes/1630321","1630321")</f>
        <v>1630321</v>
      </c>
      <c r="E5396">
        <v>1</v>
      </c>
      <c r="F5396" t="s">
        <v>8045</v>
      </c>
    </row>
    <row r="5397" spans="1:6" x14ac:dyDescent="0.25">
      <c r="A5397" t="s">
        <v>8158</v>
      </c>
      <c r="B5397" t="s">
        <v>363</v>
      </c>
      <c r="C5397" t="s">
        <v>74</v>
      </c>
      <c r="D5397" t="str">
        <f>HYPERLINK("http://service.sap.com/sap/support/notes/1614681","1614681")</f>
        <v>1614681</v>
      </c>
      <c r="E5397">
        <v>2</v>
      </c>
      <c r="F5397" t="s">
        <v>8046</v>
      </c>
    </row>
    <row r="5398" spans="1:6" x14ac:dyDescent="0.25">
      <c r="A5398" t="s">
        <v>8158</v>
      </c>
      <c r="B5398" t="s">
        <v>363</v>
      </c>
      <c r="C5398" t="s">
        <v>74</v>
      </c>
      <c r="D5398" t="str">
        <f>HYPERLINK("http://service.sap.com/sap/support/notes/1615184","1615184")</f>
        <v>1615184</v>
      </c>
      <c r="E5398">
        <v>2</v>
      </c>
      <c r="F5398" t="s">
        <v>8047</v>
      </c>
    </row>
    <row r="5399" spans="1:6" x14ac:dyDescent="0.25">
      <c r="A5399" t="s">
        <v>8158</v>
      </c>
      <c r="B5399" t="s">
        <v>363</v>
      </c>
      <c r="C5399" t="s">
        <v>74</v>
      </c>
      <c r="D5399" t="str">
        <f>HYPERLINK("http://service.sap.com/sap/support/notes/1615227","1615227")</f>
        <v>1615227</v>
      </c>
      <c r="E5399">
        <v>2</v>
      </c>
      <c r="F5399" t="s">
        <v>8048</v>
      </c>
    </row>
    <row r="5400" spans="1:6" x14ac:dyDescent="0.25">
      <c r="A5400" t="s">
        <v>8158</v>
      </c>
      <c r="B5400" t="s">
        <v>363</v>
      </c>
      <c r="C5400" t="s">
        <v>74</v>
      </c>
      <c r="D5400" t="str">
        <f>HYPERLINK("http://service.sap.com/sap/support/notes/1619426","1619426")</f>
        <v>1619426</v>
      </c>
      <c r="E5400">
        <v>2</v>
      </c>
      <c r="F5400" t="s">
        <v>8049</v>
      </c>
    </row>
    <row r="5401" spans="1:6" x14ac:dyDescent="0.25">
      <c r="A5401" t="s">
        <v>8158</v>
      </c>
      <c r="B5401" t="s">
        <v>363</v>
      </c>
      <c r="C5401" t="s">
        <v>74</v>
      </c>
      <c r="D5401" t="str">
        <f>HYPERLINK("http://service.sap.com/sap/support/notes/1621781","1621781")</f>
        <v>1621781</v>
      </c>
      <c r="E5401">
        <v>1</v>
      </c>
      <c r="F5401" t="s">
        <v>8050</v>
      </c>
    </row>
    <row r="5402" spans="1:6" x14ac:dyDescent="0.25">
      <c r="A5402" t="s">
        <v>8158</v>
      </c>
      <c r="B5402" t="s">
        <v>363</v>
      </c>
      <c r="C5402" t="s">
        <v>74</v>
      </c>
      <c r="D5402" t="str">
        <f>HYPERLINK("http://service.sap.com/sap/support/notes/1628342","1628342")</f>
        <v>1628342</v>
      </c>
      <c r="E5402">
        <v>5</v>
      </c>
      <c r="F5402" t="s">
        <v>8051</v>
      </c>
    </row>
    <row r="5403" spans="1:6" x14ac:dyDescent="0.25">
      <c r="A5403" t="s">
        <v>8158</v>
      </c>
      <c r="B5403" t="s">
        <v>363</v>
      </c>
      <c r="C5403" t="s">
        <v>74</v>
      </c>
      <c r="D5403" t="str">
        <f>HYPERLINK("http://service.sap.com/sap/support/notes/1629377","1629377")</f>
        <v>1629377</v>
      </c>
      <c r="E5403">
        <v>3</v>
      </c>
      <c r="F5403" t="s">
        <v>8052</v>
      </c>
    </row>
    <row r="5404" spans="1:6" x14ac:dyDescent="0.25">
      <c r="A5404" t="s">
        <v>8158</v>
      </c>
      <c r="B5404" t="s">
        <v>363</v>
      </c>
      <c r="C5404" t="s">
        <v>74</v>
      </c>
      <c r="D5404" t="str">
        <f>HYPERLINK("http://service.sap.com/sap/support/notes/1631358","1631358")</f>
        <v>1631358</v>
      </c>
      <c r="E5404">
        <v>1</v>
      </c>
      <c r="F5404" t="s">
        <v>8053</v>
      </c>
    </row>
    <row r="5405" spans="1:6" x14ac:dyDescent="0.25">
      <c r="A5405" t="s">
        <v>8158</v>
      </c>
      <c r="B5405" t="s">
        <v>363</v>
      </c>
      <c r="C5405" t="s">
        <v>74</v>
      </c>
      <c r="D5405" t="str">
        <f>HYPERLINK("http://service.sap.com/sap/support/notes/1632913","1632913")</f>
        <v>1632913</v>
      </c>
      <c r="E5405">
        <v>1</v>
      </c>
      <c r="F5405" t="s">
        <v>8054</v>
      </c>
    </row>
    <row r="5406" spans="1:6" x14ac:dyDescent="0.25">
      <c r="A5406" t="s">
        <v>8158</v>
      </c>
      <c r="B5406" t="s">
        <v>374</v>
      </c>
      <c r="C5406" t="s">
        <v>77</v>
      </c>
      <c r="D5406" t="str">
        <f>HYPERLINK("http://service.sap.com/sap/support/notes/1609767","1609767")</f>
        <v>1609767</v>
      </c>
      <c r="E5406">
        <v>1</v>
      </c>
      <c r="F5406" t="s">
        <v>8055</v>
      </c>
    </row>
    <row r="5407" spans="1:6" x14ac:dyDescent="0.25">
      <c r="A5407" t="s">
        <v>8158</v>
      </c>
      <c r="B5407" t="s">
        <v>374</v>
      </c>
      <c r="C5407" t="s">
        <v>77</v>
      </c>
      <c r="D5407" t="str">
        <f>HYPERLINK("http://service.sap.com/sap/support/notes/1624281","1624281")</f>
        <v>1624281</v>
      </c>
      <c r="E5407">
        <v>1</v>
      </c>
      <c r="F5407" t="s">
        <v>8056</v>
      </c>
    </row>
    <row r="5408" spans="1:6" x14ac:dyDescent="0.25">
      <c r="A5408" t="s">
        <v>8158</v>
      </c>
      <c r="B5408" t="s">
        <v>8057</v>
      </c>
      <c r="C5408" t="s">
        <v>153</v>
      </c>
      <c r="D5408" t="str">
        <f>HYPERLINK("http://service.sap.com/sap/support/notes/1278763","1278763")</f>
        <v>1278763</v>
      </c>
      <c r="E5408">
        <v>1</v>
      </c>
      <c r="F5408" t="s">
        <v>8058</v>
      </c>
    </row>
    <row r="5409" spans="1:6" x14ac:dyDescent="0.25">
      <c r="A5409" t="s">
        <v>8158</v>
      </c>
      <c r="B5409" t="s">
        <v>379</v>
      </c>
      <c r="C5409" t="s">
        <v>80</v>
      </c>
      <c r="D5409" t="str">
        <f>HYPERLINK("http://service.sap.com/sap/support/notes/1599451","1599451")</f>
        <v>1599451</v>
      </c>
      <c r="E5409">
        <v>7</v>
      </c>
      <c r="F5409" t="s">
        <v>8059</v>
      </c>
    </row>
    <row r="5410" spans="1:6" x14ac:dyDescent="0.25">
      <c r="A5410" t="s">
        <v>8158</v>
      </c>
      <c r="B5410" t="s">
        <v>379</v>
      </c>
      <c r="C5410" t="s">
        <v>80</v>
      </c>
      <c r="D5410" t="str">
        <f>HYPERLINK("http://service.sap.com/sap/support/notes/1623544","1623544")</f>
        <v>1623544</v>
      </c>
      <c r="E5410">
        <v>2</v>
      </c>
      <c r="F5410" t="s">
        <v>8060</v>
      </c>
    </row>
    <row r="5411" spans="1:6" x14ac:dyDescent="0.25">
      <c r="A5411" t="s">
        <v>8158</v>
      </c>
      <c r="B5411" t="s">
        <v>379</v>
      </c>
      <c r="C5411" t="s">
        <v>80</v>
      </c>
      <c r="D5411" t="str">
        <f>HYPERLINK("http://service.sap.com/sap/support/notes/1624180","1624180")</f>
        <v>1624180</v>
      </c>
      <c r="E5411">
        <v>1</v>
      </c>
      <c r="F5411" t="s">
        <v>8061</v>
      </c>
    </row>
    <row r="5412" spans="1:6" x14ac:dyDescent="0.25">
      <c r="A5412" t="s">
        <v>8158</v>
      </c>
      <c r="B5412" t="s">
        <v>379</v>
      </c>
      <c r="C5412" t="s">
        <v>80</v>
      </c>
      <c r="D5412" t="str">
        <f>HYPERLINK("http://service.sap.com/sap/support/notes/1625497","1625497")</f>
        <v>1625497</v>
      </c>
      <c r="E5412">
        <v>1</v>
      </c>
      <c r="F5412" t="s">
        <v>8062</v>
      </c>
    </row>
    <row r="5413" spans="1:6" x14ac:dyDescent="0.25">
      <c r="A5413" t="s">
        <v>8158</v>
      </c>
      <c r="B5413" t="s">
        <v>379</v>
      </c>
      <c r="C5413" t="s">
        <v>80</v>
      </c>
      <c r="D5413" t="str">
        <f>HYPERLINK("http://service.sap.com/sap/support/notes/1626545","1626545")</f>
        <v>1626545</v>
      </c>
      <c r="E5413">
        <v>1</v>
      </c>
      <c r="F5413" t="s">
        <v>8063</v>
      </c>
    </row>
    <row r="5414" spans="1:6" x14ac:dyDescent="0.25">
      <c r="A5414" t="s">
        <v>8158</v>
      </c>
      <c r="B5414" t="s">
        <v>379</v>
      </c>
      <c r="C5414" t="s">
        <v>80</v>
      </c>
      <c r="D5414" t="str">
        <f>HYPERLINK("http://service.sap.com/sap/support/notes/1627051","1627051")</f>
        <v>1627051</v>
      </c>
      <c r="E5414">
        <v>1</v>
      </c>
      <c r="F5414" t="s">
        <v>8064</v>
      </c>
    </row>
    <row r="5415" spans="1:6" x14ac:dyDescent="0.25">
      <c r="A5415" t="s">
        <v>8158</v>
      </c>
      <c r="B5415" t="s">
        <v>379</v>
      </c>
      <c r="C5415" t="s">
        <v>80</v>
      </c>
      <c r="D5415" t="str">
        <f>HYPERLINK("http://service.sap.com/sap/support/notes/1629027","1629027")</f>
        <v>1629027</v>
      </c>
      <c r="E5415">
        <v>1</v>
      </c>
      <c r="F5415" t="s">
        <v>8065</v>
      </c>
    </row>
    <row r="5416" spans="1:6" x14ac:dyDescent="0.25">
      <c r="A5416" t="s">
        <v>8158</v>
      </c>
      <c r="B5416" t="s">
        <v>379</v>
      </c>
      <c r="C5416" t="s">
        <v>80</v>
      </c>
      <c r="D5416" t="str">
        <f>HYPERLINK("http://service.sap.com/sap/support/notes/1630788","1630788")</f>
        <v>1630788</v>
      </c>
      <c r="E5416">
        <v>1</v>
      </c>
      <c r="F5416" t="s">
        <v>8066</v>
      </c>
    </row>
    <row r="5417" spans="1:6" x14ac:dyDescent="0.25">
      <c r="A5417" t="s">
        <v>8158</v>
      </c>
      <c r="B5417" t="s">
        <v>379</v>
      </c>
      <c r="C5417" t="s">
        <v>80</v>
      </c>
      <c r="D5417" t="str">
        <f>HYPERLINK("http://service.sap.com/sap/support/notes/1633340","1633340")</f>
        <v>1633340</v>
      </c>
      <c r="E5417">
        <v>1</v>
      </c>
      <c r="F5417" t="s">
        <v>8067</v>
      </c>
    </row>
    <row r="5418" spans="1:6" x14ac:dyDescent="0.25">
      <c r="A5418" t="s">
        <v>8158</v>
      </c>
      <c r="B5418" t="s">
        <v>386</v>
      </c>
      <c r="C5418" t="s">
        <v>299</v>
      </c>
    </row>
    <row r="5419" spans="1:6" x14ac:dyDescent="0.25">
      <c r="A5419" t="s">
        <v>8158</v>
      </c>
      <c r="B5419" t="s">
        <v>3261</v>
      </c>
      <c r="C5419" t="s">
        <v>3262</v>
      </c>
      <c r="D5419" t="str">
        <f>HYPERLINK("http://service.sap.com/sap/support/notes/1627043","1627043")</f>
        <v>1627043</v>
      </c>
      <c r="E5419">
        <v>1</v>
      </c>
      <c r="F5419" t="s">
        <v>8068</v>
      </c>
    </row>
    <row r="5420" spans="1:6" x14ac:dyDescent="0.25">
      <c r="A5420" t="s">
        <v>8158</v>
      </c>
      <c r="B5420" t="s">
        <v>388</v>
      </c>
      <c r="C5420" t="s">
        <v>87</v>
      </c>
      <c r="D5420" t="str">
        <f>HYPERLINK("http://service.sap.com/sap/support/notes/1622989","1622989")</f>
        <v>1622989</v>
      </c>
      <c r="E5420">
        <v>2</v>
      </c>
      <c r="F5420" t="s">
        <v>8069</v>
      </c>
    </row>
    <row r="5421" spans="1:6" x14ac:dyDescent="0.25">
      <c r="A5421" t="s">
        <v>8158</v>
      </c>
      <c r="B5421" t="s">
        <v>388</v>
      </c>
      <c r="C5421" t="s">
        <v>87</v>
      </c>
      <c r="D5421" t="str">
        <f>HYPERLINK("http://service.sap.com/sap/support/notes/1624127","1624127")</f>
        <v>1624127</v>
      </c>
      <c r="E5421">
        <v>1</v>
      </c>
      <c r="F5421" t="s">
        <v>8070</v>
      </c>
    </row>
    <row r="5422" spans="1:6" x14ac:dyDescent="0.25">
      <c r="A5422" t="s">
        <v>8158</v>
      </c>
      <c r="B5422" t="s">
        <v>388</v>
      </c>
      <c r="C5422" t="s">
        <v>87</v>
      </c>
      <c r="D5422" t="str">
        <f>HYPERLINK("http://service.sap.com/sap/support/notes/1626042","1626042")</f>
        <v>1626042</v>
      </c>
      <c r="E5422">
        <v>1</v>
      </c>
      <c r="F5422" t="s">
        <v>8071</v>
      </c>
    </row>
    <row r="5423" spans="1:6" x14ac:dyDescent="0.25">
      <c r="A5423" t="s">
        <v>8158</v>
      </c>
      <c r="B5423" t="s">
        <v>388</v>
      </c>
      <c r="C5423" t="s">
        <v>87</v>
      </c>
      <c r="D5423" t="str">
        <f>HYPERLINK("http://service.sap.com/sap/support/notes/1627984","1627984")</f>
        <v>1627984</v>
      </c>
      <c r="E5423">
        <v>4</v>
      </c>
      <c r="F5423" t="s">
        <v>8072</v>
      </c>
    </row>
    <row r="5424" spans="1:6" x14ac:dyDescent="0.25">
      <c r="A5424" t="s">
        <v>8158</v>
      </c>
      <c r="B5424" t="s">
        <v>388</v>
      </c>
      <c r="C5424" t="s">
        <v>87</v>
      </c>
      <c r="D5424" t="str">
        <f>HYPERLINK("http://service.sap.com/sap/support/notes/1628915","1628915")</f>
        <v>1628915</v>
      </c>
      <c r="E5424">
        <v>2</v>
      </c>
      <c r="F5424" t="s">
        <v>8073</v>
      </c>
    </row>
    <row r="5425" spans="1:6" x14ac:dyDescent="0.25">
      <c r="A5425" t="s">
        <v>8158</v>
      </c>
      <c r="B5425" t="s">
        <v>388</v>
      </c>
      <c r="C5425" t="s">
        <v>87</v>
      </c>
      <c r="D5425" t="str">
        <f>HYPERLINK("http://service.sap.com/sap/support/notes/1629523","1629523")</f>
        <v>1629523</v>
      </c>
      <c r="E5425">
        <v>2</v>
      </c>
      <c r="F5425" t="s">
        <v>8074</v>
      </c>
    </row>
    <row r="5426" spans="1:6" x14ac:dyDescent="0.25">
      <c r="A5426" t="s">
        <v>8158</v>
      </c>
      <c r="B5426" t="s">
        <v>388</v>
      </c>
      <c r="C5426" t="s">
        <v>87</v>
      </c>
      <c r="D5426" t="str">
        <f>HYPERLINK("http://service.sap.com/sap/support/notes/1633486","1633486")</f>
        <v>1633486</v>
      </c>
      <c r="E5426">
        <v>1</v>
      </c>
      <c r="F5426" t="s">
        <v>8075</v>
      </c>
    </row>
    <row r="5427" spans="1:6" x14ac:dyDescent="0.25">
      <c r="A5427" t="s">
        <v>8158</v>
      </c>
      <c r="B5427" t="s">
        <v>396</v>
      </c>
      <c r="C5427" t="s">
        <v>397</v>
      </c>
      <c r="D5427" t="str">
        <f>HYPERLINK("http://service.sap.com/sap/support/notes/1606214","1606214")</f>
        <v>1606214</v>
      </c>
      <c r="E5427">
        <v>3</v>
      </c>
      <c r="F5427" t="s">
        <v>8076</v>
      </c>
    </row>
    <row r="5428" spans="1:6" x14ac:dyDescent="0.25">
      <c r="A5428" t="s">
        <v>8158</v>
      </c>
      <c r="B5428" t="s">
        <v>396</v>
      </c>
      <c r="C5428" t="s">
        <v>397</v>
      </c>
      <c r="D5428" t="str">
        <f>HYPERLINK("http://service.sap.com/sap/support/notes/1621163","1621163")</f>
        <v>1621163</v>
      </c>
      <c r="E5428">
        <v>2</v>
      </c>
      <c r="F5428" t="s">
        <v>8077</v>
      </c>
    </row>
    <row r="5429" spans="1:6" x14ac:dyDescent="0.25">
      <c r="A5429" t="s">
        <v>8158</v>
      </c>
      <c r="B5429" t="s">
        <v>405</v>
      </c>
      <c r="C5429" t="s">
        <v>90</v>
      </c>
      <c r="D5429" t="str">
        <f>HYPERLINK("http://service.sap.com/sap/support/notes/1614087","1614087")</f>
        <v>1614087</v>
      </c>
      <c r="E5429">
        <v>1</v>
      </c>
      <c r="F5429" t="s">
        <v>8078</v>
      </c>
    </row>
    <row r="5430" spans="1:6" x14ac:dyDescent="0.25">
      <c r="A5430" t="s">
        <v>8158</v>
      </c>
      <c r="B5430" t="s">
        <v>405</v>
      </c>
      <c r="C5430" t="s">
        <v>90</v>
      </c>
      <c r="D5430" t="str">
        <f>HYPERLINK("http://service.sap.com/sap/support/notes/1619388","1619388")</f>
        <v>1619388</v>
      </c>
      <c r="E5430">
        <v>2</v>
      </c>
      <c r="F5430" t="s">
        <v>5422</v>
      </c>
    </row>
    <row r="5431" spans="1:6" x14ac:dyDescent="0.25">
      <c r="A5431" t="s">
        <v>8158</v>
      </c>
      <c r="B5431" t="s">
        <v>405</v>
      </c>
      <c r="C5431" t="s">
        <v>90</v>
      </c>
      <c r="D5431" t="str">
        <f>HYPERLINK("http://service.sap.com/sap/support/notes/1621160","1621160")</f>
        <v>1621160</v>
      </c>
      <c r="E5431">
        <v>1</v>
      </c>
      <c r="F5431" t="s">
        <v>8079</v>
      </c>
    </row>
    <row r="5432" spans="1:6" x14ac:dyDescent="0.25">
      <c r="A5432" t="s">
        <v>8158</v>
      </c>
      <c r="B5432" t="s">
        <v>405</v>
      </c>
      <c r="C5432" t="s">
        <v>90</v>
      </c>
      <c r="D5432" t="str">
        <f>HYPERLINK("http://service.sap.com/sap/support/notes/1627360","1627360")</f>
        <v>1627360</v>
      </c>
      <c r="E5432">
        <v>1</v>
      </c>
      <c r="F5432" t="s">
        <v>8080</v>
      </c>
    </row>
    <row r="5433" spans="1:6" x14ac:dyDescent="0.25">
      <c r="A5433" t="s">
        <v>8158</v>
      </c>
      <c r="B5433" t="s">
        <v>405</v>
      </c>
      <c r="C5433" t="s">
        <v>90</v>
      </c>
      <c r="D5433" t="str">
        <f>HYPERLINK("http://service.sap.com/sap/support/notes/1628050","1628050")</f>
        <v>1628050</v>
      </c>
      <c r="E5433">
        <v>1</v>
      </c>
      <c r="F5433" t="s">
        <v>8081</v>
      </c>
    </row>
    <row r="5434" spans="1:6" x14ac:dyDescent="0.25">
      <c r="A5434" t="s">
        <v>8158</v>
      </c>
      <c r="B5434" t="s">
        <v>405</v>
      </c>
      <c r="C5434" t="s">
        <v>90</v>
      </c>
      <c r="D5434" t="str">
        <f>HYPERLINK("http://service.sap.com/sap/support/notes/1630053","1630053")</f>
        <v>1630053</v>
      </c>
      <c r="E5434">
        <v>1</v>
      </c>
      <c r="F5434" t="s">
        <v>8082</v>
      </c>
    </row>
    <row r="5435" spans="1:6" x14ac:dyDescent="0.25">
      <c r="A5435" t="s">
        <v>8158</v>
      </c>
      <c r="B5435" t="s">
        <v>411</v>
      </c>
      <c r="C5435" t="s">
        <v>412</v>
      </c>
      <c r="D5435" t="str">
        <f>HYPERLINK("http://service.sap.com/sap/support/notes/1589868","1589868")</f>
        <v>1589868</v>
      </c>
      <c r="E5435">
        <v>1</v>
      </c>
      <c r="F5435" t="s">
        <v>8083</v>
      </c>
    </row>
    <row r="5436" spans="1:6" x14ac:dyDescent="0.25">
      <c r="A5436" t="s">
        <v>8158</v>
      </c>
      <c r="B5436" t="s">
        <v>411</v>
      </c>
      <c r="C5436" t="s">
        <v>412</v>
      </c>
      <c r="D5436" t="str">
        <f>HYPERLINK("http://service.sap.com/sap/support/notes/1600301","1600301")</f>
        <v>1600301</v>
      </c>
      <c r="E5436">
        <v>3</v>
      </c>
      <c r="F5436" t="s">
        <v>8084</v>
      </c>
    </row>
    <row r="5437" spans="1:6" x14ac:dyDescent="0.25">
      <c r="A5437" t="s">
        <v>8158</v>
      </c>
      <c r="B5437" t="s">
        <v>411</v>
      </c>
      <c r="C5437" t="s">
        <v>412</v>
      </c>
      <c r="D5437" t="str">
        <f>HYPERLINK("http://service.sap.com/sap/support/notes/1610109","1610109")</f>
        <v>1610109</v>
      </c>
      <c r="E5437">
        <v>1</v>
      </c>
      <c r="F5437" t="s">
        <v>8085</v>
      </c>
    </row>
    <row r="5438" spans="1:6" x14ac:dyDescent="0.25">
      <c r="A5438" t="s">
        <v>8158</v>
      </c>
      <c r="B5438" t="s">
        <v>411</v>
      </c>
      <c r="C5438" t="s">
        <v>412</v>
      </c>
      <c r="D5438" t="str">
        <f>HYPERLINK("http://service.sap.com/sap/support/notes/1615814","1615814")</f>
        <v>1615814</v>
      </c>
      <c r="E5438">
        <v>2</v>
      </c>
      <c r="F5438" t="s">
        <v>8086</v>
      </c>
    </row>
    <row r="5439" spans="1:6" x14ac:dyDescent="0.25">
      <c r="A5439" t="s">
        <v>8158</v>
      </c>
      <c r="B5439" t="s">
        <v>411</v>
      </c>
      <c r="C5439" t="s">
        <v>412</v>
      </c>
      <c r="D5439" t="str">
        <f>HYPERLINK("http://service.sap.com/sap/support/notes/1621306","1621306")</f>
        <v>1621306</v>
      </c>
      <c r="E5439">
        <v>1</v>
      </c>
      <c r="F5439" t="s">
        <v>8087</v>
      </c>
    </row>
    <row r="5440" spans="1:6" x14ac:dyDescent="0.25">
      <c r="A5440" t="s">
        <v>8158</v>
      </c>
      <c r="B5440" t="s">
        <v>411</v>
      </c>
      <c r="C5440" t="s">
        <v>412</v>
      </c>
      <c r="D5440" t="str">
        <f>HYPERLINK("http://service.sap.com/sap/support/notes/1627242","1627242")</f>
        <v>1627242</v>
      </c>
      <c r="E5440">
        <v>3</v>
      </c>
      <c r="F5440" t="s">
        <v>8088</v>
      </c>
    </row>
    <row r="5441" spans="1:6" x14ac:dyDescent="0.25">
      <c r="A5441" t="s">
        <v>8158</v>
      </c>
      <c r="B5441" t="s">
        <v>411</v>
      </c>
      <c r="C5441" t="s">
        <v>412</v>
      </c>
      <c r="D5441" t="str">
        <f>HYPERLINK("http://service.sap.com/sap/support/notes/1628007","1628007")</f>
        <v>1628007</v>
      </c>
      <c r="E5441">
        <v>1</v>
      </c>
      <c r="F5441" t="s">
        <v>8089</v>
      </c>
    </row>
    <row r="5442" spans="1:6" x14ac:dyDescent="0.25">
      <c r="A5442" t="s">
        <v>8158</v>
      </c>
      <c r="B5442" t="s">
        <v>411</v>
      </c>
      <c r="C5442" t="s">
        <v>412</v>
      </c>
      <c r="D5442" t="str">
        <f>HYPERLINK("http://service.sap.com/sap/support/notes/1629456","1629456")</f>
        <v>1629456</v>
      </c>
      <c r="E5442">
        <v>2</v>
      </c>
      <c r="F5442" t="s">
        <v>8090</v>
      </c>
    </row>
    <row r="5443" spans="1:6" x14ac:dyDescent="0.25">
      <c r="A5443" t="s">
        <v>8158</v>
      </c>
      <c r="B5443" t="s">
        <v>411</v>
      </c>
      <c r="C5443" t="s">
        <v>412</v>
      </c>
      <c r="D5443" t="str">
        <f>HYPERLINK("http://service.sap.com/sap/support/notes/1629617","1629617")</f>
        <v>1629617</v>
      </c>
      <c r="E5443">
        <v>1</v>
      </c>
      <c r="F5443" t="s">
        <v>8091</v>
      </c>
    </row>
    <row r="5444" spans="1:6" x14ac:dyDescent="0.25">
      <c r="A5444" t="s">
        <v>8158</v>
      </c>
      <c r="B5444" t="s">
        <v>411</v>
      </c>
      <c r="C5444" t="s">
        <v>412</v>
      </c>
      <c r="D5444" t="str">
        <f>HYPERLINK("http://service.sap.com/sap/support/notes/1630077","1630077")</f>
        <v>1630077</v>
      </c>
      <c r="E5444">
        <v>1</v>
      </c>
      <c r="F5444" t="s">
        <v>8092</v>
      </c>
    </row>
    <row r="5445" spans="1:6" x14ac:dyDescent="0.25">
      <c r="A5445" t="s">
        <v>8158</v>
      </c>
      <c r="B5445" t="s">
        <v>411</v>
      </c>
      <c r="C5445" t="s">
        <v>412</v>
      </c>
      <c r="D5445" t="str">
        <f>HYPERLINK("http://service.sap.com/sap/support/notes/1630156","1630156")</f>
        <v>1630156</v>
      </c>
      <c r="E5445">
        <v>1</v>
      </c>
      <c r="F5445" t="s">
        <v>8093</v>
      </c>
    </row>
    <row r="5446" spans="1:6" x14ac:dyDescent="0.25">
      <c r="A5446" t="s">
        <v>8158</v>
      </c>
      <c r="B5446" t="s">
        <v>411</v>
      </c>
      <c r="C5446" t="s">
        <v>412</v>
      </c>
      <c r="D5446" t="str">
        <f>HYPERLINK("http://service.sap.com/sap/support/notes/1630414","1630414")</f>
        <v>1630414</v>
      </c>
      <c r="E5446">
        <v>1</v>
      </c>
      <c r="F5446" t="s">
        <v>8094</v>
      </c>
    </row>
    <row r="5447" spans="1:6" x14ac:dyDescent="0.25">
      <c r="A5447" t="s">
        <v>8158</v>
      </c>
      <c r="B5447" t="s">
        <v>415</v>
      </c>
      <c r="C5447" t="s">
        <v>416</v>
      </c>
      <c r="D5447" t="str">
        <f>HYPERLINK("http://service.sap.com/sap/support/notes/1526470","1526470")</f>
        <v>1526470</v>
      </c>
      <c r="E5447">
        <v>3</v>
      </c>
      <c r="F5447" t="s">
        <v>8095</v>
      </c>
    </row>
    <row r="5448" spans="1:6" x14ac:dyDescent="0.25">
      <c r="A5448" t="s">
        <v>8158</v>
      </c>
      <c r="B5448" t="s">
        <v>415</v>
      </c>
      <c r="C5448" t="s">
        <v>416</v>
      </c>
      <c r="D5448" t="str">
        <f>HYPERLINK("http://service.sap.com/sap/support/notes/1587500","1587500")</f>
        <v>1587500</v>
      </c>
      <c r="E5448">
        <v>4</v>
      </c>
      <c r="F5448" t="s">
        <v>8096</v>
      </c>
    </row>
    <row r="5449" spans="1:6" x14ac:dyDescent="0.25">
      <c r="A5449" t="s">
        <v>8158</v>
      </c>
      <c r="B5449" t="s">
        <v>415</v>
      </c>
      <c r="C5449" t="s">
        <v>416</v>
      </c>
      <c r="D5449" t="str">
        <f>HYPERLINK("http://service.sap.com/sap/support/notes/1587737","1587737")</f>
        <v>1587737</v>
      </c>
      <c r="E5449">
        <v>1</v>
      </c>
      <c r="F5449" t="s">
        <v>8097</v>
      </c>
    </row>
    <row r="5450" spans="1:6" x14ac:dyDescent="0.25">
      <c r="A5450" t="s">
        <v>8158</v>
      </c>
      <c r="B5450" t="s">
        <v>415</v>
      </c>
      <c r="C5450" t="s">
        <v>416</v>
      </c>
      <c r="D5450" t="str">
        <f>HYPERLINK("http://service.sap.com/sap/support/notes/1597020","1597020")</f>
        <v>1597020</v>
      </c>
      <c r="E5450">
        <v>4</v>
      </c>
      <c r="F5450" t="s">
        <v>4717</v>
      </c>
    </row>
    <row r="5451" spans="1:6" x14ac:dyDescent="0.25">
      <c r="A5451" t="s">
        <v>8158</v>
      </c>
      <c r="B5451" t="s">
        <v>415</v>
      </c>
      <c r="C5451" t="s">
        <v>416</v>
      </c>
      <c r="D5451" t="str">
        <f>HYPERLINK("http://service.sap.com/sap/support/notes/1619902","1619902")</f>
        <v>1619902</v>
      </c>
      <c r="E5451">
        <v>5</v>
      </c>
      <c r="F5451" t="s">
        <v>8098</v>
      </c>
    </row>
    <row r="5452" spans="1:6" x14ac:dyDescent="0.25">
      <c r="A5452" t="s">
        <v>8158</v>
      </c>
      <c r="B5452" t="s">
        <v>415</v>
      </c>
      <c r="C5452" t="s">
        <v>416</v>
      </c>
      <c r="D5452" t="str">
        <f>HYPERLINK("http://service.sap.com/sap/support/notes/1627398","1627398")</f>
        <v>1627398</v>
      </c>
      <c r="E5452">
        <v>2</v>
      </c>
      <c r="F5452" t="s">
        <v>8099</v>
      </c>
    </row>
    <row r="5453" spans="1:6" x14ac:dyDescent="0.25">
      <c r="A5453" t="s">
        <v>8158</v>
      </c>
      <c r="B5453" t="s">
        <v>415</v>
      </c>
      <c r="C5453" t="s">
        <v>416</v>
      </c>
      <c r="D5453" t="str">
        <f>HYPERLINK("http://service.sap.com/sap/support/notes/1632905","1632905")</f>
        <v>1632905</v>
      </c>
      <c r="E5453">
        <v>1</v>
      </c>
      <c r="F5453" t="s">
        <v>8100</v>
      </c>
    </row>
    <row r="5454" spans="1:6" x14ac:dyDescent="0.25">
      <c r="A5454" t="s">
        <v>8158</v>
      </c>
      <c r="B5454" t="s">
        <v>415</v>
      </c>
      <c r="C5454" t="s">
        <v>416</v>
      </c>
      <c r="D5454" t="str">
        <f>HYPERLINK("http://service.sap.com/sap/support/notes/1633869","1633869")</f>
        <v>1633869</v>
      </c>
      <c r="E5454">
        <v>1</v>
      </c>
      <c r="F5454" t="s">
        <v>8101</v>
      </c>
    </row>
    <row r="5455" spans="1:6" x14ac:dyDescent="0.25">
      <c r="A5455" t="s">
        <v>8158</v>
      </c>
      <c r="B5455" t="s">
        <v>415</v>
      </c>
      <c r="C5455" t="s">
        <v>416</v>
      </c>
      <c r="D5455" t="str">
        <f>HYPERLINK("http://service.sap.com/sap/support/notes/1634037","1634037")</f>
        <v>1634037</v>
      </c>
      <c r="E5455">
        <v>1</v>
      </c>
      <c r="F5455" t="s">
        <v>8102</v>
      </c>
    </row>
    <row r="5456" spans="1:6" x14ac:dyDescent="0.25">
      <c r="A5456" t="s">
        <v>8158</v>
      </c>
      <c r="B5456" t="s">
        <v>425</v>
      </c>
      <c r="C5456" t="s">
        <v>426</v>
      </c>
      <c r="D5456" t="str">
        <f>HYPERLINK("http://service.sap.com/sap/support/notes/1630507","1630507")</f>
        <v>1630507</v>
      </c>
      <c r="E5456">
        <v>2</v>
      </c>
      <c r="F5456" t="s">
        <v>8103</v>
      </c>
    </row>
    <row r="5457" spans="1:6" x14ac:dyDescent="0.25">
      <c r="A5457" t="s">
        <v>8158</v>
      </c>
      <c r="B5457" t="s">
        <v>425</v>
      </c>
      <c r="C5457" t="s">
        <v>426</v>
      </c>
      <c r="D5457" t="str">
        <f>HYPERLINK("http://service.sap.com/sap/support/notes/1631477","1631477")</f>
        <v>1631477</v>
      </c>
      <c r="E5457">
        <v>1</v>
      </c>
      <c r="F5457" t="s">
        <v>8104</v>
      </c>
    </row>
    <row r="5458" spans="1:6" x14ac:dyDescent="0.25">
      <c r="A5458" t="s">
        <v>8158</v>
      </c>
      <c r="B5458" t="s">
        <v>431</v>
      </c>
      <c r="C5458" t="s">
        <v>432</v>
      </c>
      <c r="D5458" t="str">
        <f>HYPERLINK("http://service.sap.com/sap/support/notes/1607127","1607127")</f>
        <v>1607127</v>
      </c>
      <c r="E5458">
        <v>1</v>
      </c>
      <c r="F5458" t="s">
        <v>8105</v>
      </c>
    </row>
    <row r="5459" spans="1:6" x14ac:dyDescent="0.25">
      <c r="A5459" t="s">
        <v>8158</v>
      </c>
      <c r="B5459" t="s">
        <v>431</v>
      </c>
      <c r="C5459" t="s">
        <v>432</v>
      </c>
      <c r="D5459" t="str">
        <f>HYPERLINK("http://service.sap.com/sap/support/notes/1621752","1621752")</f>
        <v>1621752</v>
      </c>
      <c r="E5459">
        <v>1</v>
      </c>
      <c r="F5459" t="s">
        <v>5440</v>
      </c>
    </row>
    <row r="5460" spans="1:6" x14ac:dyDescent="0.25">
      <c r="A5460" t="s">
        <v>8158</v>
      </c>
      <c r="B5460" t="s">
        <v>431</v>
      </c>
      <c r="C5460" t="s">
        <v>432</v>
      </c>
      <c r="D5460" t="str">
        <f>HYPERLINK("http://service.sap.com/sap/support/notes/1623062","1623062")</f>
        <v>1623062</v>
      </c>
      <c r="E5460">
        <v>1</v>
      </c>
      <c r="F5460" t="s">
        <v>8106</v>
      </c>
    </row>
    <row r="5461" spans="1:6" x14ac:dyDescent="0.25">
      <c r="A5461" t="s">
        <v>8158</v>
      </c>
      <c r="B5461" t="s">
        <v>431</v>
      </c>
      <c r="C5461" t="s">
        <v>432</v>
      </c>
      <c r="D5461" t="str">
        <f>HYPERLINK("http://service.sap.com/sap/support/notes/1623469","1623469")</f>
        <v>1623469</v>
      </c>
      <c r="E5461">
        <v>2</v>
      </c>
      <c r="F5461" t="s">
        <v>8107</v>
      </c>
    </row>
    <row r="5462" spans="1:6" x14ac:dyDescent="0.25">
      <c r="A5462" t="s">
        <v>8158</v>
      </c>
      <c r="B5462" t="s">
        <v>431</v>
      </c>
      <c r="C5462" t="s">
        <v>432</v>
      </c>
      <c r="D5462" t="str">
        <f>HYPERLINK("http://service.sap.com/sap/support/notes/1624965","1624965")</f>
        <v>1624965</v>
      </c>
      <c r="E5462">
        <v>1</v>
      </c>
      <c r="F5462" t="s">
        <v>8108</v>
      </c>
    </row>
    <row r="5463" spans="1:6" x14ac:dyDescent="0.25">
      <c r="A5463" t="s">
        <v>8158</v>
      </c>
      <c r="B5463" t="s">
        <v>431</v>
      </c>
      <c r="C5463" t="s">
        <v>432</v>
      </c>
      <c r="D5463" t="str">
        <f>HYPERLINK("http://service.sap.com/sap/support/notes/1625421","1625421")</f>
        <v>1625421</v>
      </c>
      <c r="E5463">
        <v>1</v>
      </c>
      <c r="F5463" t="s">
        <v>8109</v>
      </c>
    </row>
    <row r="5464" spans="1:6" x14ac:dyDescent="0.25">
      <c r="A5464" t="s">
        <v>8158</v>
      </c>
      <c r="B5464" t="s">
        <v>431</v>
      </c>
      <c r="C5464" t="s">
        <v>432</v>
      </c>
      <c r="D5464" t="str">
        <f>HYPERLINK("http://service.sap.com/sap/support/notes/1629300","1629300")</f>
        <v>1629300</v>
      </c>
      <c r="E5464">
        <v>1</v>
      </c>
      <c r="F5464" t="s">
        <v>8110</v>
      </c>
    </row>
    <row r="5465" spans="1:6" x14ac:dyDescent="0.25">
      <c r="A5465" t="s">
        <v>8158</v>
      </c>
      <c r="B5465" t="s">
        <v>431</v>
      </c>
      <c r="C5465" t="s">
        <v>432</v>
      </c>
      <c r="D5465" t="str">
        <f>HYPERLINK("http://service.sap.com/sap/support/notes/1631308","1631308")</f>
        <v>1631308</v>
      </c>
      <c r="E5465">
        <v>2</v>
      </c>
      <c r="F5465" t="s">
        <v>8111</v>
      </c>
    </row>
    <row r="5466" spans="1:6" x14ac:dyDescent="0.25">
      <c r="A5466" t="s">
        <v>8158</v>
      </c>
      <c r="B5466" t="s">
        <v>431</v>
      </c>
      <c r="C5466" t="s">
        <v>432</v>
      </c>
      <c r="D5466" t="str">
        <f>HYPERLINK("http://service.sap.com/sap/support/notes/1633942","1633942")</f>
        <v>1633942</v>
      </c>
      <c r="E5466">
        <v>2</v>
      </c>
      <c r="F5466" t="s">
        <v>8112</v>
      </c>
    </row>
    <row r="5467" spans="1:6" x14ac:dyDescent="0.25">
      <c r="A5467" t="s">
        <v>8158</v>
      </c>
      <c r="B5467" t="s">
        <v>436</v>
      </c>
      <c r="C5467" t="s">
        <v>437</v>
      </c>
      <c r="D5467" t="str">
        <f>HYPERLINK("http://service.sap.com/sap/support/notes/1611584","1611584")</f>
        <v>1611584</v>
      </c>
      <c r="E5467">
        <v>1</v>
      </c>
      <c r="F5467" t="s">
        <v>8113</v>
      </c>
    </row>
    <row r="5468" spans="1:6" x14ac:dyDescent="0.25">
      <c r="A5468" t="s">
        <v>8158</v>
      </c>
      <c r="B5468" t="s">
        <v>440</v>
      </c>
      <c r="C5468" t="s">
        <v>441</v>
      </c>
      <c r="D5468" t="str">
        <f>HYPERLINK("http://service.sap.com/sap/support/notes/1060820","1060820")</f>
        <v>1060820</v>
      </c>
      <c r="E5468">
        <v>1</v>
      </c>
      <c r="F5468" t="s">
        <v>2104</v>
      </c>
    </row>
    <row r="5469" spans="1:6" x14ac:dyDescent="0.25">
      <c r="A5469" t="s">
        <v>8158</v>
      </c>
      <c r="B5469" t="s">
        <v>440</v>
      </c>
      <c r="C5469" t="s">
        <v>441</v>
      </c>
      <c r="D5469" t="str">
        <f>HYPERLINK("http://service.sap.com/sap/support/notes/1618253","1618253")</f>
        <v>1618253</v>
      </c>
      <c r="E5469">
        <v>2</v>
      </c>
      <c r="F5469" t="s">
        <v>8114</v>
      </c>
    </row>
    <row r="5470" spans="1:6" x14ac:dyDescent="0.25">
      <c r="A5470" t="s">
        <v>8158</v>
      </c>
      <c r="B5470" t="s">
        <v>440</v>
      </c>
      <c r="C5470" t="s">
        <v>441</v>
      </c>
      <c r="D5470" t="str">
        <f>HYPERLINK("http://service.sap.com/sap/support/notes/1618330","1618330")</f>
        <v>1618330</v>
      </c>
      <c r="E5470">
        <v>6</v>
      </c>
      <c r="F5470" t="s">
        <v>8115</v>
      </c>
    </row>
    <row r="5471" spans="1:6" x14ac:dyDescent="0.25">
      <c r="A5471" t="s">
        <v>8158</v>
      </c>
      <c r="B5471" t="s">
        <v>440</v>
      </c>
      <c r="C5471" t="s">
        <v>441</v>
      </c>
      <c r="D5471" t="str">
        <f>HYPERLINK("http://service.sap.com/sap/support/notes/1618778","1618778")</f>
        <v>1618778</v>
      </c>
      <c r="E5471">
        <v>3</v>
      </c>
      <c r="F5471" t="s">
        <v>8116</v>
      </c>
    </row>
    <row r="5472" spans="1:6" x14ac:dyDescent="0.25">
      <c r="A5472" t="s">
        <v>8158</v>
      </c>
      <c r="B5472" t="s">
        <v>440</v>
      </c>
      <c r="C5472" t="s">
        <v>441</v>
      </c>
      <c r="D5472" t="str">
        <f>HYPERLINK("http://service.sap.com/sap/support/notes/1618914","1618914")</f>
        <v>1618914</v>
      </c>
      <c r="E5472">
        <v>8</v>
      </c>
      <c r="F5472" t="s">
        <v>8117</v>
      </c>
    </row>
    <row r="5473" spans="1:6" x14ac:dyDescent="0.25">
      <c r="A5473" t="s">
        <v>8158</v>
      </c>
      <c r="B5473" t="s">
        <v>440</v>
      </c>
      <c r="C5473" t="s">
        <v>441</v>
      </c>
      <c r="D5473" t="str">
        <f>HYPERLINK("http://service.sap.com/sap/support/notes/1628761","1628761")</f>
        <v>1628761</v>
      </c>
      <c r="E5473">
        <v>11</v>
      </c>
      <c r="F5473" t="s">
        <v>8118</v>
      </c>
    </row>
    <row r="5474" spans="1:6" x14ac:dyDescent="0.25">
      <c r="A5474" t="s">
        <v>8158</v>
      </c>
      <c r="B5474" t="s">
        <v>440</v>
      </c>
      <c r="C5474" t="s">
        <v>441</v>
      </c>
      <c r="D5474" t="str">
        <f>HYPERLINK("http://service.sap.com/sap/support/notes/1630733","1630733")</f>
        <v>1630733</v>
      </c>
      <c r="E5474">
        <v>2</v>
      </c>
      <c r="F5474" t="s">
        <v>8119</v>
      </c>
    </row>
    <row r="5475" spans="1:6" x14ac:dyDescent="0.25">
      <c r="A5475" t="s">
        <v>8158</v>
      </c>
      <c r="B5475" t="s">
        <v>440</v>
      </c>
      <c r="C5475" t="s">
        <v>441</v>
      </c>
      <c r="D5475" t="str">
        <f>HYPERLINK("http://service.sap.com/sap/support/notes/1635259","1635259")</f>
        <v>1635259</v>
      </c>
      <c r="E5475">
        <v>2</v>
      </c>
      <c r="F5475" t="s">
        <v>8120</v>
      </c>
    </row>
    <row r="5476" spans="1:6" x14ac:dyDescent="0.25">
      <c r="A5476" t="s">
        <v>8158</v>
      </c>
      <c r="B5476" t="s">
        <v>449</v>
      </c>
      <c r="C5476" t="s">
        <v>450</v>
      </c>
      <c r="D5476" t="str">
        <f>HYPERLINK("http://service.sap.com/sap/support/notes/1615872","1615872")</f>
        <v>1615872</v>
      </c>
      <c r="E5476">
        <v>7</v>
      </c>
      <c r="F5476" t="s">
        <v>8121</v>
      </c>
    </row>
    <row r="5477" spans="1:6" x14ac:dyDescent="0.25">
      <c r="A5477" t="s">
        <v>8158</v>
      </c>
      <c r="B5477" t="s">
        <v>449</v>
      </c>
      <c r="C5477" t="s">
        <v>450</v>
      </c>
      <c r="D5477" t="str">
        <f>HYPERLINK("http://service.sap.com/sap/support/notes/1618239","1618239")</f>
        <v>1618239</v>
      </c>
      <c r="E5477">
        <v>2</v>
      </c>
      <c r="F5477" t="s">
        <v>8122</v>
      </c>
    </row>
    <row r="5478" spans="1:6" x14ac:dyDescent="0.25">
      <c r="A5478" t="s">
        <v>8158</v>
      </c>
      <c r="B5478" t="s">
        <v>449</v>
      </c>
      <c r="C5478" t="s">
        <v>450</v>
      </c>
      <c r="D5478" t="str">
        <f>HYPERLINK("http://service.sap.com/sap/support/notes/1632728","1632728")</f>
        <v>1632728</v>
      </c>
      <c r="E5478">
        <v>1</v>
      </c>
      <c r="F5478" t="s">
        <v>8123</v>
      </c>
    </row>
    <row r="5479" spans="1:6" x14ac:dyDescent="0.25">
      <c r="A5479" t="s">
        <v>8158</v>
      </c>
      <c r="B5479" t="s">
        <v>460</v>
      </c>
      <c r="C5479" t="s">
        <v>461</v>
      </c>
      <c r="D5479" t="str">
        <f>HYPERLINK("http://service.sap.com/sap/support/notes/1612886","1612886")</f>
        <v>1612886</v>
      </c>
      <c r="E5479">
        <v>3</v>
      </c>
      <c r="F5479" t="s">
        <v>5159</v>
      </c>
    </row>
    <row r="5480" spans="1:6" x14ac:dyDescent="0.25">
      <c r="A5480" t="s">
        <v>8158</v>
      </c>
      <c r="B5480" t="s">
        <v>460</v>
      </c>
      <c r="C5480" t="s">
        <v>461</v>
      </c>
      <c r="D5480" t="str">
        <f>HYPERLINK("http://service.sap.com/sap/support/notes/1623486","1623486")</f>
        <v>1623486</v>
      </c>
      <c r="E5480">
        <v>1</v>
      </c>
      <c r="F5480" t="s">
        <v>8124</v>
      </c>
    </row>
    <row r="5481" spans="1:6" x14ac:dyDescent="0.25">
      <c r="A5481" t="s">
        <v>8158</v>
      </c>
      <c r="B5481" t="s">
        <v>460</v>
      </c>
      <c r="C5481" t="s">
        <v>461</v>
      </c>
      <c r="D5481" t="str">
        <f>HYPERLINK("http://service.sap.com/sap/support/notes/1628150","1628150")</f>
        <v>1628150</v>
      </c>
      <c r="E5481">
        <v>1</v>
      </c>
      <c r="F5481" t="s">
        <v>8125</v>
      </c>
    </row>
    <row r="5482" spans="1:6" x14ac:dyDescent="0.25">
      <c r="A5482" t="s">
        <v>8158</v>
      </c>
      <c r="B5482" t="s">
        <v>460</v>
      </c>
      <c r="C5482" t="s">
        <v>461</v>
      </c>
      <c r="D5482" t="str">
        <f>HYPERLINK("http://service.sap.com/sap/support/notes/1630086","1630086")</f>
        <v>1630086</v>
      </c>
      <c r="E5482">
        <v>3</v>
      </c>
      <c r="F5482" t="s">
        <v>7778</v>
      </c>
    </row>
    <row r="5483" spans="1:6" x14ac:dyDescent="0.25">
      <c r="A5483" t="s">
        <v>8158</v>
      </c>
      <c r="B5483" t="s">
        <v>460</v>
      </c>
      <c r="C5483" t="s">
        <v>461</v>
      </c>
      <c r="D5483" t="str">
        <f>HYPERLINK("http://service.sap.com/sap/support/notes/1630087","1630087")</f>
        <v>1630087</v>
      </c>
      <c r="E5483">
        <v>2</v>
      </c>
      <c r="F5483" t="s">
        <v>7779</v>
      </c>
    </row>
    <row r="5484" spans="1:6" x14ac:dyDescent="0.25">
      <c r="A5484" t="s">
        <v>8158</v>
      </c>
      <c r="B5484" t="s">
        <v>460</v>
      </c>
      <c r="C5484" t="s">
        <v>461</v>
      </c>
      <c r="D5484" t="str">
        <f>HYPERLINK("http://service.sap.com/sap/support/notes/1630365","1630365")</f>
        <v>1630365</v>
      </c>
      <c r="E5484">
        <v>1</v>
      </c>
      <c r="F5484" t="s">
        <v>8126</v>
      </c>
    </row>
    <row r="5485" spans="1:6" x14ac:dyDescent="0.25">
      <c r="A5485" t="s">
        <v>8158</v>
      </c>
      <c r="B5485" t="s">
        <v>460</v>
      </c>
      <c r="C5485" t="s">
        <v>461</v>
      </c>
      <c r="D5485" t="str">
        <f>HYPERLINK("http://service.sap.com/sap/support/notes/1632092","1632092")</f>
        <v>1632092</v>
      </c>
      <c r="E5485">
        <v>1</v>
      </c>
      <c r="F5485" t="s">
        <v>8127</v>
      </c>
    </row>
    <row r="5486" spans="1:6" x14ac:dyDescent="0.25">
      <c r="A5486" t="s">
        <v>8158</v>
      </c>
      <c r="B5486" t="s">
        <v>460</v>
      </c>
      <c r="C5486" t="s">
        <v>461</v>
      </c>
      <c r="D5486" t="str">
        <f>HYPERLINK("http://service.sap.com/sap/support/notes/1632374","1632374")</f>
        <v>1632374</v>
      </c>
      <c r="E5486">
        <v>2</v>
      </c>
      <c r="F5486" t="s">
        <v>8128</v>
      </c>
    </row>
    <row r="5487" spans="1:6" x14ac:dyDescent="0.25">
      <c r="A5487" t="s">
        <v>8158</v>
      </c>
      <c r="B5487" t="s">
        <v>460</v>
      </c>
      <c r="C5487" t="s">
        <v>461</v>
      </c>
      <c r="D5487" t="str">
        <f>HYPERLINK("http://service.sap.com/sap/support/notes/1632383","1632383")</f>
        <v>1632383</v>
      </c>
      <c r="E5487">
        <v>2</v>
      </c>
      <c r="F5487" t="s">
        <v>7780</v>
      </c>
    </row>
    <row r="5488" spans="1:6" x14ac:dyDescent="0.25">
      <c r="A5488" t="s">
        <v>8158</v>
      </c>
      <c r="B5488" t="s">
        <v>460</v>
      </c>
      <c r="C5488" t="s">
        <v>461</v>
      </c>
      <c r="D5488" t="str">
        <f>HYPERLINK("http://service.sap.com/sap/support/notes/1633377","1633377")</f>
        <v>1633377</v>
      </c>
      <c r="E5488">
        <v>1</v>
      </c>
      <c r="F5488" t="s">
        <v>8129</v>
      </c>
    </row>
    <row r="5489" spans="1:6" x14ac:dyDescent="0.25">
      <c r="A5489" t="s">
        <v>8158</v>
      </c>
      <c r="B5489" t="s">
        <v>472</v>
      </c>
      <c r="C5489" t="s">
        <v>473</v>
      </c>
      <c r="D5489" t="str">
        <f>HYPERLINK("http://service.sap.com/sap/support/notes/1174708","1174708")</f>
        <v>1174708</v>
      </c>
      <c r="E5489">
        <v>1</v>
      </c>
      <c r="F5489" t="s">
        <v>1256</v>
      </c>
    </row>
    <row r="5490" spans="1:6" x14ac:dyDescent="0.25">
      <c r="A5490" t="s">
        <v>8158</v>
      </c>
      <c r="B5490" t="s">
        <v>472</v>
      </c>
      <c r="C5490" t="s">
        <v>473</v>
      </c>
      <c r="D5490" t="str">
        <f>HYPERLINK("http://service.sap.com/sap/support/notes/1582557","1582557")</f>
        <v>1582557</v>
      </c>
      <c r="E5490">
        <v>1</v>
      </c>
      <c r="F5490" t="s">
        <v>8130</v>
      </c>
    </row>
    <row r="5491" spans="1:6" x14ac:dyDescent="0.25">
      <c r="A5491" t="s">
        <v>8158</v>
      </c>
      <c r="B5491" t="s">
        <v>472</v>
      </c>
      <c r="C5491" t="s">
        <v>473</v>
      </c>
      <c r="D5491" t="str">
        <f>HYPERLINK("http://service.sap.com/sap/support/notes/1606326","1606326")</f>
        <v>1606326</v>
      </c>
      <c r="E5491">
        <v>1</v>
      </c>
      <c r="F5491" t="s">
        <v>8131</v>
      </c>
    </row>
    <row r="5492" spans="1:6" x14ac:dyDescent="0.25">
      <c r="A5492" t="s">
        <v>8158</v>
      </c>
      <c r="B5492" t="s">
        <v>472</v>
      </c>
      <c r="C5492" t="s">
        <v>473</v>
      </c>
      <c r="D5492" t="str">
        <f>HYPERLINK("http://service.sap.com/sap/support/notes/1626089","1626089")</f>
        <v>1626089</v>
      </c>
      <c r="E5492">
        <v>1</v>
      </c>
      <c r="F5492" t="s">
        <v>8132</v>
      </c>
    </row>
    <row r="5493" spans="1:6" x14ac:dyDescent="0.25">
      <c r="A5493" t="s">
        <v>8158</v>
      </c>
      <c r="B5493" t="s">
        <v>472</v>
      </c>
      <c r="C5493" t="s">
        <v>473</v>
      </c>
      <c r="D5493" t="str">
        <f>HYPERLINK("http://service.sap.com/sap/support/notes/1631300","1631300")</f>
        <v>1631300</v>
      </c>
      <c r="E5493">
        <v>1</v>
      </c>
      <c r="F5493" t="s">
        <v>8133</v>
      </c>
    </row>
    <row r="5494" spans="1:6" x14ac:dyDescent="0.25">
      <c r="A5494" t="s">
        <v>8158</v>
      </c>
      <c r="B5494" t="s">
        <v>472</v>
      </c>
      <c r="C5494" t="s">
        <v>473</v>
      </c>
      <c r="D5494" t="str">
        <f>HYPERLINK("http://service.sap.com/sap/support/notes/1631811","1631811")</f>
        <v>1631811</v>
      </c>
      <c r="E5494">
        <v>1</v>
      </c>
      <c r="F5494" t="s">
        <v>8134</v>
      </c>
    </row>
    <row r="5495" spans="1:6" x14ac:dyDescent="0.25">
      <c r="A5495" t="s">
        <v>8158</v>
      </c>
      <c r="B5495" t="s">
        <v>479</v>
      </c>
      <c r="C5495" t="s">
        <v>480</v>
      </c>
      <c r="D5495" t="str">
        <f>HYPERLINK("http://service.sap.com/sap/support/notes/1584337","1584337")</f>
        <v>1584337</v>
      </c>
      <c r="E5495">
        <v>2</v>
      </c>
      <c r="F5495" t="s">
        <v>8135</v>
      </c>
    </row>
    <row r="5496" spans="1:6" x14ac:dyDescent="0.25">
      <c r="A5496" t="s">
        <v>8158</v>
      </c>
      <c r="B5496" t="s">
        <v>479</v>
      </c>
      <c r="C5496" t="s">
        <v>480</v>
      </c>
      <c r="D5496" t="str">
        <f>HYPERLINK("http://service.sap.com/sap/support/notes/1622997","1622997")</f>
        <v>1622997</v>
      </c>
      <c r="E5496">
        <v>3</v>
      </c>
      <c r="F5496" t="s">
        <v>8136</v>
      </c>
    </row>
    <row r="5497" spans="1:6" x14ac:dyDescent="0.25">
      <c r="A5497" t="s">
        <v>8158</v>
      </c>
      <c r="B5497" t="s">
        <v>479</v>
      </c>
      <c r="C5497" t="s">
        <v>480</v>
      </c>
      <c r="D5497" t="str">
        <f>HYPERLINK("http://service.sap.com/sap/support/notes/1623024","1623024")</f>
        <v>1623024</v>
      </c>
      <c r="E5497">
        <v>1</v>
      </c>
      <c r="F5497" t="s">
        <v>8137</v>
      </c>
    </row>
    <row r="5498" spans="1:6" x14ac:dyDescent="0.25">
      <c r="A5498" t="s">
        <v>8158</v>
      </c>
      <c r="B5498" t="s">
        <v>479</v>
      </c>
      <c r="C5498" t="s">
        <v>480</v>
      </c>
      <c r="D5498" t="str">
        <f>HYPERLINK("http://service.sap.com/sap/support/notes/1623529","1623529")</f>
        <v>1623529</v>
      </c>
      <c r="E5498">
        <v>2</v>
      </c>
      <c r="F5498" t="s">
        <v>8138</v>
      </c>
    </row>
    <row r="5499" spans="1:6" x14ac:dyDescent="0.25">
      <c r="A5499" t="s">
        <v>8158</v>
      </c>
      <c r="B5499" t="s">
        <v>479</v>
      </c>
      <c r="C5499" t="s">
        <v>480</v>
      </c>
      <c r="D5499" t="str">
        <f>HYPERLINK("http://service.sap.com/sap/support/notes/1629496","1629496")</f>
        <v>1629496</v>
      </c>
      <c r="E5499">
        <v>2</v>
      </c>
      <c r="F5499" t="s">
        <v>8139</v>
      </c>
    </row>
    <row r="5500" spans="1:6" x14ac:dyDescent="0.25">
      <c r="A5500" t="s">
        <v>8158</v>
      </c>
      <c r="B5500" t="s">
        <v>487</v>
      </c>
      <c r="C5500" t="s">
        <v>153</v>
      </c>
      <c r="D5500" t="str">
        <f>HYPERLINK("http://service.sap.com/sap/support/notes/1627529","1627529")</f>
        <v>1627529</v>
      </c>
      <c r="E5500">
        <v>1</v>
      </c>
      <c r="F5500" t="s">
        <v>8140</v>
      </c>
    </row>
    <row r="5501" spans="1:6" x14ac:dyDescent="0.25">
      <c r="A5501" t="s">
        <v>8158</v>
      </c>
      <c r="B5501" t="s">
        <v>489</v>
      </c>
      <c r="C5501" t="s">
        <v>104</v>
      </c>
      <c r="D5501" t="str">
        <f>HYPERLINK("http://service.sap.com/sap/support/notes/1615952","1615952")</f>
        <v>1615952</v>
      </c>
      <c r="E5501">
        <v>1</v>
      </c>
      <c r="F5501" t="s">
        <v>8141</v>
      </c>
    </row>
    <row r="5502" spans="1:6" x14ac:dyDescent="0.25">
      <c r="A5502" t="s">
        <v>8158</v>
      </c>
      <c r="B5502" t="s">
        <v>489</v>
      </c>
      <c r="C5502" t="s">
        <v>104</v>
      </c>
      <c r="D5502" t="str">
        <f>HYPERLINK("http://service.sap.com/sap/support/notes/1627941","1627941")</f>
        <v>1627941</v>
      </c>
      <c r="E5502">
        <v>1</v>
      </c>
      <c r="F5502" t="s">
        <v>8142</v>
      </c>
    </row>
    <row r="5503" spans="1:6" x14ac:dyDescent="0.25">
      <c r="A5503" t="s">
        <v>8158</v>
      </c>
      <c r="B5503" t="s">
        <v>495</v>
      </c>
      <c r="C5503" t="s">
        <v>496</v>
      </c>
      <c r="D5503" t="str">
        <f>HYPERLINK("http://service.sap.com/sap/support/notes/1626516","1626516")</f>
        <v>1626516</v>
      </c>
      <c r="E5503">
        <v>1</v>
      </c>
      <c r="F5503" t="s">
        <v>8143</v>
      </c>
    </row>
    <row r="5504" spans="1:6" x14ac:dyDescent="0.25">
      <c r="A5504" t="s">
        <v>8158</v>
      </c>
      <c r="B5504" t="s">
        <v>495</v>
      </c>
      <c r="C5504" t="s">
        <v>496</v>
      </c>
      <c r="D5504" t="str">
        <f>HYPERLINK("http://service.sap.com/sap/support/notes/1632353","1632353")</f>
        <v>1632353</v>
      </c>
      <c r="E5504">
        <v>1</v>
      </c>
      <c r="F5504" t="s">
        <v>8144</v>
      </c>
    </row>
    <row r="5505" spans="1:6" x14ac:dyDescent="0.25">
      <c r="A5505" t="s">
        <v>8158</v>
      </c>
      <c r="B5505" t="s">
        <v>495</v>
      </c>
      <c r="C5505" t="s">
        <v>496</v>
      </c>
      <c r="D5505" t="str">
        <f>HYPERLINK("http://service.sap.com/sap/support/notes/1632451","1632451")</f>
        <v>1632451</v>
      </c>
      <c r="E5505">
        <v>1</v>
      </c>
      <c r="F5505" t="s">
        <v>8145</v>
      </c>
    </row>
    <row r="5506" spans="1:6" x14ac:dyDescent="0.25">
      <c r="A5506" t="s">
        <v>8158</v>
      </c>
      <c r="B5506" t="s">
        <v>499</v>
      </c>
      <c r="C5506" t="s">
        <v>108</v>
      </c>
    </row>
    <row r="5507" spans="1:6" x14ac:dyDescent="0.25">
      <c r="A5507" t="s">
        <v>8158</v>
      </c>
      <c r="B5507" t="s">
        <v>505</v>
      </c>
      <c r="C5507" t="s">
        <v>299</v>
      </c>
      <c r="D5507" t="str">
        <f>HYPERLINK("http://service.sap.com/sap/support/notes/1622419","1622419")</f>
        <v>1622419</v>
      </c>
      <c r="E5507">
        <v>1</v>
      </c>
      <c r="F5507" t="s">
        <v>7782</v>
      </c>
    </row>
    <row r="5508" spans="1:6" x14ac:dyDescent="0.25">
      <c r="A5508" t="s">
        <v>8158</v>
      </c>
      <c r="B5508" t="s">
        <v>508</v>
      </c>
      <c r="C5508" t="s">
        <v>509</v>
      </c>
      <c r="D5508" t="str">
        <f>HYPERLINK("http://service.sap.com/sap/support/notes/1609998","1609998")</f>
        <v>1609998</v>
      </c>
      <c r="E5508">
        <v>7</v>
      </c>
      <c r="F5508" t="s">
        <v>8146</v>
      </c>
    </row>
    <row r="5509" spans="1:6" x14ac:dyDescent="0.25">
      <c r="A5509" t="s">
        <v>8158</v>
      </c>
      <c r="B5509" t="s">
        <v>508</v>
      </c>
      <c r="C5509" t="s">
        <v>509</v>
      </c>
      <c r="D5509" t="str">
        <f>HYPERLINK("http://service.sap.com/sap/support/notes/1623373","1623373")</f>
        <v>1623373</v>
      </c>
      <c r="E5509">
        <v>3</v>
      </c>
      <c r="F5509" t="s">
        <v>8147</v>
      </c>
    </row>
    <row r="5510" spans="1:6" x14ac:dyDescent="0.25">
      <c r="A5510" t="s">
        <v>8158</v>
      </c>
      <c r="B5510" t="s">
        <v>508</v>
      </c>
      <c r="C5510" t="s">
        <v>509</v>
      </c>
      <c r="D5510" t="str">
        <f>HYPERLINK("http://service.sap.com/sap/support/notes/1630701","1630701")</f>
        <v>1630701</v>
      </c>
      <c r="E5510">
        <v>1</v>
      </c>
      <c r="F5510" t="s">
        <v>8148</v>
      </c>
    </row>
    <row r="5511" spans="1:6" x14ac:dyDescent="0.25">
      <c r="A5511" t="s">
        <v>8158</v>
      </c>
      <c r="B5511" t="s">
        <v>508</v>
      </c>
      <c r="C5511" t="s">
        <v>509</v>
      </c>
      <c r="D5511" t="str">
        <f>HYPERLINK("http://service.sap.com/sap/support/notes/1633358","1633358")</f>
        <v>1633358</v>
      </c>
      <c r="E5511">
        <v>1</v>
      </c>
      <c r="F5511" t="s">
        <v>7783</v>
      </c>
    </row>
    <row r="5512" spans="1:6" x14ac:dyDescent="0.25">
      <c r="A5512" t="s">
        <v>8158</v>
      </c>
      <c r="B5512" t="s">
        <v>525</v>
      </c>
      <c r="C5512" t="s">
        <v>526</v>
      </c>
      <c r="D5512" t="str">
        <f>HYPERLINK("http://service.sap.com/sap/support/notes/1622036","1622036")</f>
        <v>1622036</v>
      </c>
      <c r="E5512">
        <v>6</v>
      </c>
      <c r="F5512" t="s">
        <v>8149</v>
      </c>
    </row>
    <row r="5513" spans="1:6" x14ac:dyDescent="0.25">
      <c r="A5513" t="s">
        <v>8158</v>
      </c>
      <c r="B5513" t="s">
        <v>528</v>
      </c>
      <c r="C5513" t="s">
        <v>529</v>
      </c>
      <c r="D5513" t="str">
        <f>HYPERLINK("http://service.sap.com/sap/support/notes/1624506","1624506")</f>
        <v>1624506</v>
      </c>
      <c r="E5513">
        <v>1</v>
      </c>
      <c r="F5513" t="s">
        <v>8150</v>
      </c>
    </row>
    <row r="5514" spans="1:6" x14ac:dyDescent="0.25">
      <c r="A5514" t="s">
        <v>8158</v>
      </c>
      <c r="B5514" t="s">
        <v>528</v>
      </c>
      <c r="C5514" t="s">
        <v>529</v>
      </c>
      <c r="D5514" t="str">
        <f>HYPERLINK("http://service.sap.com/sap/support/notes/1630135","1630135")</f>
        <v>1630135</v>
      </c>
      <c r="E5514">
        <v>3</v>
      </c>
      <c r="F5514" t="s">
        <v>8151</v>
      </c>
    </row>
    <row r="5515" spans="1:6" x14ac:dyDescent="0.25">
      <c r="A5515" t="s">
        <v>8158</v>
      </c>
      <c r="B5515" t="s">
        <v>531</v>
      </c>
      <c r="C5515" t="s">
        <v>532</v>
      </c>
    </row>
    <row r="5516" spans="1:6" x14ac:dyDescent="0.25">
      <c r="A5516" t="s">
        <v>8158</v>
      </c>
      <c r="B5516" t="s">
        <v>1380</v>
      </c>
      <c r="C5516" t="s">
        <v>4465</v>
      </c>
      <c r="D5516" t="str">
        <f>HYPERLINK("http://service.sap.com/sap/support/notes/1600298","1600298")</f>
        <v>1600298</v>
      </c>
      <c r="E5516">
        <v>1</v>
      </c>
      <c r="F5516" t="s">
        <v>8152</v>
      </c>
    </row>
    <row r="5517" spans="1:6" x14ac:dyDescent="0.25">
      <c r="A5517" t="s">
        <v>8158</v>
      </c>
      <c r="B5517" t="s">
        <v>534</v>
      </c>
      <c r="C5517" t="s">
        <v>535</v>
      </c>
      <c r="D5517" t="str">
        <f>HYPERLINK("http://service.sap.com/sap/support/notes/1619412","1619412")</f>
        <v>1619412</v>
      </c>
      <c r="E5517">
        <v>1</v>
      </c>
      <c r="F5517" t="s">
        <v>8153</v>
      </c>
    </row>
    <row r="5518" spans="1:6" x14ac:dyDescent="0.25">
      <c r="A5518" t="s">
        <v>8158</v>
      </c>
      <c r="B5518" t="s">
        <v>534</v>
      </c>
      <c r="C5518" t="s">
        <v>535</v>
      </c>
      <c r="D5518" t="str">
        <f>HYPERLINK("http://service.sap.com/sap/support/notes/1629415","1629415")</f>
        <v>1629415</v>
      </c>
      <c r="E5518">
        <v>2</v>
      </c>
      <c r="F5518" t="s">
        <v>8154</v>
      </c>
    </row>
    <row r="5519" spans="1:6" x14ac:dyDescent="0.25">
      <c r="A5519" t="s">
        <v>8158</v>
      </c>
      <c r="B5519" t="s">
        <v>534</v>
      </c>
      <c r="C5519" t="s">
        <v>535</v>
      </c>
      <c r="D5519" t="str">
        <f>HYPERLINK("http://service.sap.com/sap/support/notes/1629953","1629953")</f>
        <v>1629953</v>
      </c>
      <c r="E5519">
        <v>1</v>
      </c>
      <c r="F5519" t="s">
        <v>8155</v>
      </c>
    </row>
    <row r="5520" spans="1:6" x14ac:dyDescent="0.25">
      <c r="A5520" t="s">
        <v>8158</v>
      </c>
      <c r="B5520" t="s">
        <v>534</v>
      </c>
      <c r="C5520" t="s">
        <v>535</v>
      </c>
      <c r="D5520" t="str">
        <f>HYPERLINK("http://service.sap.com/sap/support/notes/1630228","1630228")</f>
        <v>1630228</v>
      </c>
      <c r="E5520">
        <v>2</v>
      </c>
      <c r="F5520" t="s">
        <v>8156</v>
      </c>
    </row>
    <row r="5521" spans="1:6" x14ac:dyDescent="0.25">
      <c r="A5521" t="s">
        <v>8158</v>
      </c>
      <c r="B5521" t="s">
        <v>534</v>
      </c>
      <c r="C5521" t="s">
        <v>535</v>
      </c>
      <c r="D5521" t="str">
        <f>HYPERLINK("http://service.sap.com/sap/support/notes/1631896","1631896")</f>
        <v>1631896</v>
      </c>
      <c r="E5521">
        <v>1</v>
      </c>
      <c r="F5521" t="s">
        <v>8157</v>
      </c>
    </row>
    <row r="5523" spans="1:6" x14ac:dyDescent="0.25">
      <c r="A5523" s="1"/>
      <c r="B5523" s="1"/>
      <c r="C5523" s="1"/>
      <c r="D5523" s="1"/>
      <c r="E5523" s="1"/>
      <c r="F5523" s="1"/>
    </row>
    <row r="5525" spans="1:6" x14ac:dyDescent="0.25">
      <c r="A5525" t="s">
        <v>5781</v>
      </c>
      <c r="B5525" t="s">
        <v>5</v>
      </c>
      <c r="C5525" t="s">
        <v>6</v>
      </c>
    </row>
    <row r="5526" spans="1:6" x14ac:dyDescent="0.25">
      <c r="A5526" t="s">
        <v>5781</v>
      </c>
      <c r="B5526" t="s">
        <v>7</v>
      </c>
      <c r="C5526" t="s">
        <v>8</v>
      </c>
    </row>
    <row r="5527" spans="1:6" x14ac:dyDescent="0.25">
      <c r="A5527" t="s">
        <v>5781</v>
      </c>
      <c r="B5527" t="s">
        <v>9</v>
      </c>
      <c r="C5527" t="s">
        <v>10</v>
      </c>
      <c r="D5527" t="str">
        <f>HYPERLINK("http://service.sap.com/sap/support/notes/1427838","1427838")</f>
        <v>1427838</v>
      </c>
      <c r="E5527">
        <v>2</v>
      </c>
      <c r="F5527" t="s">
        <v>5511</v>
      </c>
    </row>
    <row r="5528" spans="1:6" x14ac:dyDescent="0.25">
      <c r="A5528" t="s">
        <v>5781</v>
      </c>
      <c r="B5528" t="s">
        <v>12</v>
      </c>
      <c r="C5528" t="s">
        <v>13</v>
      </c>
      <c r="D5528" t="str">
        <f>HYPERLINK("http://service.sap.com/sap/support/notes/1409491","1409491")</f>
        <v>1409491</v>
      </c>
      <c r="E5528">
        <v>2</v>
      </c>
      <c r="F5528" t="s">
        <v>5512</v>
      </c>
    </row>
    <row r="5529" spans="1:6" x14ac:dyDescent="0.25">
      <c r="A5529" t="s">
        <v>5781</v>
      </c>
      <c r="B5529" t="s">
        <v>573</v>
      </c>
      <c r="C5529" t="s">
        <v>4037</v>
      </c>
    </row>
    <row r="5530" spans="1:6" x14ac:dyDescent="0.25">
      <c r="A5530" t="s">
        <v>5781</v>
      </c>
      <c r="B5530" t="s">
        <v>4043</v>
      </c>
      <c r="C5530" t="s">
        <v>4044</v>
      </c>
    </row>
    <row r="5531" spans="1:6" x14ac:dyDescent="0.25">
      <c r="A5531" t="s">
        <v>5781</v>
      </c>
      <c r="B5531" t="s">
        <v>4045</v>
      </c>
      <c r="C5531" t="s">
        <v>4046</v>
      </c>
    </row>
    <row r="5532" spans="1:6" x14ac:dyDescent="0.25">
      <c r="A5532" t="s">
        <v>5781</v>
      </c>
      <c r="B5532" t="s">
        <v>4047</v>
      </c>
      <c r="C5532" t="s">
        <v>4048</v>
      </c>
      <c r="D5532" t="str">
        <f>HYPERLINK("http://service.sap.com/sap/support/notes/1072819","1072819")</f>
        <v>1072819</v>
      </c>
      <c r="E5532">
        <v>2</v>
      </c>
      <c r="F5532" t="s">
        <v>5513</v>
      </c>
    </row>
    <row r="5533" spans="1:6" x14ac:dyDescent="0.25">
      <c r="A5533" t="s">
        <v>5781</v>
      </c>
      <c r="B5533" t="s">
        <v>4047</v>
      </c>
      <c r="C5533" t="s">
        <v>4048</v>
      </c>
      <c r="D5533" t="str">
        <f>HYPERLINK("http://service.sap.com/sap/support/notes/1143980","1143980")</f>
        <v>1143980</v>
      </c>
      <c r="E5533">
        <v>2</v>
      </c>
      <c r="F5533" t="s">
        <v>5514</v>
      </c>
    </row>
    <row r="5534" spans="1:6" x14ac:dyDescent="0.25">
      <c r="A5534" t="s">
        <v>5781</v>
      </c>
      <c r="B5534" t="s">
        <v>4047</v>
      </c>
      <c r="C5534" t="s">
        <v>4048</v>
      </c>
      <c r="D5534" t="str">
        <f>HYPERLINK("http://service.sap.com/sap/support/notes/1159400","1159400")</f>
        <v>1159400</v>
      </c>
      <c r="E5534">
        <v>3</v>
      </c>
      <c r="F5534" t="s">
        <v>5515</v>
      </c>
    </row>
    <row r="5535" spans="1:6" x14ac:dyDescent="0.25">
      <c r="A5535" t="s">
        <v>5781</v>
      </c>
      <c r="B5535" t="s">
        <v>4047</v>
      </c>
      <c r="C5535" t="s">
        <v>4048</v>
      </c>
      <c r="D5535" t="str">
        <f>HYPERLINK("http://service.sap.com/sap/support/notes/1160877","1160877")</f>
        <v>1160877</v>
      </c>
      <c r="E5535">
        <v>2</v>
      </c>
      <c r="F5535" t="s">
        <v>5516</v>
      </c>
    </row>
    <row r="5536" spans="1:6" x14ac:dyDescent="0.25">
      <c r="A5536" t="s">
        <v>5781</v>
      </c>
      <c r="B5536" t="s">
        <v>4047</v>
      </c>
      <c r="C5536" t="s">
        <v>4048</v>
      </c>
      <c r="D5536" t="str">
        <f>HYPERLINK("http://service.sap.com/sap/support/notes/1171015","1171015")</f>
        <v>1171015</v>
      </c>
      <c r="E5536">
        <v>4</v>
      </c>
      <c r="F5536" t="s">
        <v>5517</v>
      </c>
    </row>
    <row r="5537" spans="1:6" x14ac:dyDescent="0.25">
      <c r="A5537" t="s">
        <v>5781</v>
      </c>
      <c r="B5537" t="s">
        <v>4047</v>
      </c>
      <c r="C5537" t="s">
        <v>4048</v>
      </c>
      <c r="D5537" t="str">
        <f>HYPERLINK("http://service.sap.com/sap/support/notes/1180011","1180011")</f>
        <v>1180011</v>
      </c>
      <c r="E5537">
        <v>4</v>
      </c>
      <c r="F5537" t="s">
        <v>5518</v>
      </c>
    </row>
    <row r="5538" spans="1:6" x14ac:dyDescent="0.25">
      <c r="A5538" t="s">
        <v>5781</v>
      </c>
      <c r="B5538" t="s">
        <v>4047</v>
      </c>
      <c r="C5538" t="s">
        <v>4048</v>
      </c>
      <c r="D5538" t="str">
        <f>HYPERLINK("http://service.sap.com/sap/support/notes/1230959","1230959")</f>
        <v>1230959</v>
      </c>
      <c r="E5538">
        <v>3</v>
      </c>
      <c r="F5538" t="s">
        <v>5519</v>
      </c>
    </row>
    <row r="5539" spans="1:6" x14ac:dyDescent="0.25">
      <c r="A5539" t="s">
        <v>5781</v>
      </c>
      <c r="B5539" t="s">
        <v>4047</v>
      </c>
      <c r="C5539" t="s">
        <v>4048</v>
      </c>
      <c r="D5539" t="str">
        <f>HYPERLINK("http://service.sap.com/sap/support/notes/1257077","1257077")</f>
        <v>1257077</v>
      </c>
      <c r="E5539">
        <v>2</v>
      </c>
      <c r="F5539" t="s">
        <v>5520</v>
      </c>
    </row>
    <row r="5540" spans="1:6" x14ac:dyDescent="0.25">
      <c r="A5540" t="s">
        <v>5781</v>
      </c>
      <c r="B5540" t="s">
        <v>4047</v>
      </c>
      <c r="C5540" t="s">
        <v>4048</v>
      </c>
      <c r="D5540" t="str">
        <f>HYPERLINK("http://service.sap.com/sap/support/notes/1340318","1340318")</f>
        <v>1340318</v>
      </c>
      <c r="E5540">
        <v>2</v>
      </c>
      <c r="F5540" t="s">
        <v>5521</v>
      </c>
    </row>
    <row r="5541" spans="1:6" x14ac:dyDescent="0.25">
      <c r="A5541" t="s">
        <v>5781</v>
      </c>
      <c r="B5541" t="s">
        <v>4047</v>
      </c>
      <c r="C5541" t="s">
        <v>4048</v>
      </c>
      <c r="D5541" t="str">
        <f>HYPERLINK("http://service.sap.com/sap/support/notes/1389203","1389203")</f>
        <v>1389203</v>
      </c>
      <c r="E5541">
        <v>2</v>
      </c>
      <c r="F5541" t="s">
        <v>5522</v>
      </c>
    </row>
    <row r="5542" spans="1:6" x14ac:dyDescent="0.25">
      <c r="A5542" t="s">
        <v>5781</v>
      </c>
      <c r="B5542" t="s">
        <v>4047</v>
      </c>
      <c r="C5542" t="s">
        <v>4048</v>
      </c>
      <c r="D5542" t="str">
        <f>HYPERLINK("http://service.sap.com/sap/support/notes/1419213","1419213")</f>
        <v>1419213</v>
      </c>
      <c r="E5542">
        <v>2</v>
      </c>
      <c r="F5542" t="s">
        <v>5523</v>
      </c>
    </row>
    <row r="5543" spans="1:6" x14ac:dyDescent="0.25">
      <c r="A5543" t="s">
        <v>5781</v>
      </c>
      <c r="B5543" t="s">
        <v>4047</v>
      </c>
      <c r="C5543" t="s">
        <v>4048</v>
      </c>
      <c r="D5543" t="str">
        <f>HYPERLINK("http://service.sap.com/sap/support/notes/1423632","1423632")</f>
        <v>1423632</v>
      </c>
      <c r="E5543">
        <v>2</v>
      </c>
      <c r="F5543" t="s">
        <v>5524</v>
      </c>
    </row>
    <row r="5544" spans="1:6" x14ac:dyDescent="0.25">
      <c r="A5544" t="s">
        <v>5781</v>
      </c>
      <c r="B5544" t="s">
        <v>4047</v>
      </c>
      <c r="C5544" t="s">
        <v>4048</v>
      </c>
      <c r="D5544" t="str">
        <f>HYPERLINK("http://service.sap.com/sap/support/notes/1428947","1428947")</f>
        <v>1428947</v>
      </c>
      <c r="E5544">
        <v>2</v>
      </c>
      <c r="F5544" t="s">
        <v>5525</v>
      </c>
    </row>
    <row r="5545" spans="1:6" x14ac:dyDescent="0.25">
      <c r="A5545" t="s">
        <v>5781</v>
      </c>
      <c r="B5545" t="s">
        <v>4047</v>
      </c>
      <c r="C5545" t="s">
        <v>4048</v>
      </c>
      <c r="D5545" t="str">
        <f>HYPERLINK("http://service.sap.com/sap/support/notes/1431579","1431579")</f>
        <v>1431579</v>
      </c>
      <c r="E5545">
        <v>2</v>
      </c>
      <c r="F5545" t="s">
        <v>5526</v>
      </c>
    </row>
    <row r="5546" spans="1:6" x14ac:dyDescent="0.25">
      <c r="A5546" t="s">
        <v>5781</v>
      </c>
      <c r="B5546" t="s">
        <v>4047</v>
      </c>
      <c r="C5546" t="s">
        <v>4048</v>
      </c>
      <c r="D5546" t="str">
        <f>HYPERLINK("http://service.sap.com/sap/support/notes/1439352","1439352")</f>
        <v>1439352</v>
      </c>
      <c r="E5546">
        <v>2</v>
      </c>
      <c r="F5546" t="s">
        <v>5527</v>
      </c>
    </row>
    <row r="5547" spans="1:6" x14ac:dyDescent="0.25">
      <c r="A5547" t="s">
        <v>5781</v>
      </c>
      <c r="B5547" t="s">
        <v>4047</v>
      </c>
      <c r="C5547" t="s">
        <v>4048</v>
      </c>
      <c r="D5547" t="str">
        <f>HYPERLINK("http://service.sap.com/sap/support/notes/1441792","1441792")</f>
        <v>1441792</v>
      </c>
      <c r="E5547">
        <v>2</v>
      </c>
      <c r="F5547" t="s">
        <v>5528</v>
      </c>
    </row>
    <row r="5548" spans="1:6" x14ac:dyDescent="0.25">
      <c r="A5548" t="s">
        <v>5781</v>
      </c>
      <c r="B5548" t="s">
        <v>4047</v>
      </c>
      <c r="C5548" t="s">
        <v>4048</v>
      </c>
      <c r="D5548" t="str">
        <f>HYPERLINK("http://service.sap.com/sap/support/notes/1444048","1444048")</f>
        <v>1444048</v>
      </c>
      <c r="E5548">
        <v>1</v>
      </c>
      <c r="F5548" t="s">
        <v>5529</v>
      </c>
    </row>
    <row r="5549" spans="1:6" x14ac:dyDescent="0.25">
      <c r="A5549" t="s">
        <v>5781</v>
      </c>
      <c r="B5549" t="s">
        <v>585</v>
      </c>
      <c r="C5549" t="s">
        <v>1443</v>
      </c>
    </row>
    <row r="5550" spans="1:6" x14ac:dyDescent="0.25">
      <c r="A5550" t="s">
        <v>5781</v>
      </c>
      <c r="B5550" t="s">
        <v>586</v>
      </c>
      <c r="C5550" t="s">
        <v>1444</v>
      </c>
    </row>
    <row r="5551" spans="1:6" x14ac:dyDescent="0.25">
      <c r="A5551" t="s">
        <v>5781</v>
      </c>
      <c r="B5551" t="s">
        <v>587</v>
      </c>
      <c r="C5551" t="s">
        <v>1445</v>
      </c>
    </row>
    <row r="5552" spans="1:6" x14ac:dyDescent="0.25">
      <c r="A5552" t="s">
        <v>5781</v>
      </c>
      <c r="B5552" t="s">
        <v>588</v>
      </c>
      <c r="C5552" t="s">
        <v>1446</v>
      </c>
      <c r="D5552" t="str">
        <f>HYPERLINK("http://service.sap.com/sap/support/notes/1443487","1443487")</f>
        <v>1443487</v>
      </c>
      <c r="E5552">
        <v>1</v>
      </c>
      <c r="F5552" t="s">
        <v>5530</v>
      </c>
    </row>
    <row r="5553" spans="1:6" x14ac:dyDescent="0.25">
      <c r="A5553" t="s">
        <v>5781</v>
      </c>
      <c r="B5553" t="s">
        <v>588</v>
      </c>
      <c r="C5553" t="s">
        <v>1446</v>
      </c>
      <c r="D5553" t="str">
        <f>HYPERLINK("http://service.sap.com/sap/support/notes/1446292","1446292")</f>
        <v>1446292</v>
      </c>
      <c r="E5553">
        <v>2</v>
      </c>
      <c r="F5553" t="s">
        <v>5531</v>
      </c>
    </row>
    <row r="5554" spans="1:6" x14ac:dyDescent="0.25">
      <c r="A5554" t="s">
        <v>5781</v>
      </c>
      <c r="B5554" t="s">
        <v>20</v>
      </c>
      <c r="C5554" t="s">
        <v>21</v>
      </c>
    </row>
    <row r="5555" spans="1:6" x14ac:dyDescent="0.25">
      <c r="A5555" t="s">
        <v>5781</v>
      </c>
      <c r="B5555" t="s">
        <v>22</v>
      </c>
      <c r="C5555" t="s">
        <v>23</v>
      </c>
      <c r="D5555" t="str">
        <f>HYPERLINK("http://service.sap.com/sap/support/notes/967007","967007")</f>
        <v>967007</v>
      </c>
      <c r="E5555">
        <v>2</v>
      </c>
      <c r="F5555" t="s">
        <v>209</v>
      </c>
    </row>
    <row r="5556" spans="1:6" x14ac:dyDescent="0.25">
      <c r="A5556" t="s">
        <v>5781</v>
      </c>
      <c r="B5556" t="s">
        <v>22</v>
      </c>
      <c r="C5556" t="s">
        <v>23</v>
      </c>
      <c r="D5556" t="str">
        <f>HYPERLINK("http://service.sap.com/sap/support/notes/1333409","1333409")</f>
        <v>1333409</v>
      </c>
      <c r="E5556">
        <v>1</v>
      </c>
      <c r="F5556" t="s">
        <v>5532</v>
      </c>
    </row>
    <row r="5557" spans="1:6" x14ac:dyDescent="0.25">
      <c r="A5557" t="s">
        <v>5781</v>
      </c>
      <c r="B5557" t="s">
        <v>22</v>
      </c>
      <c r="C5557" t="s">
        <v>23</v>
      </c>
      <c r="D5557" t="str">
        <f>HYPERLINK("http://service.sap.com/sap/support/notes/1387636","1387636")</f>
        <v>1387636</v>
      </c>
      <c r="E5557">
        <v>7</v>
      </c>
      <c r="F5557" t="s">
        <v>5533</v>
      </c>
    </row>
    <row r="5558" spans="1:6" x14ac:dyDescent="0.25">
      <c r="A5558" t="s">
        <v>5781</v>
      </c>
      <c r="B5558" t="s">
        <v>22</v>
      </c>
      <c r="C5558" t="s">
        <v>23</v>
      </c>
      <c r="D5558" t="str">
        <f>HYPERLINK("http://service.sap.com/sap/support/notes/1437947","1437947")</f>
        <v>1437947</v>
      </c>
      <c r="E5558">
        <v>1</v>
      </c>
      <c r="F5558" t="s">
        <v>5534</v>
      </c>
    </row>
    <row r="5559" spans="1:6" x14ac:dyDescent="0.25">
      <c r="A5559" t="s">
        <v>5781</v>
      </c>
      <c r="B5559" t="s">
        <v>22</v>
      </c>
      <c r="C5559" t="s">
        <v>23</v>
      </c>
      <c r="D5559" t="str">
        <f>HYPERLINK("http://service.sap.com/sap/support/notes/1442947","1442947")</f>
        <v>1442947</v>
      </c>
      <c r="E5559">
        <v>1</v>
      </c>
      <c r="F5559" t="s">
        <v>5535</v>
      </c>
    </row>
    <row r="5560" spans="1:6" x14ac:dyDescent="0.25">
      <c r="A5560" t="s">
        <v>5781</v>
      </c>
      <c r="B5560" t="s">
        <v>22</v>
      </c>
      <c r="C5560" t="s">
        <v>23</v>
      </c>
      <c r="D5560" t="str">
        <f>HYPERLINK("http://service.sap.com/sap/support/notes/1443827","1443827")</f>
        <v>1443827</v>
      </c>
      <c r="E5560">
        <v>2</v>
      </c>
      <c r="F5560" t="s">
        <v>5536</v>
      </c>
    </row>
    <row r="5561" spans="1:6" x14ac:dyDescent="0.25">
      <c r="A5561" t="s">
        <v>5781</v>
      </c>
      <c r="B5561" t="s">
        <v>22</v>
      </c>
      <c r="C5561" t="s">
        <v>23</v>
      </c>
      <c r="D5561" t="str">
        <f>HYPERLINK("http://service.sap.com/sap/support/notes/1443972","1443972")</f>
        <v>1443972</v>
      </c>
      <c r="E5561">
        <v>1</v>
      </c>
      <c r="F5561" t="s">
        <v>5537</v>
      </c>
    </row>
    <row r="5562" spans="1:6" x14ac:dyDescent="0.25">
      <c r="A5562" t="s">
        <v>5781</v>
      </c>
      <c r="B5562" t="s">
        <v>22</v>
      </c>
      <c r="C5562" t="s">
        <v>23</v>
      </c>
      <c r="D5562" t="str">
        <f>HYPERLINK("http://service.sap.com/sap/support/notes/1444660","1444660")</f>
        <v>1444660</v>
      </c>
      <c r="E5562">
        <v>1</v>
      </c>
      <c r="F5562" t="s">
        <v>5538</v>
      </c>
    </row>
    <row r="5563" spans="1:6" x14ac:dyDescent="0.25">
      <c r="A5563" t="s">
        <v>5781</v>
      </c>
      <c r="B5563" t="s">
        <v>22</v>
      </c>
      <c r="C5563" t="s">
        <v>23</v>
      </c>
      <c r="D5563" t="str">
        <f>HYPERLINK("http://service.sap.com/sap/support/notes/1444940","1444940")</f>
        <v>1444940</v>
      </c>
      <c r="E5563">
        <v>1</v>
      </c>
      <c r="F5563" t="s">
        <v>5539</v>
      </c>
    </row>
    <row r="5564" spans="1:6" x14ac:dyDescent="0.25">
      <c r="A5564" t="s">
        <v>5781</v>
      </c>
      <c r="B5564" t="s">
        <v>22</v>
      </c>
      <c r="C5564" t="s">
        <v>23</v>
      </c>
      <c r="D5564" t="str">
        <f>HYPERLINK("http://service.sap.com/sap/support/notes/1445382","1445382")</f>
        <v>1445382</v>
      </c>
      <c r="E5564">
        <v>1</v>
      </c>
      <c r="F5564" t="s">
        <v>5540</v>
      </c>
    </row>
    <row r="5565" spans="1:6" x14ac:dyDescent="0.25">
      <c r="A5565" t="s">
        <v>5781</v>
      </c>
      <c r="B5565" t="s">
        <v>22</v>
      </c>
      <c r="C5565" t="s">
        <v>23</v>
      </c>
      <c r="D5565" t="str">
        <f>HYPERLINK("http://service.sap.com/sap/support/notes/1445989","1445989")</f>
        <v>1445989</v>
      </c>
      <c r="E5565">
        <v>1</v>
      </c>
      <c r="F5565" t="s">
        <v>5541</v>
      </c>
    </row>
    <row r="5566" spans="1:6" x14ac:dyDescent="0.25">
      <c r="A5566" t="s">
        <v>5781</v>
      </c>
      <c r="B5566" t="s">
        <v>22</v>
      </c>
      <c r="C5566" t="s">
        <v>23</v>
      </c>
      <c r="D5566" t="str">
        <f>HYPERLINK("http://service.sap.com/sap/support/notes/1450714","1450714")</f>
        <v>1450714</v>
      </c>
      <c r="E5566">
        <v>1</v>
      </c>
      <c r="F5566" t="s">
        <v>5542</v>
      </c>
    </row>
    <row r="5567" spans="1:6" x14ac:dyDescent="0.25">
      <c r="A5567" t="s">
        <v>5781</v>
      </c>
      <c r="B5567" t="s">
        <v>24</v>
      </c>
      <c r="C5567" t="s">
        <v>25</v>
      </c>
      <c r="D5567" t="str">
        <f>HYPERLINK("http://service.sap.com/sap/support/notes/1130050","1130050")</f>
        <v>1130050</v>
      </c>
      <c r="E5567">
        <v>1</v>
      </c>
      <c r="F5567" t="s">
        <v>5543</v>
      </c>
    </row>
    <row r="5568" spans="1:6" x14ac:dyDescent="0.25">
      <c r="A5568" t="s">
        <v>5781</v>
      </c>
      <c r="B5568" t="s">
        <v>24</v>
      </c>
      <c r="C5568" t="s">
        <v>25</v>
      </c>
      <c r="D5568" t="str">
        <f>HYPERLINK("http://service.sap.com/sap/support/notes/1225331","1225331")</f>
        <v>1225331</v>
      </c>
      <c r="E5568">
        <v>5</v>
      </c>
      <c r="F5568" t="s">
        <v>5544</v>
      </c>
    </row>
    <row r="5569" spans="1:6" x14ac:dyDescent="0.25">
      <c r="A5569" t="s">
        <v>5781</v>
      </c>
      <c r="B5569" t="s">
        <v>24</v>
      </c>
      <c r="C5569" t="s">
        <v>25</v>
      </c>
      <c r="D5569" t="str">
        <f>HYPERLINK("http://service.sap.com/sap/support/notes/1369307","1369307")</f>
        <v>1369307</v>
      </c>
      <c r="E5569">
        <v>15</v>
      </c>
      <c r="F5569" t="s">
        <v>5545</v>
      </c>
    </row>
    <row r="5570" spans="1:6" x14ac:dyDescent="0.25">
      <c r="A5570" t="s">
        <v>5781</v>
      </c>
      <c r="B5570" t="s">
        <v>24</v>
      </c>
      <c r="C5570" t="s">
        <v>25</v>
      </c>
      <c r="D5570" t="str">
        <f>HYPERLINK("http://service.sap.com/sap/support/notes/1381537","1381537")</f>
        <v>1381537</v>
      </c>
      <c r="E5570">
        <v>3</v>
      </c>
      <c r="F5570" t="s">
        <v>5546</v>
      </c>
    </row>
    <row r="5571" spans="1:6" x14ac:dyDescent="0.25">
      <c r="A5571" t="s">
        <v>5781</v>
      </c>
      <c r="B5571" t="s">
        <v>24</v>
      </c>
      <c r="C5571" t="s">
        <v>25</v>
      </c>
      <c r="D5571" t="str">
        <f>HYPERLINK("http://service.sap.com/sap/support/notes/1391970","1391970")</f>
        <v>1391970</v>
      </c>
      <c r="E5571">
        <v>1</v>
      </c>
      <c r="F5571" t="s">
        <v>5547</v>
      </c>
    </row>
    <row r="5572" spans="1:6" x14ac:dyDescent="0.25">
      <c r="A5572" t="s">
        <v>5781</v>
      </c>
      <c r="B5572" t="s">
        <v>24</v>
      </c>
      <c r="C5572" t="s">
        <v>25</v>
      </c>
      <c r="D5572" t="str">
        <f>HYPERLINK("http://service.sap.com/sap/support/notes/1435868","1435868")</f>
        <v>1435868</v>
      </c>
      <c r="E5572">
        <v>4</v>
      </c>
      <c r="F5572" t="s">
        <v>5548</v>
      </c>
    </row>
    <row r="5573" spans="1:6" x14ac:dyDescent="0.25">
      <c r="A5573" t="s">
        <v>5781</v>
      </c>
      <c r="B5573" t="s">
        <v>24</v>
      </c>
      <c r="C5573" t="s">
        <v>25</v>
      </c>
      <c r="D5573" t="str">
        <f>HYPERLINK("http://service.sap.com/sap/support/notes/1436239","1436239")</f>
        <v>1436239</v>
      </c>
      <c r="E5573">
        <v>4</v>
      </c>
      <c r="F5573" t="s">
        <v>5549</v>
      </c>
    </row>
    <row r="5574" spans="1:6" x14ac:dyDescent="0.25">
      <c r="A5574" t="s">
        <v>5781</v>
      </c>
      <c r="B5574" t="s">
        <v>24</v>
      </c>
      <c r="C5574" t="s">
        <v>25</v>
      </c>
      <c r="D5574" t="str">
        <f>HYPERLINK("http://service.sap.com/sap/support/notes/1436978","1436978")</f>
        <v>1436978</v>
      </c>
      <c r="E5574">
        <v>1</v>
      </c>
      <c r="F5574" t="s">
        <v>5550</v>
      </c>
    </row>
    <row r="5575" spans="1:6" x14ac:dyDescent="0.25">
      <c r="A5575" t="s">
        <v>5781</v>
      </c>
      <c r="B5575" t="s">
        <v>24</v>
      </c>
      <c r="C5575" t="s">
        <v>25</v>
      </c>
      <c r="D5575" t="str">
        <f>HYPERLINK("http://service.sap.com/sap/support/notes/1438342","1438342")</f>
        <v>1438342</v>
      </c>
      <c r="E5575">
        <v>1</v>
      </c>
      <c r="F5575" t="s">
        <v>5551</v>
      </c>
    </row>
    <row r="5576" spans="1:6" x14ac:dyDescent="0.25">
      <c r="A5576" t="s">
        <v>5781</v>
      </c>
      <c r="B5576" t="s">
        <v>24</v>
      </c>
      <c r="C5576" t="s">
        <v>25</v>
      </c>
      <c r="D5576" t="str">
        <f>HYPERLINK("http://service.sap.com/sap/support/notes/1439045","1439045")</f>
        <v>1439045</v>
      </c>
      <c r="E5576">
        <v>1</v>
      </c>
      <c r="F5576" t="s">
        <v>5552</v>
      </c>
    </row>
    <row r="5577" spans="1:6" x14ac:dyDescent="0.25">
      <c r="A5577" t="s">
        <v>5781</v>
      </c>
      <c r="B5577" t="s">
        <v>24</v>
      </c>
      <c r="C5577" t="s">
        <v>25</v>
      </c>
      <c r="D5577" t="str">
        <f>HYPERLINK("http://service.sap.com/sap/support/notes/1440421","1440421")</f>
        <v>1440421</v>
      </c>
      <c r="E5577">
        <v>1</v>
      </c>
      <c r="F5577" t="s">
        <v>5553</v>
      </c>
    </row>
    <row r="5578" spans="1:6" x14ac:dyDescent="0.25">
      <c r="A5578" t="s">
        <v>5781</v>
      </c>
      <c r="B5578" t="s">
        <v>24</v>
      </c>
      <c r="C5578" t="s">
        <v>25</v>
      </c>
      <c r="D5578" t="str">
        <f>HYPERLINK("http://service.sap.com/sap/support/notes/1440422","1440422")</f>
        <v>1440422</v>
      </c>
      <c r="E5578">
        <v>2</v>
      </c>
      <c r="F5578" t="s">
        <v>5554</v>
      </c>
    </row>
    <row r="5579" spans="1:6" x14ac:dyDescent="0.25">
      <c r="A5579" t="s">
        <v>5781</v>
      </c>
      <c r="B5579" t="s">
        <v>24</v>
      </c>
      <c r="C5579" t="s">
        <v>25</v>
      </c>
      <c r="D5579" t="str">
        <f>HYPERLINK("http://service.sap.com/sap/support/notes/1444671","1444671")</f>
        <v>1444671</v>
      </c>
      <c r="E5579">
        <v>2</v>
      </c>
      <c r="F5579" t="s">
        <v>5555</v>
      </c>
    </row>
    <row r="5580" spans="1:6" x14ac:dyDescent="0.25">
      <c r="A5580" t="s">
        <v>5781</v>
      </c>
      <c r="B5580" t="s">
        <v>24</v>
      </c>
      <c r="C5580" t="s">
        <v>25</v>
      </c>
      <c r="D5580" t="str">
        <f>HYPERLINK("http://service.sap.com/sap/support/notes/1446367","1446367")</f>
        <v>1446367</v>
      </c>
      <c r="E5580">
        <v>1</v>
      </c>
      <c r="F5580" t="s">
        <v>5556</v>
      </c>
    </row>
    <row r="5581" spans="1:6" x14ac:dyDescent="0.25">
      <c r="A5581" t="s">
        <v>5781</v>
      </c>
      <c r="B5581" t="s">
        <v>24</v>
      </c>
      <c r="C5581" t="s">
        <v>25</v>
      </c>
      <c r="D5581" t="str">
        <f>HYPERLINK("http://service.sap.com/sap/support/notes/1447330","1447330")</f>
        <v>1447330</v>
      </c>
      <c r="E5581">
        <v>10</v>
      </c>
      <c r="F5581" t="s">
        <v>5557</v>
      </c>
    </row>
    <row r="5582" spans="1:6" x14ac:dyDescent="0.25">
      <c r="A5582" t="s">
        <v>5781</v>
      </c>
      <c r="B5582" t="s">
        <v>24</v>
      </c>
      <c r="C5582" t="s">
        <v>25</v>
      </c>
      <c r="D5582" t="str">
        <f>HYPERLINK("http://service.sap.com/sap/support/notes/1447443","1447443")</f>
        <v>1447443</v>
      </c>
      <c r="E5582">
        <v>1</v>
      </c>
      <c r="F5582" t="s">
        <v>5558</v>
      </c>
    </row>
    <row r="5583" spans="1:6" x14ac:dyDescent="0.25">
      <c r="A5583" t="s">
        <v>5781</v>
      </c>
      <c r="B5583" t="s">
        <v>24</v>
      </c>
      <c r="C5583" t="s">
        <v>25</v>
      </c>
      <c r="D5583" t="str">
        <f>HYPERLINK("http://service.sap.com/sap/support/notes/1447447","1447447")</f>
        <v>1447447</v>
      </c>
      <c r="E5583">
        <v>1</v>
      </c>
      <c r="F5583" t="s">
        <v>5559</v>
      </c>
    </row>
    <row r="5584" spans="1:6" x14ac:dyDescent="0.25">
      <c r="A5584" t="s">
        <v>5781</v>
      </c>
      <c r="B5584" t="s">
        <v>24</v>
      </c>
      <c r="C5584" t="s">
        <v>25</v>
      </c>
      <c r="D5584" t="str">
        <f>HYPERLINK("http://service.sap.com/sap/support/notes/1447682","1447682")</f>
        <v>1447682</v>
      </c>
      <c r="E5584">
        <v>1</v>
      </c>
      <c r="F5584" t="s">
        <v>5560</v>
      </c>
    </row>
    <row r="5585" spans="1:6" x14ac:dyDescent="0.25">
      <c r="A5585" t="s">
        <v>5781</v>
      </c>
      <c r="B5585" t="s">
        <v>24</v>
      </c>
      <c r="C5585" t="s">
        <v>25</v>
      </c>
      <c r="D5585" t="str">
        <f>HYPERLINK("http://service.sap.com/sap/support/notes/1448689","1448689")</f>
        <v>1448689</v>
      </c>
      <c r="E5585">
        <v>1</v>
      </c>
      <c r="F5585" t="s">
        <v>5561</v>
      </c>
    </row>
    <row r="5586" spans="1:6" x14ac:dyDescent="0.25">
      <c r="A5586" t="s">
        <v>5781</v>
      </c>
      <c r="B5586" t="s">
        <v>24</v>
      </c>
      <c r="C5586" t="s">
        <v>25</v>
      </c>
      <c r="D5586" t="str">
        <f>HYPERLINK("http://service.sap.com/sap/support/notes/1448789","1448789")</f>
        <v>1448789</v>
      </c>
      <c r="E5586">
        <v>1</v>
      </c>
      <c r="F5586" t="s">
        <v>5562</v>
      </c>
    </row>
    <row r="5587" spans="1:6" x14ac:dyDescent="0.25">
      <c r="A5587" t="s">
        <v>5781</v>
      </c>
      <c r="B5587" t="s">
        <v>24</v>
      </c>
      <c r="C5587" t="s">
        <v>25</v>
      </c>
      <c r="D5587" t="str">
        <f>HYPERLINK("http://service.sap.com/sap/support/notes/1449154","1449154")</f>
        <v>1449154</v>
      </c>
      <c r="E5587">
        <v>1</v>
      </c>
      <c r="F5587" t="s">
        <v>5563</v>
      </c>
    </row>
    <row r="5588" spans="1:6" x14ac:dyDescent="0.25">
      <c r="A5588" t="s">
        <v>5781</v>
      </c>
      <c r="B5588" t="s">
        <v>24</v>
      </c>
      <c r="C5588" t="s">
        <v>25</v>
      </c>
      <c r="D5588" t="str">
        <f>HYPERLINK("http://service.sap.com/sap/support/notes/1449964","1449964")</f>
        <v>1449964</v>
      </c>
      <c r="E5588">
        <v>1</v>
      </c>
      <c r="F5588" t="s">
        <v>5564</v>
      </c>
    </row>
    <row r="5589" spans="1:6" x14ac:dyDescent="0.25">
      <c r="A5589" t="s">
        <v>5781</v>
      </c>
      <c r="B5589" t="s">
        <v>24</v>
      </c>
      <c r="C5589" t="s">
        <v>25</v>
      </c>
      <c r="D5589" t="str">
        <f>HYPERLINK("http://service.sap.com/sap/support/notes/1450333","1450333")</f>
        <v>1450333</v>
      </c>
      <c r="E5589">
        <v>2</v>
      </c>
      <c r="F5589" t="s">
        <v>5565</v>
      </c>
    </row>
    <row r="5590" spans="1:6" x14ac:dyDescent="0.25">
      <c r="A5590" t="s">
        <v>5781</v>
      </c>
      <c r="B5590" t="s">
        <v>24</v>
      </c>
      <c r="C5590" t="s">
        <v>25</v>
      </c>
      <c r="D5590" t="str">
        <f>HYPERLINK("http://service.sap.com/sap/support/notes/1450956","1450956")</f>
        <v>1450956</v>
      </c>
      <c r="E5590">
        <v>1</v>
      </c>
      <c r="F5590" t="s">
        <v>5566</v>
      </c>
    </row>
    <row r="5591" spans="1:6" x14ac:dyDescent="0.25">
      <c r="A5591" t="s">
        <v>5781</v>
      </c>
      <c r="B5591" t="s">
        <v>24</v>
      </c>
      <c r="C5591" t="s">
        <v>25</v>
      </c>
      <c r="D5591" t="str">
        <f>HYPERLINK("http://service.sap.com/sap/support/notes/1451369","1451369")</f>
        <v>1451369</v>
      </c>
      <c r="E5591">
        <v>1</v>
      </c>
      <c r="F5591" t="s">
        <v>5567</v>
      </c>
    </row>
    <row r="5592" spans="1:6" x14ac:dyDescent="0.25">
      <c r="A5592" t="s">
        <v>5781</v>
      </c>
      <c r="B5592" t="s">
        <v>24</v>
      </c>
      <c r="C5592" t="s">
        <v>25</v>
      </c>
      <c r="D5592" t="str">
        <f>HYPERLINK("http://service.sap.com/sap/support/notes/1452405","1452405")</f>
        <v>1452405</v>
      </c>
      <c r="E5592">
        <v>2</v>
      </c>
      <c r="F5592" t="s">
        <v>5568</v>
      </c>
    </row>
    <row r="5593" spans="1:6" x14ac:dyDescent="0.25">
      <c r="A5593" t="s">
        <v>5781</v>
      </c>
      <c r="B5593" t="s">
        <v>24</v>
      </c>
      <c r="C5593" t="s">
        <v>25</v>
      </c>
      <c r="D5593" t="str">
        <f>HYPERLINK("http://service.sap.com/sap/support/notes/1452406","1452406")</f>
        <v>1452406</v>
      </c>
      <c r="E5593">
        <v>1</v>
      </c>
      <c r="F5593" t="s">
        <v>5569</v>
      </c>
    </row>
    <row r="5594" spans="1:6" x14ac:dyDescent="0.25">
      <c r="A5594" t="s">
        <v>5781</v>
      </c>
      <c r="B5594" t="s">
        <v>24</v>
      </c>
      <c r="C5594" t="s">
        <v>25</v>
      </c>
      <c r="D5594" t="str">
        <f>HYPERLINK("http://service.sap.com/sap/support/notes/1452958","1452958")</f>
        <v>1452958</v>
      </c>
      <c r="E5594">
        <v>1</v>
      </c>
      <c r="F5594" t="s">
        <v>5570</v>
      </c>
    </row>
    <row r="5595" spans="1:6" x14ac:dyDescent="0.25">
      <c r="A5595" t="s">
        <v>5781</v>
      </c>
      <c r="B5595" t="s">
        <v>24</v>
      </c>
      <c r="C5595" t="s">
        <v>25</v>
      </c>
      <c r="D5595" t="str">
        <f>HYPERLINK("http://service.sap.com/sap/support/notes/1454187","1454187")</f>
        <v>1454187</v>
      </c>
      <c r="E5595">
        <v>1</v>
      </c>
      <c r="F5595" t="s">
        <v>5571</v>
      </c>
    </row>
    <row r="5596" spans="1:6" x14ac:dyDescent="0.25">
      <c r="A5596" t="s">
        <v>5781</v>
      </c>
      <c r="B5596" t="s">
        <v>24</v>
      </c>
      <c r="C5596" t="s">
        <v>25</v>
      </c>
      <c r="D5596" t="str">
        <f>HYPERLINK("http://service.sap.com/sap/support/notes/1454425","1454425")</f>
        <v>1454425</v>
      </c>
      <c r="E5596">
        <v>1</v>
      </c>
      <c r="F5596" t="s">
        <v>5572</v>
      </c>
    </row>
    <row r="5597" spans="1:6" x14ac:dyDescent="0.25">
      <c r="A5597" t="s">
        <v>5781</v>
      </c>
      <c r="B5597" t="s">
        <v>24</v>
      </c>
      <c r="C5597" t="s">
        <v>25</v>
      </c>
      <c r="D5597" t="str">
        <f>HYPERLINK("http://service.sap.com/sap/support/notes/1454834","1454834")</f>
        <v>1454834</v>
      </c>
      <c r="E5597">
        <v>1</v>
      </c>
      <c r="F5597" t="s">
        <v>5573</v>
      </c>
    </row>
    <row r="5598" spans="1:6" x14ac:dyDescent="0.25">
      <c r="A5598" t="s">
        <v>5781</v>
      </c>
      <c r="B5598" t="s">
        <v>4074</v>
      </c>
      <c r="C5598" t="s">
        <v>4075</v>
      </c>
      <c r="D5598" t="str">
        <f>HYPERLINK("http://service.sap.com/sap/support/notes/1430498","1430498")</f>
        <v>1430498</v>
      </c>
      <c r="E5598">
        <v>1</v>
      </c>
      <c r="F5598" t="s">
        <v>5574</v>
      </c>
    </row>
    <row r="5599" spans="1:6" x14ac:dyDescent="0.25">
      <c r="A5599" t="s">
        <v>5781</v>
      </c>
      <c r="B5599" t="s">
        <v>4074</v>
      </c>
      <c r="C5599" t="s">
        <v>4075</v>
      </c>
      <c r="D5599" t="str">
        <f>HYPERLINK("http://service.sap.com/sap/support/notes/1438847","1438847")</f>
        <v>1438847</v>
      </c>
      <c r="E5599">
        <v>1</v>
      </c>
      <c r="F5599" t="s">
        <v>5575</v>
      </c>
    </row>
    <row r="5600" spans="1:6" x14ac:dyDescent="0.25">
      <c r="A5600" t="s">
        <v>5781</v>
      </c>
      <c r="B5600" t="s">
        <v>4074</v>
      </c>
      <c r="C5600" t="s">
        <v>4075</v>
      </c>
      <c r="D5600" t="str">
        <f>HYPERLINK("http://service.sap.com/sap/support/notes/1439913","1439913")</f>
        <v>1439913</v>
      </c>
      <c r="E5600">
        <v>1</v>
      </c>
      <c r="F5600" t="s">
        <v>5576</v>
      </c>
    </row>
    <row r="5601" spans="1:6" x14ac:dyDescent="0.25">
      <c r="A5601" t="s">
        <v>5781</v>
      </c>
      <c r="B5601" t="s">
        <v>4074</v>
      </c>
      <c r="C5601" t="s">
        <v>4075</v>
      </c>
      <c r="D5601" t="str">
        <f>HYPERLINK("http://service.sap.com/sap/support/notes/1440125","1440125")</f>
        <v>1440125</v>
      </c>
      <c r="E5601">
        <v>1</v>
      </c>
      <c r="F5601" t="s">
        <v>5577</v>
      </c>
    </row>
    <row r="5602" spans="1:6" x14ac:dyDescent="0.25">
      <c r="A5602" t="s">
        <v>5781</v>
      </c>
      <c r="B5602" t="s">
        <v>4074</v>
      </c>
      <c r="C5602" t="s">
        <v>4075</v>
      </c>
      <c r="D5602" t="str">
        <f>HYPERLINK("http://service.sap.com/sap/support/notes/1440967","1440967")</f>
        <v>1440967</v>
      </c>
      <c r="E5602">
        <v>1</v>
      </c>
      <c r="F5602" t="s">
        <v>5578</v>
      </c>
    </row>
    <row r="5603" spans="1:6" x14ac:dyDescent="0.25">
      <c r="A5603" t="s">
        <v>5781</v>
      </c>
      <c r="B5603" t="s">
        <v>4074</v>
      </c>
      <c r="C5603" t="s">
        <v>4075</v>
      </c>
      <c r="D5603" t="str">
        <f>HYPERLINK("http://service.sap.com/sap/support/notes/1442001","1442001")</f>
        <v>1442001</v>
      </c>
      <c r="E5603">
        <v>1</v>
      </c>
      <c r="F5603" t="s">
        <v>5579</v>
      </c>
    </row>
    <row r="5604" spans="1:6" x14ac:dyDescent="0.25">
      <c r="A5604" t="s">
        <v>5781</v>
      </c>
      <c r="B5604" t="s">
        <v>4074</v>
      </c>
      <c r="C5604" t="s">
        <v>4075</v>
      </c>
      <c r="D5604" t="str">
        <f>HYPERLINK("http://service.sap.com/sap/support/notes/1442057","1442057")</f>
        <v>1442057</v>
      </c>
      <c r="E5604">
        <v>1</v>
      </c>
      <c r="F5604" t="s">
        <v>5580</v>
      </c>
    </row>
    <row r="5605" spans="1:6" x14ac:dyDescent="0.25">
      <c r="A5605" t="s">
        <v>5781</v>
      </c>
      <c r="B5605" t="s">
        <v>4074</v>
      </c>
      <c r="C5605" t="s">
        <v>4075</v>
      </c>
      <c r="D5605" t="str">
        <f>HYPERLINK("http://service.sap.com/sap/support/notes/1443293","1443293")</f>
        <v>1443293</v>
      </c>
      <c r="E5605">
        <v>1</v>
      </c>
      <c r="F5605" t="s">
        <v>5581</v>
      </c>
    </row>
    <row r="5606" spans="1:6" x14ac:dyDescent="0.25">
      <c r="A5606" t="s">
        <v>5781</v>
      </c>
      <c r="B5606" t="s">
        <v>4074</v>
      </c>
      <c r="C5606" t="s">
        <v>4075</v>
      </c>
      <c r="D5606" t="str">
        <f>HYPERLINK("http://service.sap.com/sap/support/notes/1445931","1445931")</f>
        <v>1445931</v>
      </c>
      <c r="E5606">
        <v>2</v>
      </c>
      <c r="F5606" t="s">
        <v>5582</v>
      </c>
    </row>
    <row r="5607" spans="1:6" x14ac:dyDescent="0.25">
      <c r="A5607" t="s">
        <v>5781</v>
      </c>
      <c r="B5607" t="s">
        <v>4074</v>
      </c>
      <c r="C5607" t="s">
        <v>4075</v>
      </c>
      <c r="D5607" t="str">
        <f>HYPERLINK("http://service.sap.com/sap/support/notes/1446479","1446479")</f>
        <v>1446479</v>
      </c>
      <c r="E5607">
        <v>1</v>
      </c>
      <c r="F5607" t="s">
        <v>5583</v>
      </c>
    </row>
    <row r="5608" spans="1:6" x14ac:dyDescent="0.25">
      <c r="A5608" t="s">
        <v>5781</v>
      </c>
      <c r="B5608" t="s">
        <v>4074</v>
      </c>
      <c r="C5608" t="s">
        <v>4075</v>
      </c>
      <c r="D5608" t="str">
        <f>HYPERLINK("http://service.sap.com/sap/support/notes/1446524","1446524")</f>
        <v>1446524</v>
      </c>
      <c r="E5608">
        <v>2</v>
      </c>
      <c r="F5608" t="s">
        <v>5584</v>
      </c>
    </row>
    <row r="5609" spans="1:6" x14ac:dyDescent="0.25">
      <c r="A5609" t="s">
        <v>5781</v>
      </c>
      <c r="B5609" t="s">
        <v>4074</v>
      </c>
      <c r="C5609" t="s">
        <v>4075</v>
      </c>
      <c r="D5609" t="str">
        <f>HYPERLINK("http://service.sap.com/sap/support/notes/1449133","1449133")</f>
        <v>1449133</v>
      </c>
      <c r="E5609">
        <v>1</v>
      </c>
      <c r="F5609" t="s">
        <v>5585</v>
      </c>
    </row>
    <row r="5610" spans="1:6" x14ac:dyDescent="0.25">
      <c r="A5610" t="s">
        <v>5781</v>
      </c>
      <c r="B5610" t="s">
        <v>4074</v>
      </c>
      <c r="C5610" t="s">
        <v>4075</v>
      </c>
      <c r="D5610" t="str">
        <f>HYPERLINK("http://service.sap.com/sap/support/notes/1449308","1449308")</f>
        <v>1449308</v>
      </c>
      <c r="E5610">
        <v>3</v>
      </c>
      <c r="F5610" t="s">
        <v>5586</v>
      </c>
    </row>
    <row r="5611" spans="1:6" x14ac:dyDescent="0.25">
      <c r="A5611" t="s">
        <v>5781</v>
      </c>
      <c r="B5611" t="s">
        <v>4074</v>
      </c>
      <c r="C5611" t="s">
        <v>4075</v>
      </c>
      <c r="D5611" t="str">
        <f>HYPERLINK("http://service.sap.com/sap/support/notes/1451399","1451399")</f>
        <v>1451399</v>
      </c>
      <c r="E5611">
        <v>2</v>
      </c>
      <c r="F5611" t="s">
        <v>5587</v>
      </c>
    </row>
    <row r="5612" spans="1:6" x14ac:dyDescent="0.25">
      <c r="A5612" t="s">
        <v>5781</v>
      </c>
      <c r="B5612" t="s">
        <v>4074</v>
      </c>
      <c r="C5612" t="s">
        <v>4075</v>
      </c>
      <c r="D5612" t="str">
        <f>HYPERLINK("http://service.sap.com/sap/support/notes/1453186","1453186")</f>
        <v>1453186</v>
      </c>
      <c r="E5612">
        <v>2</v>
      </c>
      <c r="F5612" t="s">
        <v>5588</v>
      </c>
    </row>
    <row r="5613" spans="1:6" x14ac:dyDescent="0.25">
      <c r="A5613" t="s">
        <v>5781</v>
      </c>
      <c r="B5613" t="s">
        <v>5589</v>
      </c>
      <c r="C5613" t="s">
        <v>5590</v>
      </c>
      <c r="D5613" t="str">
        <f>HYPERLINK("http://service.sap.com/sap/support/notes/1310599","1310599")</f>
        <v>1310599</v>
      </c>
      <c r="E5613">
        <v>1</v>
      </c>
      <c r="F5613" t="s">
        <v>5591</v>
      </c>
    </row>
    <row r="5614" spans="1:6" x14ac:dyDescent="0.25">
      <c r="A5614" t="s">
        <v>5781</v>
      </c>
      <c r="B5614" t="s">
        <v>4081</v>
      </c>
      <c r="C5614" t="s">
        <v>4082</v>
      </c>
      <c r="D5614" t="str">
        <f>HYPERLINK("http://service.sap.com/sap/support/notes/1417781","1417781")</f>
        <v>1417781</v>
      </c>
      <c r="E5614">
        <v>1</v>
      </c>
      <c r="F5614" t="s">
        <v>5592</v>
      </c>
    </row>
    <row r="5615" spans="1:6" x14ac:dyDescent="0.25">
      <c r="A5615" t="s">
        <v>5781</v>
      </c>
      <c r="B5615" t="s">
        <v>4081</v>
      </c>
      <c r="C5615" t="s">
        <v>4082</v>
      </c>
      <c r="D5615" t="str">
        <f>HYPERLINK("http://service.sap.com/sap/support/notes/1438559","1438559")</f>
        <v>1438559</v>
      </c>
      <c r="E5615">
        <v>2</v>
      </c>
      <c r="F5615" t="s">
        <v>5593</v>
      </c>
    </row>
    <row r="5616" spans="1:6" x14ac:dyDescent="0.25">
      <c r="A5616" t="s">
        <v>5781</v>
      </c>
      <c r="B5616" t="s">
        <v>4081</v>
      </c>
      <c r="C5616" t="s">
        <v>4082</v>
      </c>
      <c r="D5616" t="str">
        <f>HYPERLINK("http://service.sap.com/sap/support/notes/1440136","1440136")</f>
        <v>1440136</v>
      </c>
      <c r="E5616">
        <v>3</v>
      </c>
      <c r="F5616" t="s">
        <v>5594</v>
      </c>
    </row>
    <row r="5617" spans="1:6" x14ac:dyDescent="0.25">
      <c r="A5617" t="s">
        <v>5781</v>
      </c>
      <c r="B5617" t="s">
        <v>4081</v>
      </c>
      <c r="C5617" t="s">
        <v>4082</v>
      </c>
      <c r="D5617" t="str">
        <f>HYPERLINK("http://service.sap.com/sap/support/notes/1444735","1444735")</f>
        <v>1444735</v>
      </c>
      <c r="E5617">
        <v>1</v>
      </c>
      <c r="F5617" t="s">
        <v>5595</v>
      </c>
    </row>
    <row r="5618" spans="1:6" x14ac:dyDescent="0.25">
      <c r="A5618" t="s">
        <v>5781</v>
      </c>
      <c r="B5618" t="s">
        <v>4081</v>
      </c>
      <c r="C5618" t="s">
        <v>4082</v>
      </c>
      <c r="D5618" t="str">
        <f>HYPERLINK("http://service.sap.com/sap/support/notes/1447687","1447687")</f>
        <v>1447687</v>
      </c>
      <c r="E5618">
        <v>1</v>
      </c>
      <c r="F5618" t="s">
        <v>5596</v>
      </c>
    </row>
    <row r="5619" spans="1:6" x14ac:dyDescent="0.25">
      <c r="A5619" t="s">
        <v>5781</v>
      </c>
      <c r="B5619" t="s">
        <v>4081</v>
      </c>
      <c r="C5619" t="s">
        <v>4082</v>
      </c>
      <c r="D5619" t="str">
        <f>HYPERLINK("http://service.sap.com/sap/support/notes/1450759","1450759")</f>
        <v>1450759</v>
      </c>
      <c r="E5619">
        <v>2</v>
      </c>
      <c r="F5619" t="s">
        <v>5597</v>
      </c>
    </row>
    <row r="5620" spans="1:6" x14ac:dyDescent="0.25">
      <c r="A5620" t="s">
        <v>5781</v>
      </c>
      <c r="B5620" t="s">
        <v>4248</v>
      </c>
      <c r="C5620" t="s">
        <v>4249</v>
      </c>
      <c r="D5620" t="str">
        <f>HYPERLINK("http://service.sap.com/sap/support/notes/1411477","1411477")</f>
        <v>1411477</v>
      </c>
      <c r="E5620">
        <v>3</v>
      </c>
      <c r="F5620" t="s">
        <v>5598</v>
      </c>
    </row>
    <row r="5621" spans="1:6" x14ac:dyDescent="0.25">
      <c r="A5621" t="s">
        <v>5781</v>
      </c>
      <c r="B5621" t="s">
        <v>4248</v>
      </c>
      <c r="C5621" t="s">
        <v>4249</v>
      </c>
      <c r="D5621" t="str">
        <f>HYPERLINK("http://service.sap.com/sap/support/notes/1436766","1436766")</f>
        <v>1436766</v>
      </c>
      <c r="E5621">
        <v>2</v>
      </c>
      <c r="F5621" t="s">
        <v>5599</v>
      </c>
    </row>
    <row r="5622" spans="1:6" x14ac:dyDescent="0.25">
      <c r="A5622" t="s">
        <v>5781</v>
      </c>
      <c r="B5622" t="s">
        <v>4248</v>
      </c>
      <c r="C5622" t="s">
        <v>4249</v>
      </c>
      <c r="D5622" t="str">
        <f>HYPERLINK("http://service.sap.com/sap/support/notes/1437449","1437449")</f>
        <v>1437449</v>
      </c>
      <c r="E5622">
        <v>2</v>
      </c>
      <c r="F5622" t="s">
        <v>5600</v>
      </c>
    </row>
    <row r="5623" spans="1:6" x14ac:dyDescent="0.25">
      <c r="A5623" t="s">
        <v>5781</v>
      </c>
      <c r="B5623" t="s">
        <v>5601</v>
      </c>
      <c r="C5623" t="s">
        <v>5602</v>
      </c>
      <c r="D5623" t="str">
        <f>HYPERLINK("http://service.sap.com/sap/support/notes/1444306","1444306")</f>
        <v>1444306</v>
      </c>
      <c r="E5623">
        <v>3</v>
      </c>
      <c r="F5623" t="s">
        <v>5603</v>
      </c>
    </row>
    <row r="5624" spans="1:6" x14ac:dyDescent="0.25">
      <c r="A5624" t="s">
        <v>5781</v>
      </c>
      <c r="B5624" t="s">
        <v>5601</v>
      </c>
      <c r="C5624" t="s">
        <v>5602</v>
      </c>
      <c r="D5624" t="str">
        <f>HYPERLINK("http://service.sap.com/sap/support/notes/1445112","1445112")</f>
        <v>1445112</v>
      </c>
      <c r="E5624">
        <v>1</v>
      </c>
      <c r="F5624" t="s">
        <v>5604</v>
      </c>
    </row>
    <row r="5625" spans="1:6" x14ac:dyDescent="0.25">
      <c r="A5625" t="s">
        <v>5781</v>
      </c>
      <c r="B5625" t="s">
        <v>5605</v>
      </c>
      <c r="C5625" t="s">
        <v>5606</v>
      </c>
      <c r="D5625" t="str">
        <f>HYPERLINK("http://service.sap.com/sap/support/notes/1448155","1448155")</f>
        <v>1448155</v>
      </c>
      <c r="E5625">
        <v>1</v>
      </c>
      <c r="F5625" t="s">
        <v>5607</v>
      </c>
    </row>
    <row r="5626" spans="1:6" x14ac:dyDescent="0.25">
      <c r="A5626" t="s">
        <v>5781</v>
      </c>
      <c r="B5626" t="s">
        <v>4088</v>
      </c>
      <c r="C5626" t="s">
        <v>4089</v>
      </c>
      <c r="D5626" t="str">
        <f>HYPERLINK("http://service.sap.com/sap/support/notes/1439378","1439378")</f>
        <v>1439378</v>
      </c>
      <c r="E5626">
        <v>2</v>
      </c>
      <c r="F5626" t="s">
        <v>5608</v>
      </c>
    </row>
    <row r="5627" spans="1:6" x14ac:dyDescent="0.25">
      <c r="A5627" t="s">
        <v>5781</v>
      </c>
      <c r="B5627" t="s">
        <v>4088</v>
      </c>
      <c r="C5627" t="s">
        <v>4089</v>
      </c>
      <c r="D5627" t="str">
        <f>HYPERLINK("http://service.sap.com/sap/support/notes/1446988","1446988")</f>
        <v>1446988</v>
      </c>
      <c r="E5627">
        <v>1</v>
      </c>
      <c r="F5627" t="s">
        <v>5609</v>
      </c>
    </row>
    <row r="5628" spans="1:6" x14ac:dyDescent="0.25">
      <c r="A5628" t="s">
        <v>5781</v>
      </c>
      <c r="B5628" t="s">
        <v>5610</v>
      </c>
      <c r="C5628" t="s">
        <v>5611</v>
      </c>
    </row>
    <row r="5629" spans="1:6" x14ac:dyDescent="0.25">
      <c r="A5629" t="s">
        <v>5781</v>
      </c>
      <c r="B5629" t="s">
        <v>5612</v>
      </c>
      <c r="C5629" t="s">
        <v>5613</v>
      </c>
      <c r="D5629" t="str">
        <f>HYPERLINK("http://service.sap.com/sap/support/notes/1438436","1438436")</f>
        <v>1438436</v>
      </c>
      <c r="E5629">
        <v>1</v>
      </c>
      <c r="F5629" t="s">
        <v>5614</v>
      </c>
    </row>
    <row r="5630" spans="1:6" x14ac:dyDescent="0.25">
      <c r="A5630" t="s">
        <v>5781</v>
      </c>
      <c r="B5630" t="s">
        <v>27</v>
      </c>
      <c r="C5630" t="s">
        <v>13</v>
      </c>
    </row>
    <row r="5631" spans="1:6" x14ac:dyDescent="0.25">
      <c r="A5631" t="s">
        <v>5781</v>
      </c>
      <c r="B5631" t="s">
        <v>4091</v>
      </c>
      <c r="C5631" t="s">
        <v>4092</v>
      </c>
      <c r="D5631" t="str">
        <f>HYPERLINK("http://service.sap.com/sap/support/notes/1424239","1424239")</f>
        <v>1424239</v>
      </c>
      <c r="E5631">
        <v>5</v>
      </c>
      <c r="F5631" t="s">
        <v>5615</v>
      </c>
    </row>
    <row r="5632" spans="1:6" x14ac:dyDescent="0.25">
      <c r="A5632" t="s">
        <v>5781</v>
      </c>
      <c r="B5632" t="s">
        <v>4091</v>
      </c>
      <c r="C5632" t="s">
        <v>4092</v>
      </c>
      <c r="D5632" t="str">
        <f>HYPERLINK("http://service.sap.com/sap/support/notes/1434271","1434271")</f>
        <v>1434271</v>
      </c>
      <c r="E5632">
        <v>2</v>
      </c>
      <c r="F5632" t="s">
        <v>5616</v>
      </c>
    </row>
    <row r="5633" spans="1:6" x14ac:dyDescent="0.25">
      <c r="A5633" t="s">
        <v>5781</v>
      </c>
      <c r="B5633" t="s">
        <v>4091</v>
      </c>
      <c r="C5633" t="s">
        <v>4092</v>
      </c>
      <c r="D5633" t="str">
        <f>HYPERLINK("http://service.sap.com/sap/support/notes/1434529","1434529")</f>
        <v>1434529</v>
      </c>
      <c r="E5633">
        <v>2</v>
      </c>
      <c r="F5633" t="s">
        <v>5617</v>
      </c>
    </row>
    <row r="5634" spans="1:6" x14ac:dyDescent="0.25">
      <c r="A5634" t="s">
        <v>5781</v>
      </c>
      <c r="B5634" t="s">
        <v>4091</v>
      </c>
      <c r="C5634" t="s">
        <v>4092</v>
      </c>
      <c r="D5634" t="str">
        <f>HYPERLINK("http://service.sap.com/sap/support/notes/1436836","1436836")</f>
        <v>1436836</v>
      </c>
      <c r="E5634">
        <v>1</v>
      </c>
      <c r="F5634" t="s">
        <v>5618</v>
      </c>
    </row>
    <row r="5635" spans="1:6" x14ac:dyDescent="0.25">
      <c r="A5635" t="s">
        <v>5781</v>
      </c>
      <c r="B5635" t="s">
        <v>4091</v>
      </c>
      <c r="C5635" t="s">
        <v>4092</v>
      </c>
      <c r="D5635" t="str">
        <f>HYPERLINK("http://service.sap.com/sap/support/notes/1437251","1437251")</f>
        <v>1437251</v>
      </c>
      <c r="E5635">
        <v>1</v>
      </c>
      <c r="F5635" t="s">
        <v>5619</v>
      </c>
    </row>
    <row r="5636" spans="1:6" x14ac:dyDescent="0.25">
      <c r="A5636" t="s">
        <v>5781</v>
      </c>
      <c r="B5636" t="s">
        <v>4091</v>
      </c>
      <c r="C5636" t="s">
        <v>4092</v>
      </c>
      <c r="D5636" t="str">
        <f>HYPERLINK("http://service.sap.com/sap/support/notes/1437423","1437423")</f>
        <v>1437423</v>
      </c>
      <c r="E5636">
        <v>2</v>
      </c>
      <c r="F5636" t="s">
        <v>5620</v>
      </c>
    </row>
    <row r="5637" spans="1:6" x14ac:dyDescent="0.25">
      <c r="A5637" t="s">
        <v>5781</v>
      </c>
      <c r="B5637" t="s">
        <v>4091</v>
      </c>
      <c r="C5637" t="s">
        <v>4092</v>
      </c>
      <c r="D5637" t="str">
        <f>HYPERLINK("http://service.sap.com/sap/support/notes/1437589","1437589")</f>
        <v>1437589</v>
      </c>
      <c r="E5637">
        <v>2</v>
      </c>
      <c r="F5637" t="s">
        <v>5621</v>
      </c>
    </row>
    <row r="5638" spans="1:6" x14ac:dyDescent="0.25">
      <c r="A5638" t="s">
        <v>5781</v>
      </c>
      <c r="B5638" t="s">
        <v>4091</v>
      </c>
      <c r="C5638" t="s">
        <v>4092</v>
      </c>
      <c r="D5638" t="str">
        <f>HYPERLINK("http://service.sap.com/sap/support/notes/1437695","1437695")</f>
        <v>1437695</v>
      </c>
      <c r="E5638">
        <v>1</v>
      </c>
      <c r="F5638" t="s">
        <v>5622</v>
      </c>
    </row>
    <row r="5639" spans="1:6" x14ac:dyDescent="0.25">
      <c r="A5639" t="s">
        <v>5781</v>
      </c>
      <c r="B5639" t="s">
        <v>4091</v>
      </c>
      <c r="C5639" t="s">
        <v>4092</v>
      </c>
      <c r="D5639" t="str">
        <f>HYPERLINK("http://service.sap.com/sap/support/notes/1438816","1438816")</f>
        <v>1438816</v>
      </c>
      <c r="E5639">
        <v>1</v>
      </c>
      <c r="F5639" t="s">
        <v>5623</v>
      </c>
    </row>
    <row r="5640" spans="1:6" x14ac:dyDescent="0.25">
      <c r="A5640" t="s">
        <v>5781</v>
      </c>
      <c r="B5640" t="s">
        <v>4091</v>
      </c>
      <c r="C5640" t="s">
        <v>4092</v>
      </c>
      <c r="D5640" t="str">
        <f>HYPERLINK("http://service.sap.com/sap/support/notes/1440179","1440179")</f>
        <v>1440179</v>
      </c>
      <c r="E5640">
        <v>1</v>
      </c>
      <c r="F5640" t="s">
        <v>5624</v>
      </c>
    </row>
    <row r="5641" spans="1:6" x14ac:dyDescent="0.25">
      <c r="A5641" t="s">
        <v>5781</v>
      </c>
      <c r="B5641" t="s">
        <v>4091</v>
      </c>
      <c r="C5641" t="s">
        <v>4092</v>
      </c>
      <c r="D5641" t="str">
        <f>HYPERLINK("http://service.sap.com/sap/support/notes/1446279","1446279")</f>
        <v>1446279</v>
      </c>
      <c r="E5641">
        <v>1</v>
      </c>
      <c r="F5641" t="s">
        <v>5625</v>
      </c>
    </row>
    <row r="5642" spans="1:6" x14ac:dyDescent="0.25">
      <c r="A5642" t="s">
        <v>5781</v>
      </c>
      <c r="B5642" t="s">
        <v>4091</v>
      </c>
      <c r="C5642" t="s">
        <v>4092</v>
      </c>
      <c r="D5642" t="str">
        <f>HYPERLINK("http://service.sap.com/sap/support/notes/1447259","1447259")</f>
        <v>1447259</v>
      </c>
      <c r="E5642">
        <v>1</v>
      </c>
      <c r="F5642" t="s">
        <v>5626</v>
      </c>
    </row>
    <row r="5643" spans="1:6" x14ac:dyDescent="0.25">
      <c r="A5643" t="s">
        <v>5781</v>
      </c>
      <c r="B5643" t="s">
        <v>4091</v>
      </c>
      <c r="C5643" t="s">
        <v>4092</v>
      </c>
      <c r="D5643" t="str">
        <f>HYPERLINK("http://service.sap.com/sap/support/notes/1449509","1449509")</f>
        <v>1449509</v>
      </c>
      <c r="E5643">
        <v>4</v>
      </c>
      <c r="F5643" t="s">
        <v>5627</v>
      </c>
    </row>
    <row r="5644" spans="1:6" x14ac:dyDescent="0.25">
      <c r="A5644" t="s">
        <v>5781</v>
      </c>
      <c r="B5644" t="s">
        <v>4091</v>
      </c>
      <c r="C5644" t="s">
        <v>4092</v>
      </c>
      <c r="D5644" t="str">
        <f>HYPERLINK("http://service.sap.com/sap/support/notes/1450461","1450461")</f>
        <v>1450461</v>
      </c>
      <c r="E5644">
        <v>1</v>
      </c>
      <c r="F5644" t="s">
        <v>5628</v>
      </c>
    </row>
    <row r="5645" spans="1:6" x14ac:dyDescent="0.25">
      <c r="A5645" t="s">
        <v>5781</v>
      </c>
      <c r="B5645" t="s">
        <v>4091</v>
      </c>
      <c r="C5645" t="s">
        <v>4092</v>
      </c>
      <c r="D5645" t="str">
        <f>HYPERLINK("http://service.sap.com/sap/support/notes/1450730","1450730")</f>
        <v>1450730</v>
      </c>
      <c r="E5645">
        <v>1</v>
      </c>
      <c r="F5645" t="s">
        <v>5629</v>
      </c>
    </row>
    <row r="5646" spans="1:6" x14ac:dyDescent="0.25">
      <c r="A5646" t="s">
        <v>5781</v>
      </c>
      <c r="B5646" t="s">
        <v>4091</v>
      </c>
      <c r="C5646" t="s">
        <v>4092</v>
      </c>
      <c r="D5646" t="str">
        <f>HYPERLINK("http://service.sap.com/sap/support/notes/1454232","1454232")</f>
        <v>1454232</v>
      </c>
      <c r="E5646">
        <v>1</v>
      </c>
      <c r="F5646" t="s">
        <v>5630</v>
      </c>
    </row>
    <row r="5647" spans="1:6" x14ac:dyDescent="0.25">
      <c r="A5647" t="s">
        <v>5781</v>
      </c>
      <c r="B5647" t="s">
        <v>4091</v>
      </c>
      <c r="C5647" t="s">
        <v>4092</v>
      </c>
      <c r="D5647" t="str">
        <f>HYPERLINK("http://service.sap.com/sap/support/notes/1460907","1460907")</f>
        <v>1460907</v>
      </c>
      <c r="E5647">
        <v>1</v>
      </c>
      <c r="F5647" t="s">
        <v>5631</v>
      </c>
    </row>
    <row r="5648" spans="1:6" x14ac:dyDescent="0.25">
      <c r="A5648" t="s">
        <v>5781</v>
      </c>
      <c r="B5648" t="s">
        <v>28</v>
      </c>
      <c r="C5648" t="s">
        <v>29</v>
      </c>
    </row>
    <row r="5649" spans="1:6" x14ac:dyDescent="0.25">
      <c r="A5649" t="s">
        <v>5781</v>
      </c>
      <c r="B5649" t="s">
        <v>629</v>
      </c>
      <c r="C5649" t="s">
        <v>4367</v>
      </c>
      <c r="D5649" t="str">
        <f>HYPERLINK("http://service.sap.com/sap/support/notes/1398788","1398788")</f>
        <v>1398788</v>
      </c>
      <c r="E5649">
        <v>4</v>
      </c>
      <c r="F5649" t="s">
        <v>5632</v>
      </c>
    </row>
    <row r="5650" spans="1:6" x14ac:dyDescent="0.25">
      <c r="A5650" t="s">
        <v>5781</v>
      </c>
      <c r="B5650" t="s">
        <v>633</v>
      </c>
      <c r="C5650" t="s">
        <v>2959</v>
      </c>
      <c r="D5650" t="str">
        <f>HYPERLINK("http://service.sap.com/sap/support/notes/1431694","1431694")</f>
        <v>1431694</v>
      </c>
      <c r="E5650">
        <v>1</v>
      </c>
      <c r="F5650" t="s">
        <v>5633</v>
      </c>
    </row>
    <row r="5651" spans="1:6" x14ac:dyDescent="0.25">
      <c r="A5651" t="s">
        <v>5781</v>
      </c>
      <c r="B5651" t="s">
        <v>2161</v>
      </c>
      <c r="C5651" t="s">
        <v>2162</v>
      </c>
      <c r="D5651" t="str">
        <f>HYPERLINK("http://service.sap.com/sap/support/notes/1440934","1440934")</f>
        <v>1440934</v>
      </c>
      <c r="E5651">
        <v>2</v>
      </c>
      <c r="F5651" t="s">
        <v>5634</v>
      </c>
    </row>
    <row r="5652" spans="1:6" x14ac:dyDescent="0.25">
      <c r="A5652" t="s">
        <v>5781</v>
      </c>
      <c r="B5652" t="s">
        <v>4105</v>
      </c>
      <c r="C5652" t="s">
        <v>4106</v>
      </c>
      <c r="D5652" t="str">
        <f>HYPERLINK("http://service.sap.com/sap/support/notes/1441532","1441532")</f>
        <v>1441532</v>
      </c>
      <c r="E5652">
        <v>2</v>
      </c>
      <c r="F5652" t="s">
        <v>5635</v>
      </c>
    </row>
    <row r="5653" spans="1:6" x14ac:dyDescent="0.25">
      <c r="A5653" t="s">
        <v>5781</v>
      </c>
      <c r="B5653" t="s">
        <v>4105</v>
      </c>
      <c r="C5653" t="s">
        <v>4106</v>
      </c>
      <c r="D5653" t="str">
        <f>HYPERLINK("http://service.sap.com/sap/support/notes/1452492","1452492")</f>
        <v>1452492</v>
      </c>
      <c r="E5653">
        <v>4</v>
      </c>
      <c r="F5653" t="s">
        <v>5636</v>
      </c>
    </row>
    <row r="5654" spans="1:6" x14ac:dyDescent="0.25">
      <c r="A5654" t="s">
        <v>5781</v>
      </c>
      <c r="B5654" t="s">
        <v>4109</v>
      </c>
      <c r="C5654" t="s">
        <v>4110</v>
      </c>
      <c r="D5654" t="str">
        <f>HYPERLINK("http://service.sap.com/sap/support/notes/1438225","1438225")</f>
        <v>1438225</v>
      </c>
      <c r="E5654">
        <v>2</v>
      </c>
      <c r="F5654" t="s">
        <v>5637</v>
      </c>
    </row>
    <row r="5655" spans="1:6" x14ac:dyDescent="0.25">
      <c r="A5655" t="s">
        <v>5781</v>
      </c>
      <c r="B5655" t="s">
        <v>4109</v>
      </c>
      <c r="C5655" t="s">
        <v>4110</v>
      </c>
      <c r="D5655" t="str">
        <f>HYPERLINK("http://service.sap.com/sap/support/notes/1453372","1453372")</f>
        <v>1453372</v>
      </c>
      <c r="E5655">
        <v>1</v>
      </c>
      <c r="F5655" t="s">
        <v>5638</v>
      </c>
    </row>
    <row r="5656" spans="1:6" x14ac:dyDescent="0.25">
      <c r="A5656" t="s">
        <v>5781</v>
      </c>
      <c r="B5656" t="s">
        <v>4109</v>
      </c>
      <c r="C5656" t="s">
        <v>4110</v>
      </c>
      <c r="D5656" t="str">
        <f>HYPERLINK("http://service.sap.com/sap/support/notes/1453855","1453855")</f>
        <v>1453855</v>
      </c>
      <c r="E5656">
        <v>1</v>
      </c>
      <c r="F5656" t="s">
        <v>5639</v>
      </c>
    </row>
    <row r="5657" spans="1:6" x14ac:dyDescent="0.25">
      <c r="A5657" t="s">
        <v>5781</v>
      </c>
      <c r="B5657" t="s">
        <v>4109</v>
      </c>
      <c r="C5657" t="s">
        <v>4110</v>
      </c>
      <c r="D5657" t="str">
        <f>HYPERLINK("http://service.sap.com/sap/support/notes/1453923","1453923")</f>
        <v>1453923</v>
      </c>
      <c r="E5657">
        <v>1</v>
      </c>
      <c r="F5657" t="s">
        <v>5640</v>
      </c>
    </row>
    <row r="5658" spans="1:6" x14ac:dyDescent="0.25">
      <c r="A5658" t="s">
        <v>5781</v>
      </c>
      <c r="B5658" t="s">
        <v>4112</v>
      </c>
      <c r="C5658" t="s">
        <v>4113</v>
      </c>
      <c r="D5658" t="str">
        <f>HYPERLINK("http://service.sap.com/sap/support/notes/1434033","1434033")</f>
        <v>1434033</v>
      </c>
      <c r="E5658">
        <v>3</v>
      </c>
      <c r="F5658" t="s">
        <v>5641</v>
      </c>
    </row>
    <row r="5659" spans="1:6" x14ac:dyDescent="0.25">
      <c r="A5659" t="s">
        <v>5781</v>
      </c>
      <c r="B5659" t="s">
        <v>4112</v>
      </c>
      <c r="C5659" t="s">
        <v>4113</v>
      </c>
      <c r="D5659" t="str">
        <f>HYPERLINK("http://service.sap.com/sap/support/notes/1443448","1443448")</f>
        <v>1443448</v>
      </c>
      <c r="E5659">
        <v>1</v>
      </c>
      <c r="F5659" t="s">
        <v>5642</v>
      </c>
    </row>
    <row r="5660" spans="1:6" x14ac:dyDescent="0.25">
      <c r="A5660" t="s">
        <v>5781</v>
      </c>
      <c r="B5660" t="s">
        <v>4112</v>
      </c>
      <c r="C5660" t="s">
        <v>4113</v>
      </c>
      <c r="D5660" t="str">
        <f>HYPERLINK("http://service.sap.com/sap/support/notes/1446542","1446542")</f>
        <v>1446542</v>
      </c>
      <c r="E5660">
        <v>1</v>
      </c>
      <c r="F5660" t="s">
        <v>5643</v>
      </c>
    </row>
    <row r="5661" spans="1:6" x14ac:dyDescent="0.25">
      <c r="A5661" t="s">
        <v>5781</v>
      </c>
      <c r="B5661" t="s">
        <v>4112</v>
      </c>
      <c r="C5661" t="s">
        <v>4113</v>
      </c>
      <c r="D5661" t="str">
        <f>HYPERLINK("http://service.sap.com/sap/support/notes/1452682","1452682")</f>
        <v>1452682</v>
      </c>
      <c r="E5661">
        <v>2</v>
      </c>
      <c r="F5661" t="s">
        <v>5644</v>
      </c>
    </row>
    <row r="5662" spans="1:6" x14ac:dyDescent="0.25">
      <c r="A5662" t="s">
        <v>5781</v>
      </c>
      <c r="B5662" t="s">
        <v>5645</v>
      </c>
      <c r="C5662" t="s">
        <v>5646</v>
      </c>
      <c r="D5662" t="str">
        <f>HYPERLINK("http://service.sap.com/sap/support/notes/1436661","1436661")</f>
        <v>1436661</v>
      </c>
      <c r="E5662">
        <v>6</v>
      </c>
      <c r="F5662" t="s">
        <v>5647</v>
      </c>
    </row>
    <row r="5663" spans="1:6" x14ac:dyDescent="0.25">
      <c r="A5663" t="s">
        <v>5781</v>
      </c>
      <c r="B5663" t="s">
        <v>5648</v>
      </c>
      <c r="C5663" t="s">
        <v>5649</v>
      </c>
    </row>
    <row r="5664" spans="1:6" x14ac:dyDescent="0.25">
      <c r="A5664" t="s">
        <v>5781</v>
      </c>
      <c r="B5664" t="s">
        <v>5650</v>
      </c>
      <c r="C5664" t="s">
        <v>5651</v>
      </c>
    </row>
    <row r="5665" spans="1:6" x14ac:dyDescent="0.25">
      <c r="A5665" t="s">
        <v>5781</v>
      </c>
      <c r="B5665" t="s">
        <v>5652</v>
      </c>
      <c r="C5665" t="s">
        <v>5653</v>
      </c>
      <c r="D5665" t="str">
        <f>HYPERLINK("http://service.sap.com/sap/support/notes/1443505","1443505")</f>
        <v>1443505</v>
      </c>
      <c r="E5665">
        <v>1</v>
      </c>
      <c r="F5665" t="s">
        <v>5654</v>
      </c>
    </row>
    <row r="5666" spans="1:6" x14ac:dyDescent="0.25">
      <c r="A5666" t="s">
        <v>5781</v>
      </c>
      <c r="B5666" t="s">
        <v>5652</v>
      </c>
      <c r="C5666" t="s">
        <v>5653</v>
      </c>
      <c r="D5666" t="str">
        <f>HYPERLINK("http://service.sap.com/sap/support/notes/1443637","1443637")</f>
        <v>1443637</v>
      </c>
      <c r="E5666">
        <v>1</v>
      </c>
      <c r="F5666" t="s">
        <v>5655</v>
      </c>
    </row>
    <row r="5667" spans="1:6" x14ac:dyDescent="0.25">
      <c r="A5667" t="s">
        <v>5781</v>
      </c>
      <c r="B5667" t="s">
        <v>5656</v>
      </c>
      <c r="C5667" t="s">
        <v>5657</v>
      </c>
      <c r="D5667" t="str">
        <f>HYPERLINK("http://service.sap.com/sap/support/notes/634159","634159")</f>
        <v>634159</v>
      </c>
      <c r="E5667">
        <v>1</v>
      </c>
      <c r="F5667" t="s">
        <v>5658</v>
      </c>
    </row>
    <row r="5668" spans="1:6" x14ac:dyDescent="0.25">
      <c r="A5668" t="s">
        <v>5781</v>
      </c>
      <c r="B5668" t="s">
        <v>33</v>
      </c>
      <c r="C5668" t="s">
        <v>34</v>
      </c>
      <c r="D5668" t="str">
        <f>HYPERLINK("http://service.sap.com/sap/support/notes/1443661","1443661")</f>
        <v>1443661</v>
      </c>
      <c r="E5668">
        <v>1</v>
      </c>
      <c r="F5668" t="s">
        <v>646</v>
      </c>
    </row>
    <row r="5669" spans="1:6" x14ac:dyDescent="0.25">
      <c r="A5669" t="s">
        <v>5781</v>
      </c>
      <c r="B5669" t="s">
        <v>38</v>
      </c>
      <c r="C5669" t="s">
        <v>39</v>
      </c>
    </row>
    <row r="5670" spans="1:6" x14ac:dyDescent="0.25">
      <c r="A5670" t="s">
        <v>5781</v>
      </c>
      <c r="B5670" t="s">
        <v>57</v>
      </c>
      <c r="C5670" t="s">
        <v>58</v>
      </c>
    </row>
    <row r="5671" spans="1:6" x14ac:dyDescent="0.25">
      <c r="A5671" t="s">
        <v>5781</v>
      </c>
      <c r="B5671" t="s">
        <v>59</v>
      </c>
      <c r="C5671" t="s">
        <v>60</v>
      </c>
      <c r="D5671" t="str">
        <f>HYPERLINK("http://service.sap.com/sap/support/notes/1435806","1435806")</f>
        <v>1435806</v>
      </c>
      <c r="E5671">
        <v>2</v>
      </c>
      <c r="F5671" t="s">
        <v>5659</v>
      </c>
    </row>
    <row r="5672" spans="1:6" x14ac:dyDescent="0.25">
      <c r="A5672" t="s">
        <v>5781</v>
      </c>
      <c r="B5672" t="s">
        <v>59</v>
      </c>
      <c r="C5672" t="s">
        <v>60</v>
      </c>
      <c r="D5672" t="str">
        <f>HYPERLINK("http://service.sap.com/sap/support/notes/1436642","1436642")</f>
        <v>1436642</v>
      </c>
      <c r="E5672">
        <v>2</v>
      </c>
      <c r="F5672" t="s">
        <v>5660</v>
      </c>
    </row>
    <row r="5673" spans="1:6" x14ac:dyDescent="0.25">
      <c r="A5673" t="s">
        <v>5781</v>
      </c>
      <c r="B5673" t="s">
        <v>59</v>
      </c>
      <c r="C5673" t="s">
        <v>60</v>
      </c>
      <c r="D5673" t="str">
        <f>HYPERLINK("http://service.sap.com/sap/support/notes/1437079","1437079")</f>
        <v>1437079</v>
      </c>
      <c r="E5673">
        <v>2</v>
      </c>
      <c r="F5673" t="s">
        <v>5661</v>
      </c>
    </row>
    <row r="5674" spans="1:6" x14ac:dyDescent="0.25">
      <c r="A5674" t="s">
        <v>5781</v>
      </c>
      <c r="B5674" t="s">
        <v>694</v>
      </c>
      <c r="C5674" t="s">
        <v>695</v>
      </c>
      <c r="D5674" t="str">
        <f>HYPERLINK("http://service.sap.com/sap/support/notes/1426870","1426870")</f>
        <v>1426870</v>
      </c>
      <c r="E5674">
        <v>4</v>
      </c>
      <c r="F5674" t="s">
        <v>5662</v>
      </c>
    </row>
    <row r="5675" spans="1:6" x14ac:dyDescent="0.25">
      <c r="A5675" t="s">
        <v>5781</v>
      </c>
      <c r="B5675" t="s">
        <v>694</v>
      </c>
      <c r="C5675" t="s">
        <v>695</v>
      </c>
      <c r="D5675" t="str">
        <f>HYPERLINK("http://service.sap.com/sap/support/notes/1429460","1429460")</f>
        <v>1429460</v>
      </c>
      <c r="E5675">
        <v>3</v>
      </c>
      <c r="F5675" t="s">
        <v>5663</v>
      </c>
    </row>
    <row r="5676" spans="1:6" x14ac:dyDescent="0.25">
      <c r="A5676" t="s">
        <v>5781</v>
      </c>
      <c r="B5676" t="s">
        <v>79</v>
      </c>
      <c r="C5676" t="s">
        <v>80</v>
      </c>
      <c r="D5676" t="str">
        <f>HYPERLINK("http://service.sap.com/sap/support/notes/1444001","1444001")</f>
        <v>1444001</v>
      </c>
      <c r="E5676">
        <v>2</v>
      </c>
      <c r="F5676" t="s">
        <v>5664</v>
      </c>
    </row>
    <row r="5677" spans="1:6" x14ac:dyDescent="0.25">
      <c r="A5677" t="s">
        <v>5781</v>
      </c>
      <c r="B5677" t="s">
        <v>89</v>
      </c>
      <c r="C5677" t="s">
        <v>90</v>
      </c>
      <c r="D5677" t="str">
        <f>HYPERLINK("http://service.sap.com/sap/support/notes/1449091","1449091")</f>
        <v>1449091</v>
      </c>
      <c r="E5677">
        <v>1</v>
      </c>
      <c r="F5677" t="s">
        <v>5665</v>
      </c>
    </row>
    <row r="5678" spans="1:6" x14ac:dyDescent="0.25">
      <c r="A5678" t="s">
        <v>5781</v>
      </c>
      <c r="B5678" t="s">
        <v>92</v>
      </c>
      <c r="C5678" t="s">
        <v>93</v>
      </c>
      <c r="D5678" t="str">
        <f>HYPERLINK("http://service.sap.com/sap/support/notes/1427792","1427792")</f>
        <v>1427792</v>
      </c>
      <c r="E5678">
        <v>49</v>
      </c>
      <c r="F5678" t="s">
        <v>5666</v>
      </c>
    </row>
    <row r="5679" spans="1:6" x14ac:dyDescent="0.25">
      <c r="A5679" t="s">
        <v>5781</v>
      </c>
      <c r="B5679" t="s">
        <v>5667</v>
      </c>
      <c r="C5679" t="s">
        <v>473</v>
      </c>
      <c r="D5679" t="str">
        <f>HYPERLINK("http://service.sap.com/sap/support/notes/1453824","1453824")</f>
        <v>1453824</v>
      </c>
      <c r="E5679">
        <v>1</v>
      </c>
      <c r="F5679" t="s">
        <v>5668</v>
      </c>
    </row>
    <row r="5680" spans="1:6" x14ac:dyDescent="0.25">
      <c r="A5680" t="s">
        <v>5781</v>
      </c>
      <c r="B5680" t="s">
        <v>5669</v>
      </c>
      <c r="C5680" t="s">
        <v>5670</v>
      </c>
      <c r="D5680" t="str">
        <f>HYPERLINK("http://service.sap.com/sap/support/notes/1452977","1452977")</f>
        <v>1452977</v>
      </c>
      <c r="E5680">
        <v>1</v>
      </c>
      <c r="F5680" t="s">
        <v>5671</v>
      </c>
    </row>
    <row r="5681" spans="1:6" x14ac:dyDescent="0.25">
      <c r="A5681" t="s">
        <v>5781</v>
      </c>
      <c r="B5681" t="s">
        <v>107</v>
      </c>
      <c r="C5681" t="s">
        <v>108</v>
      </c>
      <c r="D5681" t="str">
        <f>HYPERLINK("http://service.sap.com/sap/support/notes/1395381","1395381")</f>
        <v>1395381</v>
      </c>
      <c r="E5681">
        <v>1</v>
      </c>
      <c r="F5681" t="s">
        <v>5672</v>
      </c>
    </row>
    <row r="5682" spans="1:6" x14ac:dyDescent="0.25">
      <c r="A5682" t="s">
        <v>5781</v>
      </c>
      <c r="B5682" t="s">
        <v>107</v>
      </c>
      <c r="C5682" t="s">
        <v>108</v>
      </c>
      <c r="D5682" t="str">
        <f>HYPERLINK("http://service.sap.com/sap/support/notes/1415279","1415279")</f>
        <v>1415279</v>
      </c>
      <c r="E5682">
        <v>3</v>
      </c>
      <c r="F5682" t="s">
        <v>5673</v>
      </c>
    </row>
    <row r="5683" spans="1:6" x14ac:dyDescent="0.25">
      <c r="A5683" t="s">
        <v>5781</v>
      </c>
      <c r="B5683" t="s">
        <v>107</v>
      </c>
      <c r="C5683" t="s">
        <v>108</v>
      </c>
      <c r="D5683" t="str">
        <f>HYPERLINK("http://service.sap.com/sap/support/notes/1418418","1418418")</f>
        <v>1418418</v>
      </c>
      <c r="E5683">
        <v>3</v>
      </c>
      <c r="F5683" t="s">
        <v>5674</v>
      </c>
    </row>
    <row r="5684" spans="1:6" x14ac:dyDescent="0.25">
      <c r="A5684" t="s">
        <v>5781</v>
      </c>
      <c r="B5684" t="s">
        <v>724</v>
      </c>
      <c r="C5684" t="s">
        <v>725</v>
      </c>
      <c r="D5684" t="str">
        <f>HYPERLINK("http://service.sap.com/sap/support/notes/1436412","1436412")</f>
        <v>1436412</v>
      </c>
      <c r="E5684">
        <v>2</v>
      </c>
      <c r="F5684" t="s">
        <v>5675</v>
      </c>
    </row>
    <row r="5685" spans="1:6" x14ac:dyDescent="0.25">
      <c r="A5685" t="s">
        <v>5781</v>
      </c>
      <c r="B5685" t="s">
        <v>724</v>
      </c>
      <c r="C5685" t="s">
        <v>725</v>
      </c>
      <c r="D5685" t="str">
        <f>HYPERLINK("http://service.sap.com/sap/support/notes/1438740","1438740")</f>
        <v>1438740</v>
      </c>
      <c r="E5685">
        <v>2</v>
      </c>
      <c r="F5685" t="s">
        <v>5676</v>
      </c>
    </row>
    <row r="5686" spans="1:6" x14ac:dyDescent="0.25">
      <c r="A5686" t="s">
        <v>5781</v>
      </c>
      <c r="B5686" t="s">
        <v>724</v>
      </c>
      <c r="C5686" t="s">
        <v>725</v>
      </c>
      <c r="D5686" t="str">
        <f>HYPERLINK("http://service.sap.com/sap/support/notes/1444689","1444689")</f>
        <v>1444689</v>
      </c>
      <c r="E5686">
        <v>2</v>
      </c>
      <c r="F5686" t="s">
        <v>5677</v>
      </c>
    </row>
    <row r="5687" spans="1:6" x14ac:dyDescent="0.25">
      <c r="A5687" t="s">
        <v>5781</v>
      </c>
      <c r="B5687" t="s">
        <v>724</v>
      </c>
      <c r="C5687" t="s">
        <v>725</v>
      </c>
      <c r="D5687" t="str">
        <f>HYPERLINK("http://service.sap.com/sap/support/notes/1448351","1448351")</f>
        <v>1448351</v>
      </c>
      <c r="E5687">
        <v>2</v>
      </c>
      <c r="F5687" t="s">
        <v>5678</v>
      </c>
    </row>
    <row r="5688" spans="1:6" x14ac:dyDescent="0.25">
      <c r="A5688" t="s">
        <v>5781</v>
      </c>
      <c r="B5688" t="s">
        <v>790</v>
      </c>
      <c r="C5688" t="s">
        <v>4125</v>
      </c>
    </row>
    <row r="5689" spans="1:6" x14ac:dyDescent="0.25">
      <c r="A5689" t="s">
        <v>5781</v>
      </c>
      <c r="B5689" t="s">
        <v>791</v>
      </c>
      <c r="C5689" t="s">
        <v>4126</v>
      </c>
      <c r="D5689" t="str">
        <f>HYPERLINK("http://service.sap.com/sap/support/notes/1451189","1451189")</f>
        <v>1451189</v>
      </c>
      <c r="E5689">
        <v>2</v>
      </c>
      <c r="F5689" t="s">
        <v>5679</v>
      </c>
    </row>
    <row r="5690" spans="1:6" x14ac:dyDescent="0.25">
      <c r="A5690" t="s">
        <v>5781</v>
      </c>
      <c r="B5690" t="s">
        <v>810</v>
      </c>
      <c r="C5690" t="s">
        <v>4131</v>
      </c>
    </row>
    <row r="5691" spans="1:6" x14ac:dyDescent="0.25">
      <c r="A5691" t="s">
        <v>5781</v>
      </c>
      <c r="B5691" t="s">
        <v>811</v>
      </c>
      <c r="C5691" t="s">
        <v>4132</v>
      </c>
      <c r="D5691" t="str">
        <f>HYPERLINK("http://service.sap.com/sap/support/notes/1427860","1427860")</f>
        <v>1427860</v>
      </c>
      <c r="E5691">
        <v>3</v>
      </c>
      <c r="F5691" t="s">
        <v>5680</v>
      </c>
    </row>
    <row r="5692" spans="1:6" x14ac:dyDescent="0.25">
      <c r="A5692" t="s">
        <v>5781</v>
      </c>
      <c r="B5692" t="s">
        <v>811</v>
      </c>
      <c r="C5692" t="s">
        <v>4132</v>
      </c>
      <c r="D5692" t="str">
        <f>HYPERLINK("http://service.sap.com/sap/support/notes/1437363","1437363")</f>
        <v>1437363</v>
      </c>
      <c r="E5692">
        <v>6</v>
      </c>
      <c r="F5692" t="s">
        <v>5681</v>
      </c>
    </row>
    <row r="5693" spans="1:6" x14ac:dyDescent="0.25">
      <c r="A5693" t="s">
        <v>5781</v>
      </c>
      <c r="B5693" t="s">
        <v>811</v>
      </c>
      <c r="C5693" t="s">
        <v>4132</v>
      </c>
      <c r="D5693" t="str">
        <f>HYPERLINK("http://service.sap.com/sap/support/notes/1440779","1440779")</f>
        <v>1440779</v>
      </c>
      <c r="E5693">
        <v>1</v>
      </c>
      <c r="F5693" t="s">
        <v>5682</v>
      </c>
    </row>
    <row r="5694" spans="1:6" x14ac:dyDescent="0.25">
      <c r="A5694" t="s">
        <v>5781</v>
      </c>
      <c r="B5694" t="s">
        <v>811</v>
      </c>
      <c r="C5694" t="s">
        <v>4132</v>
      </c>
      <c r="D5694" t="str">
        <f>HYPERLINK("http://service.sap.com/sap/support/notes/1449321","1449321")</f>
        <v>1449321</v>
      </c>
      <c r="E5694">
        <v>3</v>
      </c>
      <c r="F5694" t="s">
        <v>5683</v>
      </c>
    </row>
    <row r="5695" spans="1:6" x14ac:dyDescent="0.25">
      <c r="A5695" t="s">
        <v>5781</v>
      </c>
      <c r="B5695" t="s">
        <v>4135</v>
      </c>
      <c r="C5695" t="s">
        <v>4136</v>
      </c>
      <c r="D5695" t="str">
        <f>HYPERLINK("http://service.sap.com/sap/support/notes/1426784","1426784")</f>
        <v>1426784</v>
      </c>
      <c r="E5695">
        <v>6</v>
      </c>
      <c r="F5695" t="s">
        <v>5684</v>
      </c>
    </row>
    <row r="5696" spans="1:6" x14ac:dyDescent="0.25">
      <c r="A5696" t="s">
        <v>5781</v>
      </c>
      <c r="B5696" t="s">
        <v>4135</v>
      </c>
      <c r="C5696" t="s">
        <v>4136</v>
      </c>
      <c r="D5696" t="str">
        <f>HYPERLINK("http://service.sap.com/sap/support/notes/1431762","1431762")</f>
        <v>1431762</v>
      </c>
      <c r="E5696">
        <v>3</v>
      </c>
      <c r="F5696" t="s">
        <v>5685</v>
      </c>
    </row>
    <row r="5697" spans="1:6" x14ac:dyDescent="0.25">
      <c r="A5697" t="s">
        <v>5781</v>
      </c>
      <c r="B5697" t="s">
        <v>4135</v>
      </c>
      <c r="C5697" t="s">
        <v>4136</v>
      </c>
      <c r="D5697" t="str">
        <f>HYPERLINK("http://service.sap.com/sap/support/notes/1433270","1433270")</f>
        <v>1433270</v>
      </c>
      <c r="E5697">
        <v>6</v>
      </c>
      <c r="F5697" t="s">
        <v>5686</v>
      </c>
    </row>
    <row r="5698" spans="1:6" x14ac:dyDescent="0.25">
      <c r="A5698" t="s">
        <v>5781</v>
      </c>
      <c r="B5698" t="s">
        <v>4135</v>
      </c>
      <c r="C5698" t="s">
        <v>4136</v>
      </c>
      <c r="D5698" t="str">
        <f>HYPERLINK("http://service.sap.com/sap/support/notes/1436174","1436174")</f>
        <v>1436174</v>
      </c>
      <c r="E5698">
        <v>4</v>
      </c>
      <c r="F5698" t="s">
        <v>5687</v>
      </c>
    </row>
    <row r="5699" spans="1:6" x14ac:dyDescent="0.25">
      <c r="A5699" t="s">
        <v>5781</v>
      </c>
      <c r="B5699" t="s">
        <v>4135</v>
      </c>
      <c r="C5699" t="s">
        <v>4136</v>
      </c>
      <c r="D5699" t="str">
        <f>HYPERLINK("http://service.sap.com/sap/support/notes/1444942","1444942")</f>
        <v>1444942</v>
      </c>
      <c r="E5699">
        <v>1</v>
      </c>
      <c r="F5699" t="s">
        <v>5688</v>
      </c>
    </row>
    <row r="5700" spans="1:6" x14ac:dyDescent="0.25">
      <c r="A5700" t="s">
        <v>5781</v>
      </c>
      <c r="B5700" t="s">
        <v>4135</v>
      </c>
      <c r="C5700" t="s">
        <v>4136</v>
      </c>
      <c r="D5700" t="str">
        <f>HYPERLINK("http://service.sap.com/sap/support/notes/1446037","1446037")</f>
        <v>1446037</v>
      </c>
      <c r="E5700">
        <v>1</v>
      </c>
      <c r="F5700" t="s">
        <v>5689</v>
      </c>
    </row>
    <row r="5701" spans="1:6" x14ac:dyDescent="0.25">
      <c r="A5701" t="s">
        <v>5781</v>
      </c>
      <c r="B5701" t="s">
        <v>3547</v>
      </c>
      <c r="C5701" t="s">
        <v>1734</v>
      </c>
      <c r="D5701" t="str">
        <f>HYPERLINK("http://service.sap.com/sap/support/notes/1450655","1450655")</f>
        <v>1450655</v>
      </c>
      <c r="E5701">
        <v>2</v>
      </c>
      <c r="F5701" t="s">
        <v>5690</v>
      </c>
    </row>
    <row r="5702" spans="1:6" x14ac:dyDescent="0.25">
      <c r="A5702" t="s">
        <v>5781</v>
      </c>
      <c r="B5702" t="s">
        <v>4144</v>
      </c>
      <c r="C5702" t="s">
        <v>4145</v>
      </c>
      <c r="D5702" t="str">
        <f>HYPERLINK("http://service.sap.com/sap/support/notes/1398276","1398276")</f>
        <v>1398276</v>
      </c>
      <c r="E5702">
        <v>1</v>
      </c>
      <c r="F5702" t="s">
        <v>5691</v>
      </c>
    </row>
    <row r="5703" spans="1:6" x14ac:dyDescent="0.25">
      <c r="A5703" t="s">
        <v>5781</v>
      </c>
      <c r="B5703" t="s">
        <v>4144</v>
      </c>
      <c r="C5703" t="s">
        <v>4145</v>
      </c>
      <c r="D5703" t="str">
        <f>HYPERLINK("http://service.sap.com/sap/support/notes/1423708","1423708")</f>
        <v>1423708</v>
      </c>
      <c r="E5703">
        <v>3</v>
      </c>
      <c r="F5703" t="s">
        <v>5692</v>
      </c>
    </row>
    <row r="5704" spans="1:6" x14ac:dyDescent="0.25">
      <c r="A5704" t="s">
        <v>5781</v>
      </c>
      <c r="B5704" t="s">
        <v>4144</v>
      </c>
      <c r="C5704" t="s">
        <v>4145</v>
      </c>
      <c r="D5704" t="str">
        <f>HYPERLINK("http://service.sap.com/sap/support/notes/1439811","1439811")</f>
        <v>1439811</v>
      </c>
      <c r="E5704">
        <v>3</v>
      </c>
      <c r="F5704" t="s">
        <v>5693</v>
      </c>
    </row>
    <row r="5705" spans="1:6" x14ac:dyDescent="0.25">
      <c r="A5705" t="s">
        <v>5781</v>
      </c>
      <c r="B5705" t="s">
        <v>4144</v>
      </c>
      <c r="C5705" t="s">
        <v>4145</v>
      </c>
      <c r="D5705" t="str">
        <f>HYPERLINK("http://service.sap.com/sap/support/notes/1440623","1440623")</f>
        <v>1440623</v>
      </c>
      <c r="E5705">
        <v>5</v>
      </c>
      <c r="F5705" t="s">
        <v>5694</v>
      </c>
    </row>
    <row r="5706" spans="1:6" x14ac:dyDescent="0.25">
      <c r="A5706" t="s">
        <v>5781</v>
      </c>
      <c r="B5706" t="s">
        <v>4144</v>
      </c>
      <c r="C5706" t="s">
        <v>4145</v>
      </c>
      <c r="D5706" t="str">
        <f>HYPERLINK("http://service.sap.com/sap/support/notes/1441049","1441049")</f>
        <v>1441049</v>
      </c>
      <c r="E5706">
        <v>1</v>
      </c>
      <c r="F5706" t="s">
        <v>5695</v>
      </c>
    </row>
    <row r="5707" spans="1:6" x14ac:dyDescent="0.25">
      <c r="A5707" t="s">
        <v>5781</v>
      </c>
      <c r="B5707" t="s">
        <v>4144</v>
      </c>
      <c r="C5707" t="s">
        <v>4145</v>
      </c>
      <c r="D5707" t="str">
        <f>HYPERLINK("http://service.sap.com/sap/support/notes/1441121","1441121")</f>
        <v>1441121</v>
      </c>
      <c r="E5707">
        <v>1</v>
      </c>
      <c r="F5707" t="s">
        <v>5696</v>
      </c>
    </row>
    <row r="5708" spans="1:6" x14ac:dyDescent="0.25">
      <c r="A5708" t="s">
        <v>5781</v>
      </c>
      <c r="B5708" t="s">
        <v>4144</v>
      </c>
      <c r="C5708" t="s">
        <v>4145</v>
      </c>
      <c r="D5708" t="str">
        <f>HYPERLINK("http://service.sap.com/sap/support/notes/1441861","1441861")</f>
        <v>1441861</v>
      </c>
      <c r="E5708">
        <v>4</v>
      </c>
      <c r="F5708" t="s">
        <v>5697</v>
      </c>
    </row>
    <row r="5709" spans="1:6" x14ac:dyDescent="0.25">
      <c r="A5709" t="s">
        <v>5781</v>
      </c>
      <c r="B5709" t="s">
        <v>4144</v>
      </c>
      <c r="C5709" t="s">
        <v>4145</v>
      </c>
      <c r="D5709" t="str">
        <f>HYPERLINK("http://service.sap.com/sap/support/notes/1441976","1441976")</f>
        <v>1441976</v>
      </c>
      <c r="E5709">
        <v>2</v>
      </c>
      <c r="F5709" t="s">
        <v>5698</v>
      </c>
    </row>
    <row r="5710" spans="1:6" x14ac:dyDescent="0.25">
      <c r="A5710" t="s">
        <v>5781</v>
      </c>
      <c r="B5710" t="s">
        <v>4144</v>
      </c>
      <c r="C5710" t="s">
        <v>4145</v>
      </c>
      <c r="D5710" t="str">
        <f>HYPERLINK("http://service.sap.com/sap/support/notes/1444904","1444904")</f>
        <v>1444904</v>
      </c>
      <c r="E5710">
        <v>2</v>
      </c>
      <c r="F5710" t="s">
        <v>5699</v>
      </c>
    </row>
    <row r="5711" spans="1:6" x14ac:dyDescent="0.25">
      <c r="A5711" t="s">
        <v>5781</v>
      </c>
      <c r="B5711" t="s">
        <v>4144</v>
      </c>
      <c r="C5711" t="s">
        <v>4145</v>
      </c>
      <c r="D5711" t="str">
        <f>HYPERLINK("http://service.sap.com/sap/support/notes/1453128","1453128")</f>
        <v>1453128</v>
      </c>
      <c r="E5711">
        <v>2</v>
      </c>
      <c r="F5711" t="s">
        <v>5700</v>
      </c>
    </row>
    <row r="5712" spans="1:6" x14ac:dyDescent="0.25">
      <c r="A5712" t="s">
        <v>5781</v>
      </c>
      <c r="B5712" t="s">
        <v>4144</v>
      </c>
      <c r="C5712" t="s">
        <v>4145</v>
      </c>
      <c r="D5712" t="str">
        <f>HYPERLINK("http://service.sap.com/sap/support/notes/1454930","1454930")</f>
        <v>1454930</v>
      </c>
      <c r="E5712">
        <v>1</v>
      </c>
      <c r="F5712" t="s">
        <v>5701</v>
      </c>
    </row>
    <row r="5713" spans="1:6" x14ac:dyDescent="0.25">
      <c r="A5713" t="s">
        <v>5781</v>
      </c>
      <c r="B5713" t="s">
        <v>126</v>
      </c>
      <c r="C5713" t="s">
        <v>127</v>
      </c>
    </row>
    <row r="5714" spans="1:6" x14ac:dyDescent="0.25">
      <c r="A5714" t="s">
        <v>5781</v>
      </c>
      <c r="B5714" t="s">
        <v>824</v>
      </c>
      <c r="C5714" t="s">
        <v>1777</v>
      </c>
    </row>
    <row r="5715" spans="1:6" x14ac:dyDescent="0.25">
      <c r="A5715" t="s">
        <v>5781</v>
      </c>
      <c r="B5715" t="s">
        <v>4416</v>
      </c>
      <c r="C5715" t="s">
        <v>4417</v>
      </c>
      <c r="D5715" t="str">
        <f>HYPERLINK("http://service.sap.com/sap/support/notes/1449608","1449608")</f>
        <v>1449608</v>
      </c>
      <c r="E5715">
        <v>1</v>
      </c>
      <c r="F5715" t="s">
        <v>5702</v>
      </c>
    </row>
    <row r="5716" spans="1:6" x14ac:dyDescent="0.25">
      <c r="A5716" t="s">
        <v>5781</v>
      </c>
      <c r="B5716" t="s">
        <v>4157</v>
      </c>
      <c r="C5716" t="s">
        <v>4158</v>
      </c>
      <c r="D5716" t="str">
        <f>HYPERLINK("http://service.sap.com/sap/support/notes/1407074","1407074")</f>
        <v>1407074</v>
      </c>
      <c r="E5716">
        <v>1</v>
      </c>
      <c r="F5716" t="s">
        <v>5703</v>
      </c>
    </row>
    <row r="5717" spans="1:6" x14ac:dyDescent="0.25">
      <c r="A5717" t="s">
        <v>5781</v>
      </c>
      <c r="B5717" t="s">
        <v>4157</v>
      </c>
      <c r="C5717" t="s">
        <v>4158</v>
      </c>
      <c r="D5717" t="str">
        <f>HYPERLINK("http://service.sap.com/sap/support/notes/1429465","1429465")</f>
        <v>1429465</v>
      </c>
      <c r="E5717">
        <v>3</v>
      </c>
      <c r="F5717" t="s">
        <v>5704</v>
      </c>
    </row>
    <row r="5718" spans="1:6" x14ac:dyDescent="0.25">
      <c r="A5718" t="s">
        <v>5781</v>
      </c>
      <c r="B5718" t="s">
        <v>825</v>
      </c>
      <c r="C5718" t="s">
        <v>1778</v>
      </c>
      <c r="D5718" t="str">
        <f>HYPERLINK("http://service.sap.com/sap/support/notes/1117664","1117664")</f>
        <v>1117664</v>
      </c>
      <c r="E5718">
        <v>7</v>
      </c>
      <c r="F5718" t="s">
        <v>5705</v>
      </c>
    </row>
    <row r="5719" spans="1:6" x14ac:dyDescent="0.25">
      <c r="A5719" t="s">
        <v>5781</v>
      </c>
      <c r="B5719" t="s">
        <v>825</v>
      </c>
      <c r="C5719" t="s">
        <v>1778</v>
      </c>
      <c r="D5719" t="str">
        <f>HYPERLINK("http://service.sap.com/sap/support/notes/1371019","1371019")</f>
        <v>1371019</v>
      </c>
      <c r="E5719">
        <v>8</v>
      </c>
      <c r="F5719" t="s">
        <v>5706</v>
      </c>
    </row>
    <row r="5720" spans="1:6" x14ac:dyDescent="0.25">
      <c r="A5720" t="s">
        <v>5781</v>
      </c>
      <c r="B5720" t="s">
        <v>825</v>
      </c>
      <c r="C5720" t="s">
        <v>1778</v>
      </c>
      <c r="D5720" t="str">
        <f>HYPERLINK("http://service.sap.com/sap/support/notes/1371585","1371585")</f>
        <v>1371585</v>
      </c>
      <c r="E5720">
        <v>2</v>
      </c>
      <c r="F5720" t="s">
        <v>5707</v>
      </c>
    </row>
    <row r="5721" spans="1:6" x14ac:dyDescent="0.25">
      <c r="A5721" t="s">
        <v>5781</v>
      </c>
      <c r="B5721" t="s">
        <v>825</v>
      </c>
      <c r="C5721" t="s">
        <v>1778</v>
      </c>
      <c r="D5721" t="str">
        <f>HYPERLINK("http://service.sap.com/sap/support/notes/1398196","1398196")</f>
        <v>1398196</v>
      </c>
      <c r="E5721">
        <v>4</v>
      </c>
      <c r="F5721" t="s">
        <v>5708</v>
      </c>
    </row>
    <row r="5722" spans="1:6" x14ac:dyDescent="0.25">
      <c r="A5722" t="s">
        <v>5781</v>
      </c>
      <c r="B5722" t="s">
        <v>825</v>
      </c>
      <c r="C5722" t="s">
        <v>1778</v>
      </c>
      <c r="D5722" t="str">
        <f>HYPERLINK("http://service.sap.com/sap/support/notes/1422505","1422505")</f>
        <v>1422505</v>
      </c>
      <c r="E5722">
        <v>3</v>
      </c>
      <c r="F5722" t="s">
        <v>5709</v>
      </c>
    </row>
    <row r="5723" spans="1:6" x14ac:dyDescent="0.25">
      <c r="A5723" t="s">
        <v>5781</v>
      </c>
      <c r="B5723" t="s">
        <v>825</v>
      </c>
      <c r="C5723" t="s">
        <v>1778</v>
      </c>
      <c r="D5723" t="str">
        <f>HYPERLINK("http://service.sap.com/sap/support/notes/1426851","1426851")</f>
        <v>1426851</v>
      </c>
      <c r="E5723">
        <v>2</v>
      </c>
      <c r="F5723" t="s">
        <v>5710</v>
      </c>
    </row>
    <row r="5724" spans="1:6" x14ac:dyDescent="0.25">
      <c r="A5724" t="s">
        <v>5781</v>
      </c>
      <c r="B5724" t="s">
        <v>825</v>
      </c>
      <c r="C5724" t="s">
        <v>1778</v>
      </c>
      <c r="D5724" t="str">
        <f>HYPERLINK("http://service.sap.com/sap/support/notes/1427760","1427760")</f>
        <v>1427760</v>
      </c>
      <c r="E5724">
        <v>1</v>
      </c>
      <c r="F5724" t="s">
        <v>5711</v>
      </c>
    </row>
    <row r="5725" spans="1:6" x14ac:dyDescent="0.25">
      <c r="A5725" t="s">
        <v>5781</v>
      </c>
      <c r="B5725" t="s">
        <v>825</v>
      </c>
      <c r="C5725" t="s">
        <v>1778</v>
      </c>
      <c r="D5725" t="str">
        <f>HYPERLINK("http://service.sap.com/sap/support/notes/1431059","1431059")</f>
        <v>1431059</v>
      </c>
      <c r="E5725">
        <v>2</v>
      </c>
      <c r="F5725" t="s">
        <v>5712</v>
      </c>
    </row>
    <row r="5726" spans="1:6" x14ac:dyDescent="0.25">
      <c r="A5726" t="s">
        <v>5781</v>
      </c>
      <c r="B5726" t="s">
        <v>825</v>
      </c>
      <c r="C5726" t="s">
        <v>1778</v>
      </c>
      <c r="D5726" t="str">
        <f>HYPERLINK("http://service.sap.com/sap/support/notes/1431991","1431991")</f>
        <v>1431991</v>
      </c>
      <c r="E5726">
        <v>3</v>
      </c>
      <c r="F5726" t="s">
        <v>5713</v>
      </c>
    </row>
    <row r="5727" spans="1:6" x14ac:dyDescent="0.25">
      <c r="A5727" t="s">
        <v>5781</v>
      </c>
      <c r="B5727" t="s">
        <v>825</v>
      </c>
      <c r="C5727" t="s">
        <v>1778</v>
      </c>
      <c r="D5727" t="str">
        <f>HYPERLINK("http://service.sap.com/sap/support/notes/1433648","1433648")</f>
        <v>1433648</v>
      </c>
      <c r="E5727">
        <v>2</v>
      </c>
      <c r="F5727" t="s">
        <v>5714</v>
      </c>
    </row>
    <row r="5728" spans="1:6" x14ac:dyDescent="0.25">
      <c r="A5728" t="s">
        <v>5781</v>
      </c>
      <c r="B5728" t="s">
        <v>825</v>
      </c>
      <c r="C5728" t="s">
        <v>1778</v>
      </c>
      <c r="D5728" t="str">
        <f>HYPERLINK("http://service.sap.com/sap/support/notes/1436070","1436070")</f>
        <v>1436070</v>
      </c>
      <c r="E5728">
        <v>3</v>
      </c>
      <c r="F5728" t="s">
        <v>5715</v>
      </c>
    </row>
    <row r="5729" spans="1:6" x14ac:dyDescent="0.25">
      <c r="A5729" t="s">
        <v>5781</v>
      </c>
      <c r="B5729" t="s">
        <v>825</v>
      </c>
      <c r="C5729" t="s">
        <v>1778</v>
      </c>
      <c r="D5729" t="str">
        <f>HYPERLINK("http://service.sap.com/sap/support/notes/1439690","1439690")</f>
        <v>1439690</v>
      </c>
      <c r="E5729">
        <v>2</v>
      </c>
      <c r="F5729" t="s">
        <v>5716</v>
      </c>
    </row>
    <row r="5730" spans="1:6" x14ac:dyDescent="0.25">
      <c r="A5730" t="s">
        <v>5781</v>
      </c>
      <c r="B5730" t="s">
        <v>825</v>
      </c>
      <c r="C5730" t="s">
        <v>1778</v>
      </c>
      <c r="D5730" t="str">
        <f>HYPERLINK("http://service.sap.com/sap/support/notes/1440382","1440382")</f>
        <v>1440382</v>
      </c>
      <c r="E5730">
        <v>3</v>
      </c>
      <c r="F5730" t="s">
        <v>5717</v>
      </c>
    </row>
    <row r="5731" spans="1:6" x14ac:dyDescent="0.25">
      <c r="A5731" t="s">
        <v>5781</v>
      </c>
      <c r="B5731" t="s">
        <v>825</v>
      </c>
      <c r="C5731" t="s">
        <v>1778</v>
      </c>
      <c r="D5731" t="str">
        <f>HYPERLINK("http://service.sap.com/sap/support/notes/1440775","1440775")</f>
        <v>1440775</v>
      </c>
      <c r="E5731">
        <v>1</v>
      </c>
      <c r="F5731" t="s">
        <v>5718</v>
      </c>
    </row>
    <row r="5732" spans="1:6" x14ac:dyDescent="0.25">
      <c r="A5732" t="s">
        <v>5781</v>
      </c>
      <c r="B5732" t="s">
        <v>825</v>
      </c>
      <c r="C5732" t="s">
        <v>1778</v>
      </c>
      <c r="D5732" t="str">
        <f>HYPERLINK("http://service.sap.com/sap/support/notes/1440785","1440785")</f>
        <v>1440785</v>
      </c>
      <c r="E5732">
        <v>2</v>
      </c>
      <c r="F5732" t="s">
        <v>5719</v>
      </c>
    </row>
    <row r="5733" spans="1:6" x14ac:dyDescent="0.25">
      <c r="A5733" t="s">
        <v>5781</v>
      </c>
      <c r="B5733" t="s">
        <v>825</v>
      </c>
      <c r="C5733" t="s">
        <v>1778</v>
      </c>
      <c r="D5733" t="str">
        <f>HYPERLINK("http://service.sap.com/sap/support/notes/1440813","1440813")</f>
        <v>1440813</v>
      </c>
      <c r="E5733">
        <v>2</v>
      </c>
      <c r="F5733" t="s">
        <v>5720</v>
      </c>
    </row>
    <row r="5734" spans="1:6" x14ac:dyDescent="0.25">
      <c r="A5734" t="s">
        <v>5781</v>
      </c>
      <c r="B5734" t="s">
        <v>825</v>
      </c>
      <c r="C5734" t="s">
        <v>1778</v>
      </c>
      <c r="D5734" t="str">
        <f>HYPERLINK("http://service.sap.com/sap/support/notes/1444350","1444350")</f>
        <v>1444350</v>
      </c>
      <c r="E5734">
        <v>1</v>
      </c>
      <c r="F5734" t="s">
        <v>5721</v>
      </c>
    </row>
    <row r="5735" spans="1:6" x14ac:dyDescent="0.25">
      <c r="A5735" t="s">
        <v>5781</v>
      </c>
      <c r="B5735" t="s">
        <v>825</v>
      </c>
      <c r="C5735" t="s">
        <v>1778</v>
      </c>
      <c r="D5735" t="str">
        <f>HYPERLINK("http://service.sap.com/sap/support/notes/1444578","1444578")</f>
        <v>1444578</v>
      </c>
      <c r="E5735">
        <v>1</v>
      </c>
      <c r="F5735" t="s">
        <v>5722</v>
      </c>
    </row>
    <row r="5736" spans="1:6" x14ac:dyDescent="0.25">
      <c r="A5736" t="s">
        <v>5781</v>
      </c>
      <c r="B5736" t="s">
        <v>825</v>
      </c>
      <c r="C5736" t="s">
        <v>1778</v>
      </c>
      <c r="D5736" t="str">
        <f>HYPERLINK("http://service.sap.com/sap/support/notes/1446730","1446730")</f>
        <v>1446730</v>
      </c>
      <c r="E5736">
        <v>1</v>
      </c>
      <c r="F5736" t="s">
        <v>5723</v>
      </c>
    </row>
    <row r="5737" spans="1:6" x14ac:dyDescent="0.25">
      <c r="A5737" t="s">
        <v>5781</v>
      </c>
      <c r="B5737" t="s">
        <v>825</v>
      </c>
      <c r="C5737" t="s">
        <v>1778</v>
      </c>
      <c r="D5737" t="str">
        <f>HYPERLINK("http://service.sap.com/sap/support/notes/1446732","1446732")</f>
        <v>1446732</v>
      </c>
      <c r="E5737">
        <v>1</v>
      </c>
      <c r="F5737" t="s">
        <v>5724</v>
      </c>
    </row>
    <row r="5738" spans="1:6" x14ac:dyDescent="0.25">
      <c r="A5738" t="s">
        <v>5781</v>
      </c>
      <c r="B5738" t="s">
        <v>825</v>
      </c>
      <c r="C5738" t="s">
        <v>1778</v>
      </c>
      <c r="D5738" t="str">
        <f>HYPERLINK("http://service.sap.com/sap/support/notes/1447206","1447206")</f>
        <v>1447206</v>
      </c>
      <c r="E5738">
        <v>3</v>
      </c>
      <c r="F5738" t="s">
        <v>5725</v>
      </c>
    </row>
    <row r="5739" spans="1:6" x14ac:dyDescent="0.25">
      <c r="A5739" t="s">
        <v>5781</v>
      </c>
      <c r="B5739" t="s">
        <v>825</v>
      </c>
      <c r="C5739" t="s">
        <v>1778</v>
      </c>
      <c r="D5739" t="str">
        <f>HYPERLINK("http://service.sap.com/sap/support/notes/1447962","1447962")</f>
        <v>1447962</v>
      </c>
      <c r="E5739">
        <v>2</v>
      </c>
      <c r="F5739" t="s">
        <v>5726</v>
      </c>
    </row>
    <row r="5740" spans="1:6" x14ac:dyDescent="0.25">
      <c r="A5740" t="s">
        <v>5781</v>
      </c>
      <c r="B5740" t="s">
        <v>825</v>
      </c>
      <c r="C5740" t="s">
        <v>1778</v>
      </c>
      <c r="D5740" t="str">
        <f>HYPERLINK("http://service.sap.com/sap/support/notes/1448753","1448753")</f>
        <v>1448753</v>
      </c>
      <c r="E5740">
        <v>1</v>
      </c>
      <c r="F5740" t="s">
        <v>5727</v>
      </c>
    </row>
    <row r="5741" spans="1:6" x14ac:dyDescent="0.25">
      <c r="A5741" t="s">
        <v>5781</v>
      </c>
      <c r="B5741" t="s">
        <v>825</v>
      </c>
      <c r="C5741" t="s">
        <v>1778</v>
      </c>
      <c r="D5741" t="str">
        <f>HYPERLINK("http://service.sap.com/sap/support/notes/1453242","1453242")</f>
        <v>1453242</v>
      </c>
      <c r="E5741">
        <v>1</v>
      </c>
      <c r="F5741" t="s">
        <v>5728</v>
      </c>
    </row>
    <row r="5742" spans="1:6" x14ac:dyDescent="0.25">
      <c r="A5742" t="s">
        <v>5781</v>
      </c>
      <c r="B5742" t="s">
        <v>831</v>
      </c>
      <c r="C5742" t="s">
        <v>2598</v>
      </c>
    </row>
    <row r="5743" spans="1:6" x14ac:dyDescent="0.25">
      <c r="A5743" t="s">
        <v>5781</v>
      </c>
      <c r="B5743" t="s">
        <v>849</v>
      </c>
      <c r="C5743" t="s">
        <v>4450</v>
      </c>
      <c r="D5743" t="str">
        <f>HYPERLINK("http://service.sap.com/sap/support/notes/1168812","1168812")</f>
        <v>1168812</v>
      </c>
      <c r="E5743">
        <v>3</v>
      </c>
      <c r="F5743" t="s">
        <v>5729</v>
      </c>
    </row>
    <row r="5744" spans="1:6" x14ac:dyDescent="0.25">
      <c r="A5744" t="s">
        <v>5781</v>
      </c>
      <c r="B5744" t="s">
        <v>849</v>
      </c>
      <c r="C5744" t="s">
        <v>4450</v>
      </c>
      <c r="D5744" t="str">
        <f>HYPERLINK("http://service.sap.com/sap/support/notes/1438447","1438447")</f>
        <v>1438447</v>
      </c>
      <c r="E5744">
        <v>2</v>
      </c>
      <c r="F5744" t="s">
        <v>5730</v>
      </c>
    </row>
    <row r="5745" spans="1:6" x14ac:dyDescent="0.25">
      <c r="A5745" t="s">
        <v>5781</v>
      </c>
      <c r="B5745" t="s">
        <v>849</v>
      </c>
      <c r="C5745" t="s">
        <v>4450</v>
      </c>
      <c r="D5745" t="str">
        <f>HYPERLINK("http://service.sap.com/sap/support/notes/1445185","1445185")</f>
        <v>1445185</v>
      </c>
      <c r="E5745">
        <v>3</v>
      </c>
      <c r="F5745" t="s">
        <v>5731</v>
      </c>
    </row>
    <row r="5746" spans="1:6" x14ac:dyDescent="0.25">
      <c r="A5746" t="s">
        <v>5781</v>
      </c>
      <c r="B5746" t="s">
        <v>867</v>
      </c>
      <c r="C5746" t="s">
        <v>4451</v>
      </c>
    </row>
    <row r="5747" spans="1:6" x14ac:dyDescent="0.25">
      <c r="A5747" t="s">
        <v>5781</v>
      </c>
      <c r="B5747" t="s">
        <v>4452</v>
      </c>
      <c r="C5747" t="s">
        <v>4048</v>
      </c>
      <c r="D5747" t="str">
        <f>HYPERLINK("http://service.sap.com/sap/support/notes/1088131","1088131")</f>
        <v>1088131</v>
      </c>
      <c r="E5747">
        <v>4</v>
      </c>
      <c r="F5747" t="s">
        <v>5732</v>
      </c>
    </row>
    <row r="5748" spans="1:6" x14ac:dyDescent="0.25">
      <c r="A5748" t="s">
        <v>5781</v>
      </c>
      <c r="B5748" t="s">
        <v>4452</v>
      </c>
      <c r="C5748" t="s">
        <v>4048</v>
      </c>
      <c r="D5748" t="str">
        <f>HYPERLINK("http://service.sap.com/sap/support/notes/1246141","1246141")</f>
        <v>1246141</v>
      </c>
      <c r="E5748">
        <v>4</v>
      </c>
      <c r="F5748" t="s">
        <v>5733</v>
      </c>
    </row>
    <row r="5749" spans="1:6" x14ac:dyDescent="0.25">
      <c r="A5749" t="s">
        <v>5781</v>
      </c>
      <c r="B5749" t="s">
        <v>4452</v>
      </c>
      <c r="C5749" t="s">
        <v>4048</v>
      </c>
      <c r="D5749" t="str">
        <f>HYPERLINK("http://service.sap.com/sap/support/notes/1315931","1315931")</f>
        <v>1315931</v>
      </c>
      <c r="E5749">
        <v>2</v>
      </c>
      <c r="F5749" t="s">
        <v>5734</v>
      </c>
    </row>
    <row r="5750" spans="1:6" x14ac:dyDescent="0.25">
      <c r="A5750" t="s">
        <v>5781</v>
      </c>
      <c r="B5750" t="s">
        <v>4452</v>
      </c>
      <c r="C5750" t="s">
        <v>4048</v>
      </c>
      <c r="D5750" t="str">
        <f>HYPERLINK("http://service.sap.com/sap/support/notes/1403682","1403682")</f>
        <v>1403682</v>
      </c>
      <c r="E5750">
        <v>2</v>
      </c>
      <c r="F5750" t="s">
        <v>5735</v>
      </c>
    </row>
    <row r="5751" spans="1:6" x14ac:dyDescent="0.25">
      <c r="A5751" t="s">
        <v>5781</v>
      </c>
      <c r="B5751" t="s">
        <v>4452</v>
      </c>
      <c r="C5751" t="s">
        <v>4048</v>
      </c>
      <c r="D5751" t="str">
        <f>HYPERLINK("http://service.sap.com/sap/support/notes/1408465","1408465")</f>
        <v>1408465</v>
      </c>
      <c r="E5751">
        <v>6</v>
      </c>
      <c r="F5751" t="s">
        <v>5736</v>
      </c>
    </row>
    <row r="5752" spans="1:6" x14ac:dyDescent="0.25">
      <c r="A5752" t="s">
        <v>5781</v>
      </c>
      <c r="B5752" t="s">
        <v>4452</v>
      </c>
      <c r="C5752" t="s">
        <v>4048</v>
      </c>
      <c r="D5752" t="str">
        <f>HYPERLINK("http://service.sap.com/sap/support/notes/1430911","1430911")</f>
        <v>1430911</v>
      </c>
      <c r="E5752">
        <v>4</v>
      </c>
      <c r="F5752" t="s">
        <v>5737</v>
      </c>
    </row>
    <row r="5753" spans="1:6" x14ac:dyDescent="0.25">
      <c r="A5753" t="s">
        <v>5781</v>
      </c>
      <c r="B5753" t="s">
        <v>871</v>
      </c>
      <c r="C5753" t="s">
        <v>872</v>
      </c>
      <c r="D5753" t="str">
        <f>HYPERLINK("http://service.sap.com/sap/support/notes/1345925","1345925")</f>
        <v>1345925</v>
      </c>
      <c r="E5753">
        <v>2</v>
      </c>
      <c r="F5753" t="s">
        <v>5738</v>
      </c>
    </row>
    <row r="5754" spans="1:6" x14ac:dyDescent="0.25">
      <c r="A5754" t="s">
        <v>5781</v>
      </c>
      <c r="B5754" t="s">
        <v>871</v>
      </c>
      <c r="C5754" t="s">
        <v>872</v>
      </c>
      <c r="D5754" t="str">
        <f>HYPERLINK("http://service.sap.com/sap/support/notes/1360069","1360069")</f>
        <v>1360069</v>
      </c>
      <c r="E5754">
        <v>1</v>
      </c>
      <c r="F5754" t="s">
        <v>5739</v>
      </c>
    </row>
    <row r="5755" spans="1:6" x14ac:dyDescent="0.25">
      <c r="A5755" t="s">
        <v>5781</v>
      </c>
      <c r="B5755" t="s">
        <v>874</v>
      </c>
      <c r="C5755" t="s">
        <v>875</v>
      </c>
      <c r="D5755" t="str">
        <f>HYPERLINK("http://service.sap.com/sap/support/notes/1440801","1440801")</f>
        <v>1440801</v>
      </c>
      <c r="E5755">
        <v>2</v>
      </c>
      <c r="F5755" t="s">
        <v>5730</v>
      </c>
    </row>
    <row r="5756" spans="1:6" x14ac:dyDescent="0.25">
      <c r="A5756" t="s">
        <v>5781</v>
      </c>
      <c r="B5756" t="s">
        <v>131</v>
      </c>
      <c r="C5756" t="s">
        <v>132</v>
      </c>
    </row>
    <row r="5757" spans="1:6" x14ac:dyDescent="0.25">
      <c r="A5757" t="s">
        <v>5781</v>
      </c>
      <c r="B5757" t="s">
        <v>155</v>
      </c>
      <c r="C5757" t="s">
        <v>156</v>
      </c>
      <c r="D5757" t="str">
        <f>HYPERLINK("http://service.sap.com/sap/support/notes/1446116","1446116")</f>
        <v>1446116</v>
      </c>
      <c r="E5757">
        <v>1</v>
      </c>
      <c r="F5757" t="s">
        <v>5740</v>
      </c>
    </row>
    <row r="5758" spans="1:6" x14ac:dyDescent="0.25">
      <c r="A5758" t="s">
        <v>5781</v>
      </c>
      <c r="B5758" t="s">
        <v>155</v>
      </c>
      <c r="C5758" t="s">
        <v>156</v>
      </c>
      <c r="D5758" t="str">
        <f>HYPERLINK("http://service.sap.com/sap/support/notes/1450472","1450472")</f>
        <v>1450472</v>
      </c>
      <c r="E5758">
        <v>2</v>
      </c>
      <c r="F5758" t="s">
        <v>5741</v>
      </c>
    </row>
    <row r="5759" spans="1:6" x14ac:dyDescent="0.25">
      <c r="A5759" t="s">
        <v>5781</v>
      </c>
      <c r="B5759" t="s">
        <v>168</v>
      </c>
      <c r="C5759" t="s">
        <v>169</v>
      </c>
      <c r="D5759" t="str">
        <f>HYPERLINK("http://service.sap.com/sap/support/notes/1352350","1352350")</f>
        <v>1352350</v>
      </c>
      <c r="E5759">
        <v>2</v>
      </c>
      <c r="F5759" t="s">
        <v>5742</v>
      </c>
    </row>
    <row r="5760" spans="1:6" x14ac:dyDescent="0.25">
      <c r="A5760" t="s">
        <v>5781</v>
      </c>
      <c r="B5760" t="s">
        <v>168</v>
      </c>
      <c r="C5760" t="s">
        <v>169</v>
      </c>
      <c r="D5760" t="str">
        <f>HYPERLINK("http://service.sap.com/sap/support/notes/1452976","1452976")</f>
        <v>1452976</v>
      </c>
      <c r="E5760">
        <v>1</v>
      </c>
      <c r="F5760" t="s">
        <v>5743</v>
      </c>
    </row>
    <row r="5761" spans="1:6" x14ac:dyDescent="0.25">
      <c r="A5761" t="s">
        <v>5781</v>
      </c>
      <c r="B5761" t="s">
        <v>207</v>
      </c>
      <c r="C5761" t="s">
        <v>208</v>
      </c>
      <c r="D5761" t="str">
        <f>HYPERLINK("http://service.sap.com/sap/support/notes/1433585","1433585")</f>
        <v>1433585</v>
      </c>
      <c r="E5761">
        <v>1</v>
      </c>
      <c r="F5761" t="s">
        <v>5744</v>
      </c>
    </row>
    <row r="5762" spans="1:6" x14ac:dyDescent="0.25">
      <c r="A5762" t="s">
        <v>5781</v>
      </c>
      <c r="B5762" t="s">
        <v>207</v>
      </c>
      <c r="C5762" t="s">
        <v>208</v>
      </c>
      <c r="D5762" t="str">
        <f>HYPERLINK("http://service.sap.com/sap/support/notes/1434357","1434357")</f>
        <v>1434357</v>
      </c>
      <c r="E5762">
        <v>1</v>
      </c>
      <c r="F5762" t="s">
        <v>5745</v>
      </c>
    </row>
    <row r="5763" spans="1:6" x14ac:dyDescent="0.25">
      <c r="A5763" t="s">
        <v>5781</v>
      </c>
      <c r="B5763" t="s">
        <v>207</v>
      </c>
      <c r="C5763" t="s">
        <v>208</v>
      </c>
      <c r="D5763" t="str">
        <f>HYPERLINK("http://service.sap.com/sap/support/notes/1435340","1435340")</f>
        <v>1435340</v>
      </c>
      <c r="E5763">
        <v>1</v>
      </c>
      <c r="F5763" t="s">
        <v>5746</v>
      </c>
    </row>
    <row r="5764" spans="1:6" x14ac:dyDescent="0.25">
      <c r="A5764" t="s">
        <v>5781</v>
      </c>
      <c r="B5764" t="s">
        <v>213</v>
      </c>
      <c r="C5764" t="s">
        <v>214</v>
      </c>
      <c r="D5764" t="str">
        <f>HYPERLINK("http://service.sap.com/sap/support/notes/1449370","1449370")</f>
        <v>1449370</v>
      </c>
      <c r="E5764">
        <v>1</v>
      </c>
      <c r="F5764" t="s">
        <v>5747</v>
      </c>
    </row>
    <row r="5765" spans="1:6" x14ac:dyDescent="0.25">
      <c r="A5765" t="s">
        <v>5781</v>
      </c>
      <c r="B5765" t="s">
        <v>226</v>
      </c>
      <c r="C5765" t="s">
        <v>52</v>
      </c>
    </row>
    <row r="5766" spans="1:6" x14ac:dyDescent="0.25">
      <c r="A5766" t="s">
        <v>5781</v>
      </c>
      <c r="B5766" t="s">
        <v>235</v>
      </c>
      <c r="C5766" t="s">
        <v>236</v>
      </c>
    </row>
    <row r="5767" spans="1:6" x14ac:dyDescent="0.25">
      <c r="A5767" t="s">
        <v>5781</v>
      </c>
      <c r="B5767" t="s">
        <v>246</v>
      </c>
      <c r="C5767" t="s">
        <v>247</v>
      </c>
      <c r="D5767" t="str">
        <f>HYPERLINK("http://service.sap.com/sap/support/notes/1430459","1430459")</f>
        <v>1430459</v>
      </c>
      <c r="E5767">
        <v>7</v>
      </c>
      <c r="F5767" t="s">
        <v>5748</v>
      </c>
    </row>
    <row r="5768" spans="1:6" x14ac:dyDescent="0.25">
      <c r="A5768" t="s">
        <v>5781</v>
      </c>
      <c r="B5768" t="s">
        <v>246</v>
      </c>
      <c r="C5768" t="s">
        <v>247</v>
      </c>
      <c r="D5768" t="str">
        <f>HYPERLINK("http://service.sap.com/sap/support/notes/1435828","1435828")</f>
        <v>1435828</v>
      </c>
      <c r="E5768">
        <v>2</v>
      </c>
      <c r="F5768" t="s">
        <v>5749</v>
      </c>
    </row>
    <row r="5769" spans="1:6" x14ac:dyDescent="0.25">
      <c r="A5769" t="s">
        <v>5781</v>
      </c>
      <c r="B5769" t="s">
        <v>246</v>
      </c>
      <c r="C5769" t="s">
        <v>247</v>
      </c>
      <c r="D5769" t="str">
        <f>HYPERLINK("http://service.sap.com/sap/support/notes/1440899","1440899")</f>
        <v>1440899</v>
      </c>
      <c r="E5769">
        <v>3</v>
      </c>
      <c r="F5769" t="s">
        <v>5750</v>
      </c>
    </row>
    <row r="5770" spans="1:6" x14ac:dyDescent="0.25">
      <c r="A5770" t="s">
        <v>5781</v>
      </c>
      <c r="B5770" t="s">
        <v>246</v>
      </c>
      <c r="C5770" t="s">
        <v>247</v>
      </c>
      <c r="D5770" t="str">
        <f>HYPERLINK("http://service.sap.com/sap/support/notes/1442273","1442273")</f>
        <v>1442273</v>
      </c>
      <c r="E5770">
        <v>8</v>
      </c>
      <c r="F5770" t="s">
        <v>5751</v>
      </c>
    </row>
    <row r="5771" spans="1:6" x14ac:dyDescent="0.25">
      <c r="A5771" t="s">
        <v>5781</v>
      </c>
      <c r="B5771" t="s">
        <v>246</v>
      </c>
      <c r="C5771" t="s">
        <v>247</v>
      </c>
      <c r="D5771" t="str">
        <f>HYPERLINK("http://service.sap.com/sap/support/notes/1449213","1449213")</f>
        <v>1449213</v>
      </c>
      <c r="E5771">
        <v>1</v>
      </c>
      <c r="F5771" t="s">
        <v>5752</v>
      </c>
    </row>
    <row r="5772" spans="1:6" x14ac:dyDescent="0.25">
      <c r="A5772" t="s">
        <v>5781</v>
      </c>
      <c r="B5772" t="s">
        <v>246</v>
      </c>
      <c r="C5772" t="s">
        <v>247</v>
      </c>
      <c r="D5772" t="str">
        <f>HYPERLINK("http://service.sap.com/sap/support/notes/1450712","1450712")</f>
        <v>1450712</v>
      </c>
      <c r="E5772">
        <v>1</v>
      </c>
      <c r="F5772" t="s">
        <v>5753</v>
      </c>
    </row>
    <row r="5773" spans="1:6" x14ac:dyDescent="0.25">
      <c r="A5773" t="s">
        <v>5781</v>
      </c>
      <c r="B5773" t="s">
        <v>250</v>
      </c>
      <c r="C5773" t="s">
        <v>251</v>
      </c>
    </row>
    <row r="5774" spans="1:6" x14ac:dyDescent="0.25">
      <c r="A5774" t="s">
        <v>5781</v>
      </c>
      <c r="B5774" t="s">
        <v>264</v>
      </c>
      <c r="C5774" t="s">
        <v>265</v>
      </c>
      <c r="D5774" t="str">
        <f>HYPERLINK("http://service.sap.com/sap/support/notes/1453399","1453399")</f>
        <v>1453399</v>
      </c>
      <c r="E5774">
        <v>2</v>
      </c>
      <c r="F5774" t="s">
        <v>5754</v>
      </c>
    </row>
    <row r="5775" spans="1:6" x14ac:dyDescent="0.25">
      <c r="A5775" t="s">
        <v>5781</v>
      </c>
      <c r="B5775" t="s">
        <v>298</v>
      </c>
      <c r="C5775" t="s">
        <v>299</v>
      </c>
    </row>
    <row r="5776" spans="1:6" x14ac:dyDescent="0.25">
      <c r="A5776" t="s">
        <v>5781</v>
      </c>
      <c r="B5776" t="s">
        <v>300</v>
      </c>
      <c r="C5776" t="s">
        <v>301</v>
      </c>
      <c r="D5776" t="str">
        <f>HYPERLINK("http://service.sap.com/sap/support/notes/1448688","1448688")</f>
        <v>1448688</v>
      </c>
      <c r="E5776">
        <v>1</v>
      </c>
      <c r="F5776" t="s">
        <v>5755</v>
      </c>
    </row>
    <row r="5777" spans="1:6" x14ac:dyDescent="0.25">
      <c r="A5777" t="s">
        <v>5781</v>
      </c>
      <c r="B5777" t="s">
        <v>304</v>
      </c>
      <c r="C5777" t="s">
        <v>305</v>
      </c>
      <c r="D5777" t="str">
        <f>HYPERLINK("http://service.sap.com/sap/support/notes/1017716","1017716")</f>
        <v>1017716</v>
      </c>
      <c r="E5777">
        <v>1</v>
      </c>
      <c r="F5777" t="s">
        <v>1074</v>
      </c>
    </row>
    <row r="5778" spans="1:6" x14ac:dyDescent="0.25">
      <c r="A5778" t="s">
        <v>5781</v>
      </c>
      <c r="B5778" t="s">
        <v>343</v>
      </c>
      <c r="C5778" t="s">
        <v>344</v>
      </c>
      <c r="D5778" t="str">
        <f>HYPERLINK("http://service.sap.com/sap/support/notes/1412207","1412207")</f>
        <v>1412207</v>
      </c>
      <c r="E5778">
        <v>3</v>
      </c>
      <c r="F5778" t="s">
        <v>5756</v>
      </c>
    </row>
    <row r="5779" spans="1:6" x14ac:dyDescent="0.25">
      <c r="A5779" t="s">
        <v>5781</v>
      </c>
      <c r="B5779" t="s">
        <v>363</v>
      </c>
      <c r="C5779" t="s">
        <v>74</v>
      </c>
      <c r="D5779" t="str">
        <f>HYPERLINK("http://service.sap.com/sap/support/notes/1446929","1446929")</f>
        <v>1446929</v>
      </c>
      <c r="E5779">
        <v>1</v>
      </c>
      <c r="F5779" t="s">
        <v>5757</v>
      </c>
    </row>
    <row r="5780" spans="1:6" x14ac:dyDescent="0.25">
      <c r="A5780" t="s">
        <v>5781</v>
      </c>
      <c r="B5780" t="s">
        <v>371</v>
      </c>
      <c r="C5780" t="s">
        <v>372</v>
      </c>
      <c r="D5780" t="str">
        <f>HYPERLINK("http://service.sap.com/sap/support/notes/1378818","1378818")</f>
        <v>1378818</v>
      </c>
      <c r="E5780">
        <v>1</v>
      </c>
      <c r="F5780" t="s">
        <v>5758</v>
      </c>
    </row>
    <row r="5781" spans="1:6" x14ac:dyDescent="0.25">
      <c r="A5781" t="s">
        <v>5781</v>
      </c>
      <c r="B5781" t="s">
        <v>371</v>
      </c>
      <c r="C5781" t="s">
        <v>372</v>
      </c>
      <c r="D5781" t="str">
        <f>HYPERLINK("http://service.sap.com/sap/support/notes/1440814","1440814")</f>
        <v>1440814</v>
      </c>
      <c r="E5781">
        <v>1</v>
      </c>
      <c r="F5781" t="s">
        <v>5759</v>
      </c>
    </row>
    <row r="5782" spans="1:6" x14ac:dyDescent="0.25">
      <c r="A5782" t="s">
        <v>5781</v>
      </c>
      <c r="B5782" t="s">
        <v>460</v>
      </c>
      <c r="C5782" t="s">
        <v>461</v>
      </c>
      <c r="D5782" t="str">
        <f>HYPERLINK("http://service.sap.com/sap/support/notes/1433590","1433590")</f>
        <v>1433590</v>
      </c>
      <c r="E5782">
        <v>10</v>
      </c>
      <c r="F5782" t="s">
        <v>5760</v>
      </c>
    </row>
    <row r="5783" spans="1:6" x14ac:dyDescent="0.25">
      <c r="A5783" t="s">
        <v>5781</v>
      </c>
      <c r="B5783" t="s">
        <v>460</v>
      </c>
      <c r="C5783" t="s">
        <v>461</v>
      </c>
      <c r="D5783" t="str">
        <f>HYPERLINK("http://service.sap.com/sap/support/notes/1442023","1442023")</f>
        <v>1442023</v>
      </c>
      <c r="E5783">
        <v>1</v>
      </c>
      <c r="F5783" t="s">
        <v>5761</v>
      </c>
    </row>
    <row r="5784" spans="1:6" x14ac:dyDescent="0.25">
      <c r="A5784" t="s">
        <v>5781</v>
      </c>
      <c r="B5784" t="s">
        <v>460</v>
      </c>
      <c r="C5784" t="s">
        <v>461</v>
      </c>
      <c r="D5784" t="str">
        <f>HYPERLINK("http://service.sap.com/sap/support/notes/1442217","1442217")</f>
        <v>1442217</v>
      </c>
      <c r="E5784">
        <v>1</v>
      </c>
      <c r="F5784" t="s">
        <v>5762</v>
      </c>
    </row>
    <row r="5785" spans="1:6" x14ac:dyDescent="0.25">
      <c r="A5785" t="s">
        <v>5781</v>
      </c>
      <c r="B5785" t="s">
        <v>460</v>
      </c>
      <c r="C5785" t="s">
        <v>461</v>
      </c>
      <c r="D5785" t="str">
        <f>HYPERLINK("http://service.sap.com/sap/support/notes/1452077","1452077")</f>
        <v>1452077</v>
      </c>
      <c r="E5785">
        <v>4</v>
      </c>
      <c r="F5785" t="s">
        <v>5763</v>
      </c>
    </row>
    <row r="5786" spans="1:6" x14ac:dyDescent="0.25">
      <c r="A5786" t="s">
        <v>5781</v>
      </c>
      <c r="B5786" t="s">
        <v>460</v>
      </c>
      <c r="C5786" t="s">
        <v>461</v>
      </c>
      <c r="D5786" t="str">
        <f>HYPERLINK("http://service.sap.com/sap/support/notes/1453983","1453983")</f>
        <v>1453983</v>
      </c>
      <c r="E5786">
        <v>1</v>
      </c>
      <c r="F5786" t="s">
        <v>5764</v>
      </c>
    </row>
    <row r="5787" spans="1:6" x14ac:dyDescent="0.25">
      <c r="A5787" t="s">
        <v>5781</v>
      </c>
      <c r="B5787" t="s">
        <v>472</v>
      </c>
      <c r="C5787" t="s">
        <v>473</v>
      </c>
    </row>
    <row r="5788" spans="1:6" x14ac:dyDescent="0.25">
      <c r="A5788" t="s">
        <v>5781</v>
      </c>
      <c r="B5788" t="s">
        <v>476</v>
      </c>
      <c r="C5788" t="s">
        <v>477</v>
      </c>
      <c r="D5788" t="str">
        <f>HYPERLINK("http://service.sap.com/sap/support/notes/1448616","1448616")</f>
        <v>1448616</v>
      </c>
      <c r="E5788">
        <v>1</v>
      </c>
      <c r="F5788" t="s">
        <v>5765</v>
      </c>
    </row>
    <row r="5789" spans="1:6" x14ac:dyDescent="0.25">
      <c r="A5789" t="s">
        <v>5781</v>
      </c>
      <c r="B5789" t="s">
        <v>499</v>
      </c>
      <c r="C5789" t="s">
        <v>108</v>
      </c>
    </row>
    <row r="5790" spans="1:6" x14ac:dyDescent="0.25">
      <c r="A5790" t="s">
        <v>5781</v>
      </c>
      <c r="B5790" t="s">
        <v>4181</v>
      </c>
      <c r="C5790" t="s">
        <v>4182</v>
      </c>
      <c r="D5790" t="str">
        <f>HYPERLINK("http://service.sap.com/sap/support/notes/1429379","1429379")</f>
        <v>1429379</v>
      </c>
      <c r="E5790">
        <v>3</v>
      </c>
      <c r="F5790" t="s">
        <v>5766</v>
      </c>
    </row>
    <row r="5791" spans="1:6" x14ac:dyDescent="0.25">
      <c r="A5791" t="s">
        <v>5781</v>
      </c>
      <c r="B5791" t="s">
        <v>531</v>
      </c>
      <c r="C5791" t="s">
        <v>532</v>
      </c>
    </row>
    <row r="5792" spans="1:6" x14ac:dyDescent="0.25">
      <c r="A5792" t="s">
        <v>5781</v>
      </c>
      <c r="B5792" t="s">
        <v>1314</v>
      </c>
      <c r="C5792" t="s">
        <v>5767</v>
      </c>
      <c r="D5792" t="str">
        <f>HYPERLINK("http://service.sap.com/sap/support/notes/1439567","1439567")</f>
        <v>1439567</v>
      </c>
      <c r="E5792">
        <v>2</v>
      </c>
      <c r="F5792" t="s">
        <v>5768</v>
      </c>
    </row>
    <row r="5793" spans="1:6" x14ac:dyDescent="0.25">
      <c r="A5793" t="s">
        <v>5781</v>
      </c>
      <c r="B5793" t="s">
        <v>1314</v>
      </c>
      <c r="C5793" t="s">
        <v>5767</v>
      </c>
      <c r="D5793" t="str">
        <f>HYPERLINK("http://service.sap.com/sap/support/notes/1439571","1439571")</f>
        <v>1439571</v>
      </c>
      <c r="E5793">
        <v>2</v>
      </c>
      <c r="F5793" t="s">
        <v>5769</v>
      </c>
    </row>
    <row r="5794" spans="1:6" x14ac:dyDescent="0.25">
      <c r="A5794" t="s">
        <v>5781</v>
      </c>
      <c r="B5794" t="s">
        <v>1314</v>
      </c>
      <c r="C5794" t="s">
        <v>5767</v>
      </c>
      <c r="D5794" t="str">
        <f>HYPERLINK("http://service.sap.com/sap/support/notes/1443315","1443315")</f>
        <v>1443315</v>
      </c>
      <c r="E5794">
        <v>1</v>
      </c>
      <c r="F5794" t="s">
        <v>5770</v>
      </c>
    </row>
    <row r="5795" spans="1:6" x14ac:dyDescent="0.25">
      <c r="A5795" t="s">
        <v>5781</v>
      </c>
      <c r="B5795" t="s">
        <v>1314</v>
      </c>
      <c r="C5795" t="s">
        <v>5767</v>
      </c>
      <c r="D5795" t="str">
        <f>HYPERLINK("http://service.sap.com/sap/support/notes/1445274","1445274")</f>
        <v>1445274</v>
      </c>
      <c r="E5795">
        <v>1</v>
      </c>
      <c r="F5795" t="s">
        <v>5771</v>
      </c>
    </row>
    <row r="5796" spans="1:6" x14ac:dyDescent="0.25">
      <c r="A5796" t="s">
        <v>5781</v>
      </c>
      <c r="B5796" t="s">
        <v>1317</v>
      </c>
      <c r="C5796" t="s">
        <v>1318</v>
      </c>
      <c r="D5796" t="str">
        <f>HYPERLINK("http://service.sap.com/sap/support/notes/1449381","1449381")</f>
        <v>1449381</v>
      </c>
      <c r="E5796">
        <v>2</v>
      </c>
      <c r="F5796" t="s">
        <v>5772</v>
      </c>
    </row>
    <row r="5797" spans="1:6" x14ac:dyDescent="0.25">
      <c r="A5797" t="s">
        <v>5781</v>
      </c>
      <c r="B5797" t="s">
        <v>1342</v>
      </c>
      <c r="C5797" t="s">
        <v>1343</v>
      </c>
      <c r="D5797" t="str">
        <f>HYPERLINK("http://service.sap.com/sap/support/notes/1410510","1410510")</f>
        <v>1410510</v>
      </c>
      <c r="E5797">
        <v>1</v>
      </c>
      <c r="F5797" t="s">
        <v>5773</v>
      </c>
    </row>
    <row r="5798" spans="1:6" x14ac:dyDescent="0.25">
      <c r="A5798" t="s">
        <v>5781</v>
      </c>
      <c r="B5798" t="s">
        <v>4309</v>
      </c>
      <c r="C5798" t="s">
        <v>4310</v>
      </c>
      <c r="D5798" t="str">
        <f>HYPERLINK("http://service.sap.com/sap/support/notes/1421424","1421424")</f>
        <v>1421424</v>
      </c>
      <c r="E5798">
        <v>2</v>
      </c>
      <c r="F5798" t="s">
        <v>5774</v>
      </c>
    </row>
    <row r="5799" spans="1:6" x14ac:dyDescent="0.25">
      <c r="A5799" t="s">
        <v>5781</v>
      </c>
      <c r="B5799" t="s">
        <v>4309</v>
      </c>
      <c r="C5799" t="s">
        <v>4310</v>
      </c>
      <c r="D5799" t="str">
        <f>HYPERLINK("http://service.sap.com/sap/support/notes/1451576","1451576")</f>
        <v>1451576</v>
      </c>
      <c r="E5799">
        <v>1</v>
      </c>
      <c r="F5799" t="s">
        <v>5775</v>
      </c>
    </row>
    <row r="5800" spans="1:6" x14ac:dyDescent="0.25">
      <c r="A5800" t="s">
        <v>5781</v>
      </c>
      <c r="B5800" t="s">
        <v>543</v>
      </c>
      <c r="C5800" t="s">
        <v>544</v>
      </c>
    </row>
    <row r="5801" spans="1:6" x14ac:dyDescent="0.25">
      <c r="A5801" t="s">
        <v>5781</v>
      </c>
      <c r="B5801" t="s">
        <v>5776</v>
      </c>
      <c r="C5801" t="s">
        <v>5777</v>
      </c>
    </row>
    <row r="5802" spans="1:6" x14ac:dyDescent="0.25">
      <c r="A5802" t="s">
        <v>5781</v>
      </c>
      <c r="B5802" t="s">
        <v>5778</v>
      </c>
      <c r="C5802" t="s">
        <v>5779</v>
      </c>
      <c r="D5802" t="str">
        <f>HYPERLINK("http://service.sap.com/sap/support/notes/1443145","1443145")</f>
        <v>1443145</v>
      </c>
      <c r="E5802">
        <v>1</v>
      </c>
      <c r="F5802" t="s">
        <v>5780</v>
      </c>
    </row>
    <row r="5803" spans="1:6" x14ac:dyDescent="0.25">
      <c r="A5803" t="s">
        <v>6276</v>
      </c>
      <c r="B5803" t="s">
        <v>5</v>
      </c>
      <c r="C5803" t="s">
        <v>6</v>
      </c>
    </row>
    <row r="5804" spans="1:6" x14ac:dyDescent="0.25">
      <c r="A5804" t="s">
        <v>6276</v>
      </c>
      <c r="B5804" t="s">
        <v>7</v>
      </c>
      <c r="C5804" t="s">
        <v>8</v>
      </c>
    </row>
    <row r="5805" spans="1:6" x14ac:dyDescent="0.25">
      <c r="A5805" t="s">
        <v>6276</v>
      </c>
      <c r="B5805" t="s">
        <v>12</v>
      </c>
      <c r="C5805" t="s">
        <v>13</v>
      </c>
      <c r="D5805" t="str">
        <f>HYPERLINK("http://service.sap.com/sap/support/notes/1473276","1473276")</f>
        <v>1473276</v>
      </c>
      <c r="E5805">
        <v>2</v>
      </c>
      <c r="F5805" t="s">
        <v>5782</v>
      </c>
    </row>
    <row r="5806" spans="1:6" x14ac:dyDescent="0.25">
      <c r="A5806" t="s">
        <v>6276</v>
      </c>
      <c r="B5806" t="s">
        <v>573</v>
      </c>
      <c r="C5806" t="s">
        <v>4037</v>
      </c>
    </row>
    <row r="5807" spans="1:6" x14ac:dyDescent="0.25">
      <c r="A5807" t="s">
        <v>6276</v>
      </c>
      <c r="B5807" t="s">
        <v>4038</v>
      </c>
      <c r="C5807" t="s">
        <v>4039</v>
      </c>
    </row>
    <row r="5808" spans="1:6" x14ac:dyDescent="0.25">
      <c r="A5808" t="s">
        <v>6276</v>
      </c>
      <c r="B5808" t="s">
        <v>5783</v>
      </c>
      <c r="C5808" t="s">
        <v>5784</v>
      </c>
      <c r="D5808" t="str">
        <f>HYPERLINK("http://service.sap.com/sap/support/notes/1471339","1471339")</f>
        <v>1471339</v>
      </c>
      <c r="E5808">
        <v>2</v>
      </c>
      <c r="F5808" t="s">
        <v>5785</v>
      </c>
    </row>
    <row r="5809" spans="1:6" x14ac:dyDescent="0.25">
      <c r="A5809" t="s">
        <v>6276</v>
      </c>
      <c r="B5809" t="s">
        <v>5786</v>
      </c>
      <c r="C5809" t="s">
        <v>5787</v>
      </c>
      <c r="D5809" t="str">
        <f>HYPERLINK("http://service.sap.com/sap/support/notes/1430396","1430396")</f>
        <v>1430396</v>
      </c>
      <c r="E5809">
        <v>2</v>
      </c>
      <c r="F5809" t="s">
        <v>5788</v>
      </c>
    </row>
    <row r="5810" spans="1:6" x14ac:dyDescent="0.25">
      <c r="A5810" t="s">
        <v>6276</v>
      </c>
      <c r="B5810" t="s">
        <v>5789</v>
      </c>
      <c r="C5810" t="s">
        <v>5790</v>
      </c>
      <c r="D5810" t="str">
        <f>HYPERLINK("http://service.sap.com/sap/support/notes/1426713","1426713")</f>
        <v>1426713</v>
      </c>
      <c r="E5810">
        <v>1</v>
      </c>
      <c r="F5810" t="s">
        <v>5791</v>
      </c>
    </row>
    <row r="5811" spans="1:6" x14ac:dyDescent="0.25">
      <c r="A5811" t="s">
        <v>6276</v>
      </c>
      <c r="B5811" t="s">
        <v>4043</v>
      </c>
      <c r="C5811" t="s">
        <v>4044</v>
      </c>
      <c r="D5811" t="str">
        <f>HYPERLINK("http://service.sap.com/sap/support/notes/1465343","1465343")</f>
        <v>1465343</v>
      </c>
      <c r="E5811">
        <v>1</v>
      </c>
      <c r="F5811" t="s">
        <v>5792</v>
      </c>
    </row>
    <row r="5812" spans="1:6" x14ac:dyDescent="0.25">
      <c r="A5812" t="s">
        <v>6276</v>
      </c>
      <c r="B5812" t="s">
        <v>4045</v>
      </c>
      <c r="C5812" t="s">
        <v>4046</v>
      </c>
    </row>
    <row r="5813" spans="1:6" x14ac:dyDescent="0.25">
      <c r="A5813" t="s">
        <v>6276</v>
      </c>
      <c r="B5813" t="s">
        <v>4047</v>
      </c>
      <c r="C5813" t="s">
        <v>4048</v>
      </c>
      <c r="D5813" t="str">
        <f>HYPERLINK("http://service.sap.com/sap/support/notes/1481074","1481074")</f>
        <v>1481074</v>
      </c>
      <c r="E5813">
        <v>1</v>
      </c>
      <c r="F5813" t="s">
        <v>5793</v>
      </c>
    </row>
    <row r="5814" spans="1:6" x14ac:dyDescent="0.25">
      <c r="A5814" t="s">
        <v>6276</v>
      </c>
      <c r="B5814" t="s">
        <v>4047</v>
      </c>
      <c r="C5814" t="s">
        <v>4048</v>
      </c>
      <c r="D5814" t="str">
        <f>HYPERLINK("http://service.sap.com/sap/support/notes/1489619","1489619")</f>
        <v>1489619</v>
      </c>
      <c r="E5814">
        <v>1</v>
      </c>
      <c r="F5814" t="s">
        <v>5523</v>
      </c>
    </row>
    <row r="5815" spans="1:6" x14ac:dyDescent="0.25">
      <c r="A5815" t="s">
        <v>6276</v>
      </c>
      <c r="B5815" t="s">
        <v>585</v>
      </c>
      <c r="C5815" t="s">
        <v>1443</v>
      </c>
    </row>
    <row r="5816" spans="1:6" x14ac:dyDescent="0.25">
      <c r="A5816" t="s">
        <v>6276</v>
      </c>
      <c r="B5816" t="s">
        <v>586</v>
      </c>
      <c r="C5816" t="s">
        <v>1444</v>
      </c>
    </row>
    <row r="5817" spans="1:6" x14ac:dyDescent="0.25">
      <c r="A5817" t="s">
        <v>6276</v>
      </c>
      <c r="B5817" t="s">
        <v>587</v>
      </c>
      <c r="C5817" t="s">
        <v>1445</v>
      </c>
      <c r="D5817" t="str">
        <f>HYPERLINK("http://service.sap.com/sap/support/notes/1489755","1489755")</f>
        <v>1489755</v>
      </c>
      <c r="E5817">
        <v>2</v>
      </c>
      <c r="F5817" t="s">
        <v>5794</v>
      </c>
    </row>
    <row r="5818" spans="1:6" x14ac:dyDescent="0.25">
      <c r="A5818" t="s">
        <v>6276</v>
      </c>
      <c r="B5818" t="s">
        <v>588</v>
      </c>
      <c r="C5818" t="s">
        <v>1446</v>
      </c>
      <c r="D5818" t="str">
        <f>HYPERLINK("http://service.sap.com/sap/support/notes/1475952","1475952")</f>
        <v>1475952</v>
      </c>
      <c r="E5818">
        <v>3</v>
      </c>
      <c r="F5818" t="s">
        <v>5795</v>
      </c>
    </row>
    <row r="5819" spans="1:6" x14ac:dyDescent="0.25">
      <c r="A5819" t="s">
        <v>6276</v>
      </c>
      <c r="B5819" t="s">
        <v>588</v>
      </c>
      <c r="C5819" t="s">
        <v>1446</v>
      </c>
      <c r="D5819" t="str">
        <f>HYPERLINK("http://service.sap.com/sap/support/notes/1486303","1486303")</f>
        <v>1486303</v>
      </c>
      <c r="E5819">
        <v>1</v>
      </c>
      <c r="F5819" t="s">
        <v>5796</v>
      </c>
    </row>
    <row r="5820" spans="1:6" x14ac:dyDescent="0.25">
      <c r="A5820" t="s">
        <v>6276</v>
      </c>
      <c r="B5820" t="s">
        <v>588</v>
      </c>
      <c r="C5820" t="s">
        <v>1446</v>
      </c>
      <c r="D5820" t="str">
        <f>HYPERLINK("http://service.sap.com/sap/support/notes/1486454","1486454")</f>
        <v>1486454</v>
      </c>
      <c r="E5820">
        <v>4</v>
      </c>
      <c r="F5820" t="s">
        <v>5797</v>
      </c>
    </row>
    <row r="5821" spans="1:6" x14ac:dyDescent="0.25">
      <c r="A5821" t="s">
        <v>6276</v>
      </c>
      <c r="B5821" t="s">
        <v>20</v>
      </c>
      <c r="C5821" t="s">
        <v>21</v>
      </c>
    </row>
    <row r="5822" spans="1:6" x14ac:dyDescent="0.25">
      <c r="A5822" t="s">
        <v>6276</v>
      </c>
      <c r="B5822" t="s">
        <v>22</v>
      </c>
      <c r="C5822" t="s">
        <v>23</v>
      </c>
      <c r="D5822" t="str">
        <f>HYPERLINK("http://service.sap.com/sap/support/notes/1228709","1228709")</f>
        <v>1228709</v>
      </c>
      <c r="E5822">
        <v>2</v>
      </c>
      <c r="F5822" t="s">
        <v>5798</v>
      </c>
    </row>
    <row r="5823" spans="1:6" x14ac:dyDescent="0.25">
      <c r="A5823" t="s">
        <v>6276</v>
      </c>
      <c r="B5823" t="s">
        <v>22</v>
      </c>
      <c r="C5823" t="s">
        <v>23</v>
      </c>
      <c r="D5823" t="str">
        <f>HYPERLINK("http://service.sap.com/sap/support/notes/1398679","1398679")</f>
        <v>1398679</v>
      </c>
      <c r="E5823">
        <v>2</v>
      </c>
      <c r="F5823" t="s">
        <v>5799</v>
      </c>
    </row>
    <row r="5824" spans="1:6" x14ac:dyDescent="0.25">
      <c r="A5824" t="s">
        <v>6276</v>
      </c>
      <c r="B5824" t="s">
        <v>22</v>
      </c>
      <c r="C5824" t="s">
        <v>23</v>
      </c>
      <c r="D5824" t="str">
        <f>HYPERLINK("http://service.sap.com/sap/support/notes/1447914","1447914")</f>
        <v>1447914</v>
      </c>
      <c r="E5824">
        <v>1</v>
      </c>
      <c r="F5824" t="s">
        <v>5800</v>
      </c>
    </row>
    <row r="5825" spans="1:6" x14ac:dyDescent="0.25">
      <c r="A5825" t="s">
        <v>6276</v>
      </c>
      <c r="B5825" t="s">
        <v>22</v>
      </c>
      <c r="C5825" t="s">
        <v>23</v>
      </c>
      <c r="D5825" t="str">
        <f>HYPERLINK("http://service.sap.com/sap/support/notes/1453563","1453563")</f>
        <v>1453563</v>
      </c>
      <c r="E5825">
        <v>1</v>
      </c>
      <c r="F5825" t="s">
        <v>5801</v>
      </c>
    </row>
    <row r="5826" spans="1:6" x14ac:dyDescent="0.25">
      <c r="A5826" t="s">
        <v>6276</v>
      </c>
      <c r="B5826" t="s">
        <v>22</v>
      </c>
      <c r="C5826" t="s">
        <v>23</v>
      </c>
      <c r="D5826" t="str">
        <f>HYPERLINK("http://service.sap.com/sap/support/notes/1457246","1457246")</f>
        <v>1457246</v>
      </c>
      <c r="E5826">
        <v>2</v>
      </c>
      <c r="F5826" t="s">
        <v>5802</v>
      </c>
    </row>
    <row r="5827" spans="1:6" x14ac:dyDescent="0.25">
      <c r="A5827" t="s">
        <v>6276</v>
      </c>
      <c r="B5827" t="s">
        <v>22</v>
      </c>
      <c r="C5827" t="s">
        <v>23</v>
      </c>
      <c r="D5827" t="str">
        <f>HYPERLINK("http://service.sap.com/sap/support/notes/1460965","1460965")</f>
        <v>1460965</v>
      </c>
      <c r="E5827">
        <v>1</v>
      </c>
      <c r="F5827" t="s">
        <v>5803</v>
      </c>
    </row>
    <row r="5828" spans="1:6" x14ac:dyDescent="0.25">
      <c r="A5828" t="s">
        <v>6276</v>
      </c>
      <c r="B5828" t="s">
        <v>22</v>
      </c>
      <c r="C5828" t="s">
        <v>23</v>
      </c>
      <c r="D5828" t="str">
        <f>HYPERLINK("http://service.sap.com/sap/support/notes/1461244","1461244")</f>
        <v>1461244</v>
      </c>
      <c r="E5828">
        <v>2</v>
      </c>
      <c r="F5828" t="s">
        <v>5804</v>
      </c>
    </row>
    <row r="5829" spans="1:6" x14ac:dyDescent="0.25">
      <c r="A5829" t="s">
        <v>6276</v>
      </c>
      <c r="B5829" t="s">
        <v>22</v>
      </c>
      <c r="C5829" t="s">
        <v>23</v>
      </c>
      <c r="D5829" t="str">
        <f>HYPERLINK("http://service.sap.com/sap/support/notes/1461705","1461705")</f>
        <v>1461705</v>
      </c>
      <c r="E5829">
        <v>1</v>
      </c>
      <c r="F5829" t="s">
        <v>5805</v>
      </c>
    </row>
    <row r="5830" spans="1:6" x14ac:dyDescent="0.25">
      <c r="A5830" t="s">
        <v>6276</v>
      </c>
      <c r="B5830" t="s">
        <v>22</v>
      </c>
      <c r="C5830" t="s">
        <v>23</v>
      </c>
      <c r="D5830" t="str">
        <f>HYPERLINK("http://service.sap.com/sap/support/notes/1462081","1462081")</f>
        <v>1462081</v>
      </c>
      <c r="E5830">
        <v>1</v>
      </c>
      <c r="F5830" t="s">
        <v>5806</v>
      </c>
    </row>
    <row r="5831" spans="1:6" x14ac:dyDescent="0.25">
      <c r="A5831" t="s">
        <v>6276</v>
      </c>
      <c r="B5831" t="s">
        <v>22</v>
      </c>
      <c r="C5831" t="s">
        <v>23</v>
      </c>
      <c r="D5831" t="str">
        <f>HYPERLINK("http://service.sap.com/sap/support/notes/1464029","1464029")</f>
        <v>1464029</v>
      </c>
      <c r="E5831">
        <v>1</v>
      </c>
      <c r="F5831" t="s">
        <v>5807</v>
      </c>
    </row>
    <row r="5832" spans="1:6" x14ac:dyDescent="0.25">
      <c r="A5832" t="s">
        <v>6276</v>
      </c>
      <c r="B5832" t="s">
        <v>22</v>
      </c>
      <c r="C5832" t="s">
        <v>23</v>
      </c>
      <c r="D5832" t="str">
        <f>HYPERLINK("http://service.sap.com/sap/support/notes/1464676","1464676")</f>
        <v>1464676</v>
      </c>
      <c r="E5832">
        <v>1</v>
      </c>
      <c r="F5832" t="s">
        <v>5808</v>
      </c>
    </row>
    <row r="5833" spans="1:6" x14ac:dyDescent="0.25">
      <c r="A5833" t="s">
        <v>6276</v>
      </c>
      <c r="B5833" t="s">
        <v>22</v>
      </c>
      <c r="C5833" t="s">
        <v>23</v>
      </c>
      <c r="D5833" t="str">
        <f>HYPERLINK("http://service.sap.com/sap/support/notes/1466697","1466697")</f>
        <v>1466697</v>
      </c>
      <c r="E5833">
        <v>2</v>
      </c>
      <c r="F5833" t="s">
        <v>5809</v>
      </c>
    </row>
    <row r="5834" spans="1:6" x14ac:dyDescent="0.25">
      <c r="A5834" t="s">
        <v>6276</v>
      </c>
      <c r="B5834" t="s">
        <v>22</v>
      </c>
      <c r="C5834" t="s">
        <v>23</v>
      </c>
      <c r="D5834" t="str">
        <f>HYPERLINK("http://service.sap.com/sap/support/notes/1466952","1466952")</f>
        <v>1466952</v>
      </c>
      <c r="E5834">
        <v>4</v>
      </c>
      <c r="F5834" t="s">
        <v>5810</v>
      </c>
    </row>
    <row r="5835" spans="1:6" x14ac:dyDescent="0.25">
      <c r="A5835" t="s">
        <v>6276</v>
      </c>
      <c r="B5835" t="s">
        <v>22</v>
      </c>
      <c r="C5835" t="s">
        <v>23</v>
      </c>
      <c r="D5835" t="str">
        <f>HYPERLINK("http://service.sap.com/sap/support/notes/1468537","1468537")</f>
        <v>1468537</v>
      </c>
      <c r="E5835">
        <v>1</v>
      </c>
      <c r="F5835" t="s">
        <v>5811</v>
      </c>
    </row>
    <row r="5836" spans="1:6" x14ac:dyDescent="0.25">
      <c r="A5836" t="s">
        <v>6276</v>
      </c>
      <c r="B5836" t="s">
        <v>22</v>
      </c>
      <c r="C5836" t="s">
        <v>23</v>
      </c>
      <c r="D5836" t="str">
        <f>HYPERLINK("http://service.sap.com/sap/support/notes/1470975","1470975")</f>
        <v>1470975</v>
      </c>
      <c r="E5836">
        <v>2</v>
      </c>
      <c r="F5836" t="s">
        <v>5812</v>
      </c>
    </row>
    <row r="5837" spans="1:6" x14ac:dyDescent="0.25">
      <c r="A5837" t="s">
        <v>6276</v>
      </c>
      <c r="B5837" t="s">
        <v>22</v>
      </c>
      <c r="C5837" t="s">
        <v>23</v>
      </c>
      <c r="D5837" t="str">
        <f>HYPERLINK("http://service.sap.com/sap/support/notes/1472941","1472941")</f>
        <v>1472941</v>
      </c>
      <c r="E5837">
        <v>2</v>
      </c>
      <c r="F5837" t="s">
        <v>5813</v>
      </c>
    </row>
    <row r="5838" spans="1:6" x14ac:dyDescent="0.25">
      <c r="A5838" t="s">
        <v>6276</v>
      </c>
      <c r="B5838" t="s">
        <v>22</v>
      </c>
      <c r="C5838" t="s">
        <v>23</v>
      </c>
      <c r="D5838" t="str">
        <f>HYPERLINK("http://service.sap.com/sap/support/notes/1473483","1473483")</f>
        <v>1473483</v>
      </c>
      <c r="E5838">
        <v>2</v>
      </c>
      <c r="F5838" t="s">
        <v>5814</v>
      </c>
    </row>
    <row r="5839" spans="1:6" x14ac:dyDescent="0.25">
      <c r="A5839" t="s">
        <v>6276</v>
      </c>
      <c r="B5839" t="s">
        <v>22</v>
      </c>
      <c r="C5839" t="s">
        <v>23</v>
      </c>
      <c r="D5839" t="str">
        <f>HYPERLINK("http://service.sap.com/sap/support/notes/1473941","1473941")</f>
        <v>1473941</v>
      </c>
      <c r="E5839">
        <v>1</v>
      </c>
      <c r="F5839" t="s">
        <v>5815</v>
      </c>
    </row>
    <row r="5840" spans="1:6" x14ac:dyDescent="0.25">
      <c r="A5840" t="s">
        <v>6276</v>
      </c>
      <c r="B5840" t="s">
        <v>22</v>
      </c>
      <c r="C5840" t="s">
        <v>23</v>
      </c>
      <c r="D5840" t="str">
        <f>HYPERLINK("http://service.sap.com/sap/support/notes/1474090","1474090")</f>
        <v>1474090</v>
      </c>
      <c r="E5840">
        <v>1</v>
      </c>
      <c r="F5840" t="s">
        <v>5816</v>
      </c>
    </row>
    <row r="5841" spans="1:6" x14ac:dyDescent="0.25">
      <c r="A5841" t="s">
        <v>6276</v>
      </c>
      <c r="B5841" t="s">
        <v>22</v>
      </c>
      <c r="C5841" t="s">
        <v>23</v>
      </c>
      <c r="D5841" t="str">
        <f>HYPERLINK("http://service.sap.com/sap/support/notes/1474740","1474740")</f>
        <v>1474740</v>
      </c>
      <c r="E5841">
        <v>1</v>
      </c>
      <c r="F5841" t="s">
        <v>5817</v>
      </c>
    </row>
    <row r="5842" spans="1:6" x14ac:dyDescent="0.25">
      <c r="A5842" t="s">
        <v>6276</v>
      </c>
      <c r="B5842" t="s">
        <v>22</v>
      </c>
      <c r="C5842" t="s">
        <v>23</v>
      </c>
      <c r="D5842" t="str">
        <f>HYPERLINK("http://service.sap.com/sap/support/notes/1476302","1476302")</f>
        <v>1476302</v>
      </c>
      <c r="E5842">
        <v>1</v>
      </c>
      <c r="F5842" t="s">
        <v>5818</v>
      </c>
    </row>
    <row r="5843" spans="1:6" x14ac:dyDescent="0.25">
      <c r="A5843" t="s">
        <v>6276</v>
      </c>
      <c r="B5843" t="s">
        <v>22</v>
      </c>
      <c r="C5843" t="s">
        <v>23</v>
      </c>
      <c r="D5843" t="str">
        <f>HYPERLINK("http://service.sap.com/sap/support/notes/1477698","1477698")</f>
        <v>1477698</v>
      </c>
      <c r="E5843">
        <v>2</v>
      </c>
      <c r="F5843" t="s">
        <v>5819</v>
      </c>
    </row>
    <row r="5844" spans="1:6" x14ac:dyDescent="0.25">
      <c r="A5844" t="s">
        <v>6276</v>
      </c>
      <c r="B5844" t="s">
        <v>22</v>
      </c>
      <c r="C5844" t="s">
        <v>23</v>
      </c>
      <c r="D5844" t="str">
        <f>HYPERLINK("http://service.sap.com/sap/support/notes/1483709","1483709")</f>
        <v>1483709</v>
      </c>
      <c r="E5844">
        <v>1</v>
      </c>
      <c r="F5844" t="s">
        <v>5820</v>
      </c>
    </row>
    <row r="5845" spans="1:6" x14ac:dyDescent="0.25">
      <c r="A5845" t="s">
        <v>6276</v>
      </c>
      <c r="B5845" t="s">
        <v>22</v>
      </c>
      <c r="C5845" t="s">
        <v>23</v>
      </c>
      <c r="D5845" t="str">
        <f>HYPERLINK("http://service.sap.com/sap/support/notes/1484478","1484478")</f>
        <v>1484478</v>
      </c>
      <c r="E5845">
        <v>1</v>
      </c>
      <c r="F5845" t="s">
        <v>5821</v>
      </c>
    </row>
    <row r="5846" spans="1:6" x14ac:dyDescent="0.25">
      <c r="A5846" t="s">
        <v>6276</v>
      </c>
      <c r="B5846" t="s">
        <v>22</v>
      </c>
      <c r="C5846" t="s">
        <v>23</v>
      </c>
      <c r="D5846" t="str">
        <f>HYPERLINK("http://service.sap.com/sap/support/notes/1485114","1485114")</f>
        <v>1485114</v>
      </c>
      <c r="E5846">
        <v>1</v>
      </c>
      <c r="F5846" t="s">
        <v>5822</v>
      </c>
    </row>
    <row r="5847" spans="1:6" x14ac:dyDescent="0.25">
      <c r="A5847" t="s">
        <v>6276</v>
      </c>
      <c r="B5847" t="s">
        <v>22</v>
      </c>
      <c r="C5847" t="s">
        <v>23</v>
      </c>
      <c r="D5847" t="str">
        <f>HYPERLINK("http://service.sap.com/sap/support/notes/1486799","1486799")</f>
        <v>1486799</v>
      </c>
      <c r="E5847">
        <v>1</v>
      </c>
      <c r="F5847" t="s">
        <v>5823</v>
      </c>
    </row>
    <row r="5848" spans="1:6" x14ac:dyDescent="0.25">
      <c r="A5848" t="s">
        <v>6276</v>
      </c>
      <c r="B5848" t="s">
        <v>22</v>
      </c>
      <c r="C5848" t="s">
        <v>23</v>
      </c>
      <c r="D5848" t="str">
        <f>HYPERLINK("http://service.sap.com/sap/support/notes/1487515","1487515")</f>
        <v>1487515</v>
      </c>
      <c r="E5848">
        <v>1</v>
      </c>
      <c r="F5848" t="s">
        <v>5824</v>
      </c>
    </row>
    <row r="5849" spans="1:6" x14ac:dyDescent="0.25">
      <c r="A5849" t="s">
        <v>6276</v>
      </c>
      <c r="B5849" t="s">
        <v>22</v>
      </c>
      <c r="C5849" t="s">
        <v>23</v>
      </c>
      <c r="D5849" t="str">
        <f>HYPERLINK("http://service.sap.com/sap/support/notes/1488061","1488061")</f>
        <v>1488061</v>
      </c>
      <c r="E5849">
        <v>2</v>
      </c>
      <c r="F5849" t="s">
        <v>5825</v>
      </c>
    </row>
    <row r="5850" spans="1:6" x14ac:dyDescent="0.25">
      <c r="A5850" t="s">
        <v>6276</v>
      </c>
      <c r="B5850" t="s">
        <v>22</v>
      </c>
      <c r="C5850" t="s">
        <v>23</v>
      </c>
      <c r="D5850" t="str">
        <f>HYPERLINK("http://service.sap.com/sap/support/notes/1488104","1488104")</f>
        <v>1488104</v>
      </c>
      <c r="E5850">
        <v>2</v>
      </c>
      <c r="F5850" t="s">
        <v>5826</v>
      </c>
    </row>
    <row r="5851" spans="1:6" x14ac:dyDescent="0.25">
      <c r="A5851" t="s">
        <v>6276</v>
      </c>
      <c r="B5851" t="s">
        <v>22</v>
      </c>
      <c r="C5851" t="s">
        <v>23</v>
      </c>
      <c r="D5851" t="str">
        <f>HYPERLINK("http://service.sap.com/sap/support/notes/1488427","1488427")</f>
        <v>1488427</v>
      </c>
      <c r="E5851">
        <v>1</v>
      </c>
      <c r="F5851" t="s">
        <v>5827</v>
      </c>
    </row>
    <row r="5852" spans="1:6" x14ac:dyDescent="0.25">
      <c r="A5852" t="s">
        <v>6276</v>
      </c>
      <c r="B5852" t="s">
        <v>22</v>
      </c>
      <c r="C5852" t="s">
        <v>23</v>
      </c>
      <c r="D5852" t="str">
        <f>HYPERLINK("http://service.sap.com/sap/support/notes/1490467","1490467")</f>
        <v>1490467</v>
      </c>
      <c r="E5852">
        <v>1</v>
      </c>
      <c r="F5852" t="s">
        <v>5828</v>
      </c>
    </row>
    <row r="5853" spans="1:6" x14ac:dyDescent="0.25">
      <c r="A5853" t="s">
        <v>6276</v>
      </c>
      <c r="B5853" t="s">
        <v>24</v>
      </c>
      <c r="C5853" t="s">
        <v>25</v>
      </c>
      <c r="D5853" t="str">
        <f>HYPERLINK("http://service.sap.com/sap/support/notes/1028221","1028221")</f>
        <v>1028221</v>
      </c>
      <c r="E5853">
        <v>4</v>
      </c>
      <c r="F5853" t="s">
        <v>5829</v>
      </c>
    </row>
    <row r="5854" spans="1:6" x14ac:dyDescent="0.25">
      <c r="A5854" t="s">
        <v>6276</v>
      </c>
      <c r="B5854" t="s">
        <v>24</v>
      </c>
      <c r="C5854" t="s">
        <v>25</v>
      </c>
      <c r="D5854" t="str">
        <f>HYPERLINK("http://service.sap.com/sap/support/notes/1391970","1391970")</f>
        <v>1391970</v>
      </c>
      <c r="E5854">
        <v>2</v>
      </c>
      <c r="F5854" t="s">
        <v>5547</v>
      </c>
    </row>
    <row r="5855" spans="1:6" x14ac:dyDescent="0.25">
      <c r="A5855" t="s">
        <v>6276</v>
      </c>
      <c r="B5855" t="s">
        <v>24</v>
      </c>
      <c r="C5855" t="s">
        <v>25</v>
      </c>
      <c r="D5855" t="str">
        <f>HYPERLINK("http://service.sap.com/sap/support/notes/1423003","1423003")</f>
        <v>1423003</v>
      </c>
      <c r="E5855">
        <v>6</v>
      </c>
      <c r="F5855" t="s">
        <v>5830</v>
      </c>
    </row>
    <row r="5856" spans="1:6" x14ac:dyDescent="0.25">
      <c r="A5856" t="s">
        <v>6276</v>
      </c>
      <c r="B5856" t="s">
        <v>24</v>
      </c>
      <c r="C5856" t="s">
        <v>25</v>
      </c>
      <c r="D5856" t="str">
        <f>HYPERLINK("http://service.sap.com/sap/support/notes/1447443","1447443")</f>
        <v>1447443</v>
      </c>
      <c r="E5856">
        <v>1</v>
      </c>
      <c r="F5856" t="s">
        <v>5558</v>
      </c>
    </row>
    <row r="5857" spans="1:6" x14ac:dyDescent="0.25">
      <c r="A5857" t="s">
        <v>6276</v>
      </c>
      <c r="B5857" t="s">
        <v>24</v>
      </c>
      <c r="C5857" t="s">
        <v>25</v>
      </c>
      <c r="D5857" t="str">
        <f>HYPERLINK("http://service.sap.com/sap/support/notes/1452406","1452406")</f>
        <v>1452406</v>
      </c>
      <c r="E5857">
        <v>1</v>
      </c>
      <c r="F5857" t="s">
        <v>5569</v>
      </c>
    </row>
    <row r="5858" spans="1:6" x14ac:dyDescent="0.25">
      <c r="A5858" t="s">
        <v>6276</v>
      </c>
      <c r="B5858" t="s">
        <v>24</v>
      </c>
      <c r="C5858" t="s">
        <v>25</v>
      </c>
      <c r="D5858" t="str">
        <f>HYPERLINK("http://service.sap.com/sap/support/notes/1455850","1455850")</f>
        <v>1455850</v>
      </c>
      <c r="E5858">
        <v>3</v>
      </c>
      <c r="F5858" t="s">
        <v>5831</v>
      </c>
    </row>
    <row r="5859" spans="1:6" x14ac:dyDescent="0.25">
      <c r="A5859" t="s">
        <v>6276</v>
      </c>
      <c r="B5859" t="s">
        <v>24</v>
      </c>
      <c r="C5859" t="s">
        <v>25</v>
      </c>
      <c r="D5859" t="str">
        <f>HYPERLINK("http://service.sap.com/sap/support/notes/1457182","1457182")</f>
        <v>1457182</v>
      </c>
      <c r="E5859">
        <v>2</v>
      </c>
      <c r="F5859" t="s">
        <v>5832</v>
      </c>
    </row>
    <row r="5860" spans="1:6" x14ac:dyDescent="0.25">
      <c r="A5860" t="s">
        <v>6276</v>
      </c>
      <c r="B5860" t="s">
        <v>24</v>
      </c>
      <c r="C5860" t="s">
        <v>25</v>
      </c>
      <c r="D5860" t="str">
        <f>HYPERLINK("http://service.sap.com/sap/support/notes/1458794","1458794")</f>
        <v>1458794</v>
      </c>
      <c r="E5860">
        <v>2</v>
      </c>
      <c r="F5860" t="s">
        <v>5833</v>
      </c>
    </row>
    <row r="5861" spans="1:6" x14ac:dyDescent="0.25">
      <c r="A5861" t="s">
        <v>6276</v>
      </c>
      <c r="B5861" t="s">
        <v>24</v>
      </c>
      <c r="C5861" t="s">
        <v>25</v>
      </c>
      <c r="D5861" t="str">
        <f>HYPERLINK("http://service.sap.com/sap/support/notes/1459058","1459058")</f>
        <v>1459058</v>
      </c>
      <c r="E5861">
        <v>4</v>
      </c>
      <c r="F5861" t="s">
        <v>5834</v>
      </c>
    </row>
    <row r="5862" spans="1:6" x14ac:dyDescent="0.25">
      <c r="A5862" t="s">
        <v>6276</v>
      </c>
      <c r="B5862" t="s">
        <v>24</v>
      </c>
      <c r="C5862" t="s">
        <v>25</v>
      </c>
      <c r="D5862" t="str">
        <f>HYPERLINK("http://service.sap.com/sap/support/notes/1459165","1459165")</f>
        <v>1459165</v>
      </c>
      <c r="E5862">
        <v>2</v>
      </c>
      <c r="F5862" t="s">
        <v>5835</v>
      </c>
    </row>
    <row r="5863" spans="1:6" x14ac:dyDescent="0.25">
      <c r="A5863" t="s">
        <v>6276</v>
      </c>
      <c r="B5863" t="s">
        <v>24</v>
      </c>
      <c r="C5863" t="s">
        <v>25</v>
      </c>
      <c r="D5863" t="str">
        <f>HYPERLINK("http://service.sap.com/sap/support/notes/1460136","1460136")</f>
        <v>1460136</v>
      </c>
      <c r="E5863">
        <v>2</v>
      </c>
      <c r="F5863" t="s">
        <v>5836</v>
      </c>
    </row>
    <row r="5864" spans="1:6" x14ac:dyDescent="0.25">
      <c r="A5864" t="s">
        <v>6276</v>
      </c>
      <c r="B5864" t="s">
        <v>24</v>
      </c>
      <c r="C5864" t="s">
        <v>25</v>
      </c>
      <c r="D5864" t="str">
        <f>HYPERLINK("http://service.sap.com/sap/support/notes/1460819","1460819")</f>
        <v>1460819</v>
      </c>
      <c r="E5864">
        <v>1</v>
      </c>
      <c r="F5864" t="s">
        <v>5837</v>
      </c>
    </row>
    <row r="5865" spans="1:6" x14ac:dyDescent="0.25">
      <c r="A5865" t="s">
        <v>6276</v>
      </c>
      <c r="B5865" t="s">
        <v>24</v>
      </c>
      <c r="C5865" t="s">
        <v>25</v>
      </c>
      <c r="D5865" t="str">
        <f>HYPERLINK("http://service.sap.com/sap/support/notes/1461123","1461123")</f>
        <v>1461123</v>
      </c>
      <c r="E5865">
        <v>1</v>
      </c>
      <c r="F5865" t="s">
        <v>5838</v>
      </c>
    </row>
    <row r="5866" spans="1:6" x14ac:dyDescent="0.25">
      <c r="A5866" t="s">
        <v>6276</v>
      </c>
      <c r="B5866" t="s">
        <v>24</v>
      </c>
      <c r="C5866" t="s">
        <v>25</v>
      </c>
      <c r="D5866" t="str">
        <f>HYPERLINK("http://service.sap.com/sap/support/notes/1462378","1462378")</f>
        <v>1462378</v>
      </c>
      <c r="E5866">
        <v>2</v>
      </c>
      <c r="F5866" t="s">
        <v>5839</v>
      </c>
    </row>
    <row r="5867" spans="1:6" x14ac:dyDescent="0.25">
      <c r="A5867" t="s">
        <v>6276</v>
      </c>
      <c r="B5867" t="s">
        <v>24</v>
      </c>
      <c r="C5867" t="s">
        <v>25</v>
      </c>
      <c r="D5867" t="str">
        <f>HYPERLINK("http://service.sap.com/sap/support/notes/1462526","1462526")</f>
        <v>1462526</v>
      </c>
      <c r="E5867">
        <v>2</v>
      </c>
      <c r="F5867" t="s">
        <v>5840</v>
      </c>
    </row>
    <row r="5868" spans="1:6" x14ac:dyDescent="0.25">
      <c r="A5868" t="s">
        <v>6276</v>
      </c>
      <c r="B5868" t="s">
        <v>24</v>
      </c>
      <c r="C5868" t="s">
        <v>25</v>
      </c>
      <c r="D5868" t="str">
        <f>HYPERLINK("http://service.sap.com/sap/support/notes/1462612","1462612")</f>
        <v>1462612</v>
      </c>
      <c r="E5868">
        <v>1</v>
      </c>
      <c r="F5868" t="s">
        <v>5841</v>
      </c>
    </row>
    <row r="5869" spans="1:6" x14ac:dyDescent="0.25">
      <c r="A5869" t="s">
        <v>6276</v>
      </c>
      <c r="B5869" t="s">
        <v>24</v>
      </c>
      <c r="C5869" t="s">
        <v>25</v>
      </c>
      <c r="D5869" t="str">
        <f>HYPERLINK("http://service.sap.com/sap/support/notes/1462993","1462993")</f>
        <v>1462993</v>
      </c>
      <c r="E5869">
        <v>1</v>
      </c>
      <c r="F5869" t="s">
        <v>5842</v>
      </c>
    </row>
    <row r="5870" spans="1:6" x14ac:dyDescent="0.25">
      <c r="A5870" t="s">
        <v>6276</v>
      </c>
      <c r="B5870" t="s">
        <v>24</v>
      </c>
      <c r="C5870" t="s">
        <v>25</v>
      </c>
      <c r="D5870" t="str">
        <f>HYPERLINK("http://service.sap.com/sap/support/notes/1463014","1463014")</f>
        <v>1463014</v>
      </c>
      <c r="E5870">
        <v>2</v>
      </c>
      <c r="F5870" t="s">
        <v>5843</v>
      </c>
    </row>
    <row r="5871" spans="1:6" x14ac:dyDescent="0.25">
      <c r="A5871" t="s">
        <v>6276</v>
      </c>
      <c r="B5871" t="s">
        <v>24</v>
      </c>
      <c r="C5871" t="s">
        <v>25</v>
      </c>
      <c r="D5871" t="str">
        <f>HYPERLINK("http://service.sap.com/sap/support/notes/1463083","1463083")</f>
        <v>1463083</v>
      </c>
      <c r="E5871">
        <v>2</v>
      </c>
      <c r="F5871" t="s">
        <v>5844</v>
      </c>
    </row>
    <row r="5872" spans="1:6" x14ac:dyDescent="0.25">
      <c r="A5872" t="s">
        <v>6276</v>
      </c>
      <c r="B5872" t="s">
        <v>24</v>
      </c>
      <c r="C5872" t="s">
        <v>25</v>
      </c>
      <c r="D5872" t="str">
        <f>HYPERLINK("http://service.sap.com/sap/support/notes/1463129","1463129")</f>
        <v>1463129</v>
      </c>
      <c r="E5872">
        <v>1</v>
      </c>
      <c r="F5872" t="s">
        <v>5845</v>
      </c>
    </row>
    <row r="5873" spans="1:6" x14ac:dyDescent="0.25">
      <c r="A5873" t="s">
        <v>6276</v>
      </c>
      <c r="B5873" t="s">
        <v>24</v>
      </c>
      <c r="C5873" t="s">
        <v>25</v>
      </c>
      <c r="D5873" t="str">
        <f>HYPERLINK("http://service.sap.com/sap/support/notes/1464897","1464897")</f>
        <v>1464897</v>
      </c>
      <c r="E5873">
        <v>1</v>
      </c>
      <c r="F5873" t="s">
        <v>5846</v>
      </c>
    </row>
    <row r="5874" spans="1:6" x14ac:dyDescent="0.25">
      <c r="A5874" t="s">
        <v>6276</v>
      </c>
      <c r="B5874" t="s">
        <v>24</v>
      </c>
      <c r="C5874" t="s">
        <v>25</v>
      </c>
      <c r="D5874" t="str">
        <f>HYPERLINK("http://service.sap.com/sap/support/notes/1465293","1465293")</f>
        <v>1465293</v>
      </c>
      <c r="E5874">
        <v>2</v>
      </c>
      <c r="F5874" t="s">
        <v>5847</v>
      </c>
    </row>
    <row r="5875" spans="1:6" x14ac:dyDescent="0.25">
      <c r="A5875" t="s">
        <v>6276</v>
      </c>
      <c r="B5875" t="s">
        <v>24</v>
      </c>
      <c r="C5875" t="s">
        <v>25</v>
      </c>
      <c r="D5875" t="str">
        <f>HYPERLINK("http://service.sap.com/sap/support/notes/1466082","1466082")</f>
        <v>1466082</v>
      </c>
      <c r="E5875">
        <v>1</v>
      </c>
      <c r="F5875" t="s">
        <v>5848</v>
      </c>
    </row>
    <row r="5876" spans="1:6" x14ac:dyDescent="0.25">
      <c r="A5876" t="s">
        <v>6276</v>
      </c>
      <c r="B5876" t="s">
        <v>24</v>
      </c>
      <c r="C5876" t="s">
        <v>25</v>
      </c>
      <c r="D5876" t="str">
        <f>HYPERLINK("http://service.sap.com/sap/support/notes/1467545","1467545")</f>
        <v>1467545</v>
      </c>
      <c r="E5876">
        <v>1</v>
      </c>
      <c r="F5876" t="s">
        <v>5849</v>
      </c>
    </row>
    <row r="5877" spans="1:6" x14ac:dyDescent="0.25">
      <c r="A5877" t="s">
        <v>6276</v>
      </c>
      <c r="B5877" t="s">
        <v>24</v>
      </c>
      <c r="C5877" t="s">
        <v>25</v>
      </c>
      <c r="D5877" t="str">
        <f>HYPERLINK("http://service.sap.com/sap/support/notes/1467574","1467574")</f>
        <v>1467574</v>
      </c>
      <c r="E5877">
        <v>3</v>
      </c>
      <c r="F5877" t="s">
        <v>5850</v>
      </c>
    </row>
    <row r="5878" spans="1:6" x14ac:dyDescent="0.25">
      <c r="A5878" t="s">
        <v>6276</v>
      </c>
      <c r="B5878" t="s">
        <v>24</v>
      </c>
      <c r="C5878" t="s">
        <v>25</v>
      </c>
      <c r="D5878" t="str">
        <f>HYPERLINK("http://service.sap.com/sap/support/notes/1467887","1467887")</f>
        <v>1467887</v>
      </c>
      <c r="E5878">
        <v>1</v>
      </c>
      <c r="F5878" t="s">
        <v>5851</v>
      </c>
    </row>
    <row r="5879" spans="1:6" x14ac:dyDescent="0.25">
      <c r="A5879" t="s">
        <v>6276</v>
      </c>
      <c r="B5879" t="s">
        <v>24</v>
      </c>
      <c r="C5879" t="s">
        <v>25</v>
      </c>
      <c r="D5879" t="str">
        <f>HYPERLINK("http://service.sap.com/sap/support/notes/1467918","1467918")</f>
        <v>1467918</v>
      </c>
      <c r="E5879">
        <v>3</v>
      </c>
      <c r="F5879" t="s">
        <v>5852</v>
      </c>
    </row>
    <row r="5880" spans="1:6" x14ac:dyDescent="0.25">
      <c r="A5880" t="s">
        <v>6276</v>
      </c>
      <c r="B5880" t="s">
        <v>24</v>
      </c>
      <c r="C5880" t="s">
        <v>25</v>
      </c>
      <c r="D5880" t="str">
        <f>HYPERLINK("http://service.sap.com/sap/support/notes/1469149","1469149")</f>
        <v>1469149</v>
      </c>
      <c r="E5880">
        <v>2</v>
      </c>
      <c r="F5880" t="s">
        <v>5853</v>
      </c>
    </row>
    <row r="5881" spans="1:6" x14ac:dyDescent="0.25">
      <c r="A5881" t="s">
        <v>6276</v>
      </c>
      <c r="B5881" t="s">
        <v>24</v>
      </c>
      <c r="C5881" t="s">
        <v>25</v>
      </c>
      <c r="D5881" t="str">
        <f>HYPERLINK("http://service.sap.com/sap/support/notes/1469300","1469300")</f>
        <v>1469300</v>
      </c>
      <c r="E5881">
        <v>2</v>
      </c>
      <c r="F5881" t="s">
        <v>5854</v>
      </c>
    </row>
    <row r="5882" spans="1:6" x14ac:dyDescent="0.25">
      <c r="A5882" t="s">
        <v>6276</v>
      </c>
      <c r="B5882" t="s">
        <v>24</v>
      </c>
      <c r="C5882" t="s">
        <v>25</v>
      </c>
      <c r="D5882" t="str">
        <f>HYPERLINK("http://service.sap.com/sap/support/notes/1469689","1469689")</f>
        <v>1469689</v>
      </c>
      <c r="E5882">
        <v>1</v>
      </c>
      <c r="F5882" t="s">
        <v>5855</v>
      </c>
    </row>
    <row r="5883" spans="1:6" x14ac:dyDescent="0.25">
      <c r="A5883" t="s">
        <v>6276</v>
      </c>
      <c r="B5883" t="s">
        <v>24</v>
      </c>
      <c r="C5883" t="s">
        <v>25</v>
      </c>
      <c r="D5883" t="str">
        <f>HYPERLINK("http://service.sap.com/sap/support/notes/1470132","1470132")</f>
        <v>1470132</v>
      </c>
      <c r="E5883">
        <v>1</v>
      </c>
      <c r="F5883" t="s">
        <v>5856</v>
      </c>
    </row>
    <row r="5884" spans="1:6" x14ac:dyDescent="0.25">
      <c r="A5884" t="s">
        <v>6276</v>
      </c>
      <c r="B5884" t="s">
        <v>24</v>
      </c>
      <c r="C5884" t="s">
        <v>25</v>
      </c>
      <c r="D5884" t="str">
        <f>HYPERLINK("http://service.sap.com/sap/support/notes/1470740","1470740")</f>
        <v>1470740</v>
      </c>
      <c r="E5884">
        <v>1</v>
      </c>
      <c r="F5884" t="s">
        <v>5857</v>
      </c>
    </row>
    <row r="5885" spans="1:6" x14ac:dyDescent="0.25">
      <c r="A5885" t="s">
        <v>6276</v>
      </c>
      <c r="B5885" t="s">
        <v>24</v>
      </c>
      <c r="C5885" t="s">
        <v>25</v>
      </c>
      <c r="D5885" t="str">
        <f>HYPERLINK("http://service.sap.com/sap/support/notes/1470825","1470825")</f>
        <v>1470825</v>
      </c>
      <c r="E5885">
        <v>1</v>
      </c>
      <c r="F5885" t="s">
        <v>5858</v>
      </c>
    </row>
    <row r="5886" spans="1:6" x14ac:dyDescent="0.25">
      <c r="A5886" t="s">
        <v>6276</v>
      </c>
      <c r="B5886" t="s">
        <v>24</v>
      </c>
      <c r="C5886" t="s">
        <v>25</v>
      </c>
      <c r="D5886" t="str">
        <f>HYPERLINK("http://service.sap.com/sap/support/notes/1471356","1471356")</f>
        <v>1471356</v>
      </c>
      <c r="E5886">
        <v>1</v>
      </c>
      <c r="F5886" t="s">
        <v>5859</v>
      </c>
    </row>
    <row r="5887" spans="1:6" x14ac:dyDescent="0.25">
      <c r="A5887" t="s">
        <v>6276</v>
      </c>
      <c r="B5887" t="s">
        <v>24</v>
      </c>
      <c r="C5887" t="s">
        <v>25</v>
      </c>
      <c r="D5887" t="str">
        <f>HYPERLINK("http://service.sap.com/sap/support/notes/1471856","1471856")</f>
        <v>1471856</v>
      </c>
      <c r="E5887">
        <v>3</v>
      </c>
      <c r="F5887" t="s">
        <v>5860</v>
      </c>
    </row>
    <row r="5888" spans="1:6" x14ac:dyDescent="0.25">
      <c r="A5888" t="s">
        <v>6276</v>
      </c>
      <c r="B5888" t="s">
        <v>24</v>
      </c>
      <c r="C5888" t="s">
        <v>25</v>
      </c>
      <c r="D5888" t="str">
        <f>HYPERLINK("http://service.sap.com/sap/support/notes/1473128","1473128")</f>
        <v>1473128</v>
      </c>
      <c r="E5888">
        <v>1</v>
      </c>
      <c r="F5888" t="s">
        <v>5861</v>
      </c>
    </row>
    <row r="5889" spans="1:6" x14ac:dyDescent="0.25">
      <c r="A5889" t="s">
        <v>6276</v>
      </c>
      <c r="B5889" t="s">
        <v>24</v>
      </c>
      <c r="C5889" t="s">
        <v>25</v>
      </c>
      <c r="D5889" t="str">
        <f>HYPERLINK("http://service.sap.com/sap/support/notes/1474332","1474332")</f>
        <v>1474332</v>
      </c>
      <c r="E5889">
        <v>1</v>
      </c>
      <c r="F5889" t="s">
        <v>5862</v>
      </c>
    </row>
    <row r="5890" spans="1:6" x14ac:dyDescent="0.25">
      <c r="A5890" t="s">
        <v>6276</v>
      </c>
      <c r="B5890" t="s">
        <v>24</v>
      </c>
      <c r="C5890" t="s">
        <v>25</v>
      </c>
      <c r="D5890" t="str">
        <f>HYPERLINK("http://service.sap.com/sap/support/notes/1475637","1475637")</f>
        <v>1475637</v>
      </c>
      <c r="E5890">
        <v>1</v>
      </c>
      <c r="F5890" t="s">
        <v>5863</v>
      </c>
    </row>
    <row r="5891" spans="1:6" x14ac:dyDescent="0.25">
      <c r="A5891" t="s">
        <v>6276</v>
      </c>
      <c r="B5891" t="s">
        <v>24</v>
      </c>
      <c r="C5891" t="s">
        <v>25</v>
      </c>
      <c r="D5891" t="str">
        <f>HYPERLINK("http://service.sap.com/sap/support/notes/1476265","1476265")</f>
        <v>1476265</v>
      </c>
      <c r="E5891">
        <v>1</v>
      </c>
      <c r="F5891" t="s">
        <v>5864</v>
      </c>
    </row>
    <row r="5892" spans="1:6" x14ac:dyDescent="0.25">
      <c r="A5892" t="s">
        <v>6276</v>
      </c>
      <c r="B5892" t="s">
        <v>24</v>
      </c>
      <c r="C5892" t="s">
        <v>25</v>
      </c>
      <c r="D5892" t="str">
        <f>HYPERLINK("http://service.sap.com/sap/support/notes/1476501","1476501")</f>
        <v>1476501</v>
      </c>
      <c r="E5892">
        <v>2</v>
      </c>
      <c r="F5892" t="s">
        <v>5865</v>
      </c>
    </row>
    <row r="5893" spans="1:6" x14ac:dyDescent="0.25">
      <c r="A5893" t="s">
        <v>6276</v>
      </c>
      <c r="B5893" t="s">
        <v>24</v>
      </c>
      <c r="C5893" t="s">
        <v>25</v>
      </c>
      <c r="D5893" t="str">
        <f>HYPERLINK("http://service.sap.com/sap/support/notes/1476744","1476744")</f>
        <v>1476744</v>
      </c>
      <c r="E5893">
        <v>1</v>
      </c>
      <c r="F5893" t="s">
        <v>5866</v>
      </c>
    </row>
    <row r="5894" spans="1:6" x14ac:dyDescent="0.25">
      <c r="A5894" t="s">
        <v>6276</v>
      </c>
      <c r="B5894" t="s">
        <v>24</v>
      </c>
      <c r="C5894" t="s">
        <v>25</v>
      </c>
      <c r="D5894" t="str">
        <f>HYPERLINK("http://service.sap.com/sap/support/notes/1477403","1477403")</f>
        <v>1477403</v>
      </c>
      <c r="E5894">
        <v>1</v>
      </c>
      <c r="F5894" t="s">
        <v>5867</v>
      </c>
    </row>
    <row r="5895" spans="1:6" x14ac:dyDescent="0.25">
      <c r="A5895" t="s">
        <v>6276</v>
      </c>
      <c r="B5895" t="s">
        <v>24</v>
      </c>
      <c r="C5895" t="s">
        <v>25</v>
      </c>
      <c r="D5895" t="str">
        <f>HYPERLINK("http://service.sap.com/sap/support/notes/1477649","1477649")</f>
        <v>1477649</v>
      </c>
      <c r="E5895">
        <v>2</v>
      </c>
      <c r="F5895" t="s">
        <v>5868</v>
      </c>
    </row>
    <row r="5896" spans="1:6" x14ac:dyDescent="0.25">
      <c r="A5896" t="s">
        <v>6276</v>
      </c>
      <c r="B5896" t="s">
        <v>24</v>
      </c>
      <c r="C5896" t="s">
        <v>25</v>
      </c>
      <c r="D5896" t="str">
        <f>HYPERLINK("http://service.sap.com/sap/support/notes/1477897","1477897")</f>
        <v>1477897</v>
      </c>
      <c r="E5896">
        <v>1</v>
      </c>
      <c r="F5896" t="s">
        <v>5869</v>
      </c>
    </row>
    <row r="5897" spans="1:6" x14ac:dyDescent="0.25">
      <c r="A5897" t="s">
        <v>6276</v>
      </c>
      <c r="B5897" t="s">
        <v>24</v>
      </c>
      <c r="C5897" t="s">
        <v>25</v>
      </c>
      <c r="D5897" t="str">
        <f>HYPERLINK("http://service.sap.com/sap/support/notes/1478265","1478265")</f>
        <v>1478265</v>
      </c>
      <c r="E5897">
        <v>1</v>
      </c>
      <c r="F5897" t="s">
        <v>5870</v>
      </c>
    </row>
    <row r="5898" spans="1:6" x14ac:dyDescent="0.25">
      <c r="A5898" t="s">
        <v>6276</v>
      </c>
      <c r="B5898" t="s">
        <v>24</v>
      </c>
      <c r="C5898" t="s">
        <v>25</v>
      </c>
      <c r="D5898" t="str">
        <f>HYPERLINK("http://service.sap.com/sap/support/notes/1479169","1479169")</f>
        <v>1479169</v>
      </c>
      <c r="E5898">
        <v>1</v>
      </c>
      <c r="F5898" t="s">
        <v>5871</v>
      </c>
    </row>
    <row r="5899" spans="1:6" x14ac:dyDescent="0.25">
      <c r="A5899" t="s">
        <v>6276</v>
      </c>
      <c r="B5899" t="s">
        <v>24</v>
      </c>
      <c r="C5899" t="s">
        <v>25</v>
      </c>
      <c r="D5899" t="str">
        <f>HYPERLINK("http://service.sap.com/sap/support/notes/1481852","1481852")</f>
        <v>1481852</v>
      </c>
      <c r="E5899">
        <v>1</v>
      </c>
      <c r="F5899" t="s">
        <v>5872</v>
      </c>
    </row>
    <row r="5900" spans="1:6" x14ac:dyDescent="0.25">
      <c r="A5900" t="s">
        <v>6276</v>
      </c>
      <c r="B5900" t="s">
        <v>24</v>
      </c>
      <c r="C5900" t="s">
        <v>25</v>
      </c>
      <c r="D5900" t="str">
        <f>HYPERLINK("http://service.sap.com/sap/support/notes/1482155","1482155")</f>
        <v>1482155</v>
      </c>
      <c r="E5900">
        <v>1</v>
      </c>
      <c r="F5900" t="s">
        <v>5873</v>
      </c>
    </row>
    <row r="5901" spans="1:6" x14ac:dyDescent="0.25">
      <c r="A5901" t="s">
        <v>6276</v>
      </c>
      <c r="B5901" t="s">
        <v>24</v>
      </c>
      <c r="C5901" t="s">
        <v>25</v>
      </c>
      <c r="D5901" t="str">
        <f>HYPERLINK("http://service.sap.com/sap/support/notes/1482676","1482676")</f>
        <v>1482676</v>
      </c>
      <c r="E5901">
        <v>1</v>
      </c>
      <c r="F5901" t="s">
        <v>5874</v>
      </c>
    </row>
    <row r="5902" spans="1:6" x14ac:dyDescent="0.25">
      <c r="A5902" t="s">
        <v>6276</v>
      </c>
      <c r="B5902" t="s">
        <v>24</v>
      </c>
      <c r="C5902" t="s">
        <v>25</v>
      </c>
      <c r="D5902" t="str">
        <f>HYPERLINK("http://service.sap.com/sap/support/notes/1482844","1482844")</f>
        <v>1482844</v>
      </c>
      <c r="E5902">
        <v>1</v>
      </c>
      <c r="F5902" t="s">
        <v>5875</v>
      </c>
    </row>
    <row r="5903" spans="1:6" x14ac:dyDescent="0.25">
      <c r="A5903" t="s">
        <v>6276</v>
      </c>
      <c r="B5903" t="s">
        <v>24</v>
      </c>
      <c r="C5903" t="s">
        <v>25</v>
      </c>
      <c r="D5903" t="str">
        <f>HYPERLINK("http://service.sap.com/sap/support/notes/1482887","1482887")</f>
        <v>1482887</v>
      </c>
      <c r="E5903">
        <v>1</v>
      </c>
      <c r="F5903" t="s">
        <v>5876</v>
      </c>
    </row>
    <row r="5904" spans="1:6" x14ac:dyDescent="0.25">
      <c r="A5904" t="s">
        <v>6276</v>
      </c>
      <c r="B5904" t="s">
        <v>24</v>
      </c>
      <c r="C5904" t="s">
        <v>25</v>
      </c>
      <c r="D5904" t="str">
        <f>HYPERLINK("http://service.sap.com/sap/support/notes/1482909","1482909")</f>
        <v>1482909</v>
      </c>
      <c r="E5904">
        <v>4</v>
      </c>
      <c r="F5904" t="s">
        <v>5877</v>
      </c>
    </row>
    <row r="5905" spans="1:6" x14ac:dyDescent="0.25">
      <c r="A5905" t="s">
        <v>6276</v>
      </c>
      <c r="B5905" t="s">
        <v>24</v>
      </c>
      <c r="C5905" t="s">
        <v>25</v>
      </c>
      <c r="D5905" t="str">
        <f>HYPERLINK("http://service.sap.com/sap/support/notes/1482980","1482980")</f>
        <v>1482980</v>
      </c>
      <c r="E5905">
        <v>3</v>
      </c>
      <c r="F5905" t="s">
        <v>5878</v>
      </c>
    </row>
    <row r="5906" spans="1:6" x14ac:dyDescent="0.25">
      <c r="A5906" t="s">
        <v>6276</v>
      </c>
      <c r="B5906" t="s">
        <v>24</v>
      </c>
      <c r="C5906" t="s">
        <v>25</v>
      </c>
      <c r="D5906" t="str">
        <f>HYPERLINK("http://service.sap.com/sap/support/notes/1483100","1483100")</f>
        <v>1483100</v>
      </c>
      <c r="E5906">
        <v>1</v>
      </c>
      <c r="F5906" t="s">
        <v>5879</v>
      </c>
    </row>
    <row r="5907" spans="1:6" x14ac:dyDescent="0.25">
      <c r="A5907" t="s">
        <v>6276</v>
      </c>
      <c r="B5907" t="s">
        <v>24</v>
      </c>
      <c r="C5907" t="s">
        <v>25</v>
      </c>
      <c r="D5907" t="str">
        <f>HYPERLINK("http://service.sap.com/sap/support/notes/1483502","1483502")</f>
        <v>1483502</v>
      </c>
      <c r="E5907">
        <v>1</v>
      </c>
      <c r="F5907" t="s">
        <v>5880</v>
      </c>
    </row>
    <row r="5908" spans="1:6" x14ac:dyDescent="0.25">
      <c r="A5908" t="s">
        <v>6276</v>
      </c>
      <c r="B5908" t="s">
        <v>24</v>
      </c>
      <c r="C5908" t="s">
        <v>25</v>
      </c>
      <c r="D5908" t="str">
        <f>HYPERLINK("http://service.sap.com/sap/support/notes/1483721","1483721")</f>
        <v>1483721</v>
      </c>
      <c r="E5908">
        <v>1</v>
      </c>
      <c r="F5908" t="s">
        <v>5881</v>
      </c>
    </row>
    <row r="5909" spans="1:6" x14ac:dyDescent="0.25">
      <c r="A5909" t="s">
        <v>6276</v>
      </c>
      <c r="B5909" t="s">
        <v>24</v>
      </c>
      <c r="C5909" t="s">
        <v>25</v>
      </c>
      <c r="D5909" t="str">
        <f>HYPERLINK("http://service.sap.com/sap/support/notes/1484922","1484922")</f>
        <v>1484922</v>
      </c>
      <c r="E5909">
        <v>1</v>
      </c>
      <c r="F5909" t="s">
        <v>5882</v>
      </c>
    </row>
    <row r="5910" spans="1:6" x14ac:dyDescent="0.25">
      <c r="A5910" t="s">
        <v>6276</v>
      </c>
      <c r="B5910" t="s">
        <v>24</v>
      </c>
      <c r="C5910" t="s">
        <v>25</v>
      </c>
      <c r="D5910" t="str">
        <f>HYPERLINK("http://service.sap.com/sap/support/notes/1485111","1485111")</f>
        <v>1485111</v>
      </c>
      <c r="E5910">
        <v>2</v>
      </c>
      <c r="F5910" t="s">
        <v>5883</v>
      </c>
    </row>
    <row r="5911" spans="1:6" x14ac:dyDescent="0.25">
      <c r="A5911" t="s">
        <v>6276</v>
      </c>
      <c r="B5911" t="s">
        <v>24</v>
      </c>
      <c r="C5911" t="s">
        <v>25</v>
      </c>
      <c r="D5911" t="str">
        <f>HYPERLINK("http://service.sap.com/sap/support/notes/1486327","1486327")</f>
        <v>1486327</v>
      </c>
      <c r="E5911">
        <v>1</v>
      </c>
      <c r="F5911" t="s">
        <v>5884</v>
      </c>
    </row>
    <row r="5912" spans="1:6" x14ac:dyDescent="0.25">
      <c r="A5912" t="s">
        <v>6276</v>
      </c>
      <c r="B5912" t="s">
        <v>24</v>
      </c>
      <c r="C5912" t="s">
        <v>25</v>
      </c>
      <c r="D5912" t="str">
        <f>HYPERLINK("http://service.sap.com/sap/support/notes/1486349","1486349")</f>
        <v>1486349</v>
      </c>
      <c r="E5912">
        <v>1</v>
      </c>
      <c r="F5912" t="s">
        <v>5885</v>
      </c>
    </row>
    <row r="5913" spans="1:6" x14ac:dyDescent="0.25">
      <c r="A5913" t="s">
        <v>6276</v>
      </c>
      <c r="B5913" t="s">
        <v>24</v>
      </c>
      <c r="C5913" t="s">
        <v>25</v>
      </c>
      <c r="D5913" t="str">
        <f>HYPERLINK("http://service.sap.com/sap/support/notes/1486463","1486463")</f>
        <v>1486463</v>
      </c>
      <c r="E5913">
        <v>1</v>
      </c>
      <c r="F5913" t="s">
        <v>5886</v>
      </c>
    </row>
    <row r="5914" spans="1:6" x14ac:dyDescent="0.25">
      <c r="A5914" t="s">
        <v>6276</v>
      </c>
      <c r="B5914" t="s">
        <v>24</v>
      </c>
      <c r="C5914" t="s">
        <v>25</v>
      </c>
      <c r="D5914" t="str">
        <f>HYPERLINK("http://service.sap.com/sap/support/notes/1486665","1486665")</f>
        <v>1486665</v>
      </c>
      <c r="E5914">
        <v>1</v>
      </c>
      <c r="F5914" t="s">
        <v>5887</v>
      </c>
    </row>
    <row r="5915" spans="1:6" x14ac:dyDescent="0.25">
      <c r="A5915" t="s">
        <v>6276</v>
      </c>
      <c r="B5915" t="s">
        <v>24</v>
      </c>
      <c r="C5915" t="s">
        <v>25</v>
      </c>
      <c r="D5915" t="str">
        <f>HYPERLINK("http://service.sap.com/sap/support/notes/1486876","1486876")</f>
        <v>1486876</v>
      </c>
      <c r="E5915">
        <v>1</v>
      </c>
      <c r="F5915" t="s">
        <v>5888</v>
      </c>
    </row>
    <row r="5916" spans="1:6" x14ac:dyDescent="0.25">
      <c r="A5916" t="s">
        <v>6276</v>
      </c>
      <c r="B5916" t="s">
        <v>24</v>
      </c>
      <c r="C5916" t="s">
        <v>25</v>
      </c>
      <c r="D5916" t="str">
        <f>HYPERLINK("http://service.sap.com/sap/support/notes/1488614","1488614")</f>
        <v>1488614</v>
      </c>
      <c r="E5916">
        <v>1</v>
      </c>
      <c r="F5916" t="s">
        <v>5889</v>
      </c>
    </row>
    <row r="5917" spans="1:6" x14ac:dyDescent="0.25">
      <c r="A5917" t="s">
        <v>6276</v>
      </c>
      <c r="B5917" t="s">
        <v>24</v>
      </c>
      <c r="C5917" t="s">
        <v>25</v>
      </c>
      <c r="D5917" t="str">
        <f>HYPERLINK("http://service.sap.com/sap/support/notes/1488653","1488653")</f>
        <v>1488653</v>
      </c>
      <c r="E5917">
        <v>1</v>
      </c>
      <c r="F5917" t="s">
        <v>5890</v>
      </c>
    </row>
    <row r="5918" spans="1:6" x14ac:dyDescent="0.25">
      <c r="A5918" t="s">
        <v>6276</v>
      </c>
      <c r="B5918" t="s">
        <v>24</v>
      </c>
      <c r="C5918" t="s">
        <v>25</v>
      </c>
      <c r="D5918" t="str">
        <f>HYPERLINK("http://service.sap.com/sap/support/notes/1488655","1488655")</f>
        <v>1488655</v>
      </c>
      <c r="E5918">
        <v>1</v>
      </c>
      <c r="F5918" t="s">
        <v>5891</v>
      </c>
    </row>
    <row r="5919" spans="1:6" x14ac:dyDescent="0.25">
      <c r="A5919" t="s">
        <v>6276</v>
      </c>
      <c r="B5919" t="s">
        <v>24</v>
      </c>
      <c r="C5919" t="s">
        <v>25</v>
      </c>
      <c r="D5919" t="str">
        <f>HYPERLINK("http://service.sap.com/sap/support/notes/1489028","1489028")</f>
        <v>1489028</v>
      </c>
      <c r="E5919">
        <v>2</v>
      </c>
      <c r="F5919" t="s">
        <v>5892</v>
      </c>
    </row>
    <row r="5920" spans="1:6" x14ac:dyDescent="0.25">
      <c r="A5920" t="s">
        <v>6276</v>
      </c>
      <c r="B5920" t="s">
        <v>24</v>
      </c>
      <c r="C5920" t="s">
        <v>25</v>
      </c>
      <c r="D5920" t="str">
        <f>HYPERLINK("http://service.sap.com/sap/support/notes/1489431","1489431")</f>
        <v>1489431</v>
      </c>
      <c r="E5920">
        <v>1</v>
      </c>
      <c r="F5920" t="s">
        <v>5893</v>
      </c>
    </row>
    <row r="5921" spans="1:6" x14ac:dyDescent="0.25">
      <c r="A5921" t="s">
        <v>6276</v>
      </c>
      <c r="B5921" t="s">
        <v>24</v>
      </c>
      <c r="C5921" t="s">
        <v>25</v>
      </c>
      <c r="D5921" t="str">
        <f>HYPERLINK("http://service.sap.com/sap/support/notes/1491768","1491768")</f>
        <v>1491768</v>
      </c>
      <c r="E5921">
        <v>1</v>
      </c>
      <c r="F5921" t="s">
        <v>5894</v>
      </c>
    </row>
    <row r="5922" spans="1:6" x14ac:dyDescent="0.25">
      <c r="A5922" t="s">
        <v>6276</v>
      </c>
      <c r="B5922" t="s">
        <v>24</v>
      </c>
      <c r="C5922" t="s">
        <v>25</v>
      </c>
      <c r="D5922" t="str">
        <f>HYPERLINK("http://service.sap.com/sap/support/notes/1492058","1492058")</f>
        <v>1492058</v>
      </c>
      <c r="E5922">
        <v>1</v>
      </c>
      <c r="F5922" t="s">
        <v>5895</v>
      </c>
    </row>
    <row r="5923" spans="1:6" x14ac:dyDescent="0.25">
      <c r="A5923" t="s">
        <v>6276</v>
      </c>
      <c r="B5923" t="s">
        <v>4074</v>
      </c>
      <c r="C5923" t="s">
        <v>4075</v>
      </c>
      <c r="D5923" t="str">
        <f>HYPERLINK("http://service.sap.com/sap/support/notes/1331306","1331306")</f>
        <v>1331306</v>
      </c>
      <c r="E5923">
        <v>5</v>
      </c>
      <c r="F5923" t="s">
        <v>5896</v>
      </c>
    </row>
    <row r="5924" spans="1:6" x14ac:dyDescent="0.25">
      <c r="A5924" t="s">
        <v>6276</v>
      </c>
      <c r="B5924" t="s">
        <v>4074</v>
      </c>
      <c r="C5924" t="s">
        <v>4075</v>
      </c>
      <c r="D5924" t="str">
        <f>HYPERLINK("http://service.sap.com/sap/support/notes/1452002","1452002")</f>
        <v>1452002</v>
      </c>
      <c r="E5924">
        <v>1</v>
      </c>
      <c r="F5924" t="s">
        <v>5897</v>
      </c>
    </row>
    <row r="5925" spans="1:6" x14ac:dyDescent="0.25">
      <c r="A5925" t="s">
        <v>6276</v>
      </c>
      <c r="B5925" t="s">
        <v>4074</v>
      </c>
      <c r="C5925" t="s">
        <v>4075</v>
      </c>
      <c r="D5925" t="str">
        <f>HYPERLINK("http://service.sap.com/sap/support/notes/1453991","1453991")</f>
        <v>1453991</v>
      </c>
      <c r="E5925">
        <v>2</v>
      </c>
      <c r="F5925" t="s">
        <v>5898</v>
      </c>
    </row>
    <row r="5926" spans="1:6" x14ac:dyDescent="0.25">
      <c r="A5926" t="s">
        <v>6276</v>
      </c>
      <c r="B5926" t="s">
        <v>4074</v>
      </c>
      <c r="C5926" t="s">
        <v>4075</v>
      </c>
      <c r="D5926" t="str">
        <f>HYPERLINK("http://service.sap.com/sap/support/notes/1455071","1455071")</f>
        <v>1455071</v>
      </c>
      <c r="E5926">
        <v>1</v>
      </c>
      <c r="F5926" t="s">
        <v>5899</v>
      </c>
    </row>
    <row r="5927" spans="1:6" x14ac:dyDescent="0.25">
      <c r="A5927" t="s">
        <v>6276</v>
      </c>
      <c r="B5927" t="s">
        <v>4074</v>
      </c>
      <c r="C5927" t="s">
        <v>4075</v>
      </c>
      <c r="D5927" t="str">
        <f>HYPERLINK("http://service.sap.com/sap/support/notes/1455681","1455681")</f>
        <v>1455681</v>
      </c>
      <c r="E5927">
        <v>1</v>
      </c>
      <c r="F5927" t="s">
        <v>5900</v>
      </c>
    </row>
    <row r="5928" spans="1:6" x14ac:dyDescent="0.25">
      <c r="A5928" t="s">
        <v>6276</v>
      </c>
      <c r="B5928" t="s">
        <v>4074</v>
      </c>
      <c r="C5928" t="s">
        <v>4075</v>
      </c>
      <c r="D5928" t="str">
        <f>HYPERLINK("http://service.sap.com/sap/support/notes/1455704","1455704")</f>
        <v>1455704</v>
      </c>
      <c r="E5928">
        <v>2</v>
      </c>
      <c r="F5928" t="s">
        <v>5901</v>
      </c>
    </row>
    <row r="5929" spans="1:6" x14ac:dyDescent="0.25">
      <c r="A5929" t="s">
        <v>6276</v>
      </c>
      <c r="B5929" t="s">
        <v>4074</v>
      </c>
      <c r="C5929" t="s">
        <v>4075</v>
      </c>
      <c r="D5929" t="str">
        <f>HYPERLINK("http://service.sap.com/sap/support/notes/1457171","1457171")</f>
        <v>1457171</v>
      </c>
      <c r="E5929">
        <v>1</v>
      </c>
      <c r="F5929" t="s">
        <v>5902</v>
      </c>
    </row>
    <row r="5930" spans="1:6" x14ac:dyDescent="0.25">
      <c r="A5930" t="s">
        <v>6276</v>
      </c>
      <c r="B5930" t="s">
        <v>4074</v>
      </c>
      <c r="C5930" t="s">
        <v>4075</v>
      </c>
      <c r="D5930" t="str">
        <f>HYPERLINK("http://service.sap.com/sap/support/notes/1458496","1458496")</f>
        <v>1458496</v>
      </c>
      <c r="E5930">
        <v>1</v>
      </c>
      <c r="F5930" t="s">
        <v>5903</v>
      </c>
    </row>
    <row r="5931" spans="1:6" x14ac:dyDescent="0.25">
      <c r="A5931" t="s">
        <v>6276</v>
      </c>
      <c r="B5931" t="s">
        <v>4074</v>
      </c>
      <c r="C5931" t="s">
        <v>4075</v>
      </c>
      <c r="D5931" t="str">
        <f>HYPERLINK("http://service.sap.com/sap/support/notes/1459209","1459209")</f>
        <v>1459209</v>
      </c>
      <c r="E5931">
        <v>1</v>
      </c>
      <c r="F5931" t="s">
        <v>5904</v>
      </c>
    </row>
    <row r="5932" spans="1:6" x14ac:dyDescent="0.25">
      <c r="A5932" t="s">
        <v>6276</v>
      </c>
      <c r="B5932" t="s">
        <v>4074</v>
      </c>
      <c r="C5932" t="s">
        <v>4075</v>
      </c>
      <c r="D5932" t="str">
        <f>HYPERLINK("http://service.sap.com/sap/support/notes/1459448","1459448")</f>
        <v>1459448</v>
      </c>
      <c r="E5932">
        <v>3</v>
      </c>
      <c r="F5932" t="s">
        <v>5905</v>
      </c>
    </row>
    <row r="5933" spans="1:6" x14ac:dyDescent="0.25">
      <c r="A5933" t="s">
        <v>6276</v>
      </c>
      <c r="B5933" t="s">
        <v>4074</v>
      </c>
      <c r="C5933" t="s">
        <v>4075</v>
      </c>
      <c r="D5933" t="str">
        <f>HYPERLINK("http://service.sap.com/sap/support/notes/1466853","1466853")</f>
        <v>1466853</v>
      </c>
      <c r="E5933">
        <v>1</v>
      </c>
      <c r="F5933" t="s">
        <v>5906</v>
      </c>
    </row>
    <row r="5934" spans="1:6" x14ac:dyDescent="0.25">
      <c r="A5934" t="s">
        <v>6276</v>
      </c>
      <c r="B5934" t="s">
        <v>4074</v>
      </c>
      <c r="C5934" t="s">
        <v>4075</v>
      </c>
      <c r="D5934" t="str">
        <f>HYPERLINK("http://service.sap.com/sap/support/notes/1467074","1467074")</f>
        <v>1467074</v>
      </c>
      <c r="E5934">
        <v>1</v>
      </c>
      <c r="F5934" t="s">
        <v>5907</v>
      </c>
    </row>
    <row r="5935" spans="1:6" x14ac:dyDescent="0.25">
      <c r="A5935" t="s">
        <v>6276</v>
      </c>
      <c r="B5935" t="s">
        <v>4074</v>
      </c>
      <c r="C5935" t="s">
        <v>4075</v>
      </c>
      <c r="D5935" t="str">
        <f>HYPERLINK("http://service.sap.com/sap/support/notes/1467854","1467854")</f>
        <v>1467854</v>
      </c>
      <c r="E5935">
        <v>2</v>
      </c>
      <c r="F5935" t="s">
        <v>5908</v>
      </c>
    </row>
    <row r="5936" spans="1:6" x14ac:dyDescent="0.25">
      <c r="A5936" t="s">
        <v>6276</v>
      </c>
      <c r="B5936" t="s">
        <v>4074</v>
      </c>
      <c r="C5936" t="s">
        <v>4075</v>
      </c>
      <c r="D5936" t="str">
        <f>HYPERLINK("http://service.sap.com/sap/support/notes/1469213","1469213")</f>
        <v>1469213</v>
      </c>
      <c r="E5936">
        <v>1</v>
      </c>
      <c r="F5936" t="s">
        <v>5909</v>
      </c>
    </row>
    <row r="5937" spans="1:6" x14ac:dyDescent="0.25">
      <c r="A5937" t="s">
        <v>6276</v>
      </c>
      <c r="B5937" t="s">
        <v>4074</v>
      </c>
      <c r="C5937" t="s">
        <v>4075</v>
      </c>
      <c r="D5937" t="str">
        <f>HYPERLINK("http://service.sap.com/sap/support/notes/1469767","1469767")</f>
        <v>1469767</v>
      </c>
      <c r="E5937">
        <v>1</v>
      </c>
      <c r="F5937" t="s">
        <v>5910</v>
      </c>
    </row>
    <row r="5938" spans="1:6" x14ac:dyDescent="0.25">
      <c r="A5938" t="s">
        <v>6276</v>
      </c>
      <c r="B5938" t="s">
        <v>4074</v>
      </c>
      <c r="C5938" t="s">
        <v>4075</v>
      </c>
      <c r="D5938" t="str">
        <f>HYPERLINK("http://service.sap.com/sap/support/notes/1470797","1470797")</f>
        <v>1470797</v>
      </c>
      <c r="E5938">
        <v>2</v>
      </c>
      <c r="F5938" t="s">
        <v>5911</v>
      </c>
    </row>
    <row r="5939" spans="1:6" x14ac:dyDescent="0.25">
      <c r="A5939" t="s">
        <v>6276</v>
      </c>
      <c r="B5939" t="s">
        <v>4074</v>
      </c>
      <c r="C5939" t="s">
        <v>4075</v>
      </c>
      <c r="D5939" t="str">
        <f>HYPERLINK("http://service.sap.com/sap/support/notes/1471241","1471241")</f>
        <v>1471241</v>
      </c>
      <c r="E5939">
        <v>1</v>
      </c>
      <c r="F5939" t="s">
        <v>5912</v>
      </c>
    </row>
    <row r="5940" spans="1:6" x14ac:dyDescent="0.25">
      <c r="A5940" t="s">
        <v>6276</v>
      </c>
      <c r="B5940" t="s">
        <v>4074</v>
      </c>
      <c r="C5940" t="s">
        <v>4075</v>
      </c>
      <c r="D5940" t="str">
        <f>HYPERLINK("http://service.sap.com/sap/support/notes/1471412","1471412")</f>
        <v>1471412</v>
      </c>
      <c r="E5940">
        <v>1</v>
      </c>
      <c r="F5940" t="s">
        <v>5913</v>
      </c>
    </row>
    <row r="5941" spans="1:6" x14ac:dyDescent="0.25">
      <c r="A5941" t="s">
        <v>6276</v>
      </c>
      <c r="B5941" t="s">
        <v>4074</v>
      </c>
      <c r="C5941" t="s">
        <v>4075</v>
      </c>
      <c r="D5941" t="str">
        <f>HYPERLINK("http://service.sap.com/sap/support/notes/1476050","1476050")</f>
        <v>1476050</v>
      </c>
      <c r="E5941">
        <v>2</v>
      </c>
      <c r="F5941" t="s">
        <v>5914</v>
      </c>
    </row>
    <row r="5942" spans="1:6" x14ac:dyDescent="0.25">
      <c r="A5942" t="s">
        <v>6276</v>
      </c>
      <c r="B5942" t="s">
        <v>4074</v>
      </c>
      <c r="C5942" t="s">
        <v>4075</v>
      </c>
      <c r="D5942" t="str">
        <f>HYPERLINK("http://service.sap.com/sap/support/notes/1477316","1477316")</f>
        <v>1477316</v>
      </c>
      <c r="E5942">
        <v>1</v>
      </c>
      <c r="F5942" t="s">
        <v>5915</v>
      </c>
    </row>
    <row r="5943" spans="1:6" x14ac:dyDescent="0.25">
      <c r="A5943" t="s">
        <v>6276</v>
      </c>
      <c r="B5943" t="s">
        <v>4074</v>
      </c>
      <c r="C5943" t="s">
        <v>4075</v>
      </c>
      <c r="D5943" t="str">
        <f>HYPERLINK("http://service.sap.com/sap/support/notes/1478311","1478311")</f>
        <v>1478311</v>
      </c>
      <c r="E5943">
        <v>2</v>
      </c>
      <c r="F5943" t="s">
        <v>5916</v>
      </c>
    </row>
    <row r="5944" spans="1:6" x14ac:dyDescent="0.25">
      <c r="A5944" t="s">
        <v>6276</v>
      </c>
      <c r="B5944" t="s">
        <v>4074</v>
      </c>
      <c r="C5944" t="s">
        <v>4075</v>
      </c>
      <c r="D5944" t="str">
        <f>HYPERLINK("http://service.sap.com/sap/support/notes/1482094","1482094")</f>
        <v>1482094</v>
      </c>
      <c r="E5944">
        <v>1</v>
      </c>
      <c r="F5944" t="s">
        <v>5917</v>
      </c>
    </row>
    <row r="5945" spans="1:6" x14ac:dyDescent="0.25">
      <c r="A5945" t="s">
        <v>6276</v>
      </c>
      <c r="B5945" t="s">
        <v>4074</v>
      </c>
      <c r="C5945" t="s">
        <v>4075</v>
      </c>
      <c r="D5945" t="str">
        <f>HYPERLINK("http://service.sap.com/sap/support/notes/1484042","1484042")</f>
        <v>1484042</v>
      </c>
      <c r="E5945">
        <v>1</v>
      </c>
      <c r="F5945" t="s">
        <v>5918</v>
      </c>
    </row>
    <row r="5946" spans="1:6" x14ac:dyDescent="0.25">
      <c r="A5946" t="s">
        <v>6276</v>
      </c>
      <c r="B5946" t="s">
        <v>4074</v>
      </c>
      <c r="C5946" t="s">
        <v>4075</v>
      </c>
      <c r="D5946" t="str">
        <f>HYPERLINK("http://service.sap.com/sap/support/notes/1484869","1484869")</f>
        <v>1484869</v>
      </c>
      <c r="E5946">
        <v>1</v>
      </c>
      <c r="F5946" t="s">
        <v>5919</v>
      </c>
    </row>
    <row r="5947" spans="1:6" x14ac:dyDescent="0.25">
      <c r="A5947" t="s">
        <v>6276</v>
      </c>
      <c r="B5947" t="s">
        <v>4074</v>
      </c>
      <c r="C5947" t="s">
        <v>4075</v>
      </c>
      <c r="D5947" t="str">
        <f>HYPERLINK("http://service.sap.com/sap/support/notes/1486321","1486321")</f>
        <v>1486321</v>
      </c>
      <c r="E5947">
        <v>1</v>
      </c>
      <c r="F5947" t="s">
        <v>5920</v>
      </c>
    </row>
    <row r="5948" spans="1:6" x14ac:dyDescent="0.25">
      <c r="A5948" t="s">
        <v>6276</v>
      </c>
      <c r="B5948" t="s">
        <v>4074</v>
      </c>
      <c r="C5948" t="s">
        <v>4075</v>
      </c>
      <c r="D5948" t="str">
        <f>HYPERLINK("http://service.sap.com/sap/support/notes/1486625","1486625")</f>
        <v>1486625</v>
      </c>
      <c r="E5948">
        <v>2</v>
      </c>
      <c r="F5948" t="s">
        <v>5921</v>
      </c>
    </row>
    <row r="5949" spans="1:6" x14ac:dyDescent="0.25">
      <c r="A5949" t="s">
        <v>6276</v>
      </c>
      <c r="B5949" t="s">
        <v>4074</v>
      </c>
      <c r="C5949" t="s">
        <v>4075</v>
      </c>
      <c r="D5949" t="str">
        <f>HYPERLINK("http://service.sap.com/sap/support/notes/1486724","1486724")</f>
        <v>1486724</v>
      </c>
      <c r="E5949">
        <v>1</v>
      </c>
      <c r="F5949" t="s">
        <v>5922</v>
      </c>
    </row>
    <row r="5950" spans="1:6" x14ac:dyDescent="0.25">
      <c r="A5950" t="s">
        <v>6276</v>
      </c>
      <c r="B5950" t="s">
        <v>4074</v>
      </c>
      <c r="C5950" t="s">
        <v>4075</v>
      </c>
      <c r="D5950" t="str">
        <f>HYPERLINK("http://service.sap.com/sap/support/notes/1490320","1490320")</f>
        <v>1490320</v>
      </c>
      <c r="E5950">
        <v>1</v>
      </c>
      <c r="F5950" t="s">
        <v>5923</v>
      </c>
    </row>
    <row r="5951" spans="1:6" x14ac:dyDescent="0.25">
      <c r="A5951" t="s">
        <v>6276</v>
      </c>
      <c r="B5951" t="s">
        <v>4081</v>
      </c>
      <c r="C5951" t="s">
        <v>4082</v>
      </c>
      <c r="D5951" t="str">
        <f>HYPERLINK("http://service.sap.com/sap/support/notes/1417781","1417781")</f>
        <v>1417781</v>
      </c>
      <c r="E5951">
        <v>1</v>
      </c>
      <c r="F5951" t="s">
        <v>5592</v>
      </c>
    </row>
    <row r="5952" spans="1:6" x14ac:dyDescent="0.25">
      <c r="A5952" t="s">
        <v>6276</v>
      </c>
      <c r="B5952" t="s">
        <v>4081</v>
      </c>
      <c r="C5952" t="s">
        <v>4082</v>
      </c>
      <c r="D5952" t="str">
        <f>HYPERLINK("http://service.sap.com/sap/support/notes/1447687","1447687")</f>
        <v>1447687</v>
      </c>
      <c r="E5952">
        <v>1</v>
      </c>
      <c r="F5952" t="s">
        <v>5596</v>
      </c>
    </row>
    <row r="5953" spans="1:6" x14ac:dyDescent="0.25">
      <c r="A5953" t="s">
        <v>6276</v>
      </c>
      <c r="B5953" t="s">
        <v>4081</v>
      </c>
      <c r="C5953" t="s">
        <v>4082</v>
      </c>
      <c r="D5953" t="str">
        <f>HYPERLINK("http://service.sap.com/sap/support/notes/1462033","1462033")</f>
        <v>1462033</v>
      </c>
      <c r="E5953">
        <v>1</v>
      </c>
      <c r="F5953" t="s">
        <v>5924</v>
      </c>
    </row>
    <row r="5954" spans="1:6" x14ac:dyDescent="0.25">
      <c r="A5954" t="s">
        <v>6276</v>
      </c>
      <c r="B5954" t="s">
        <v>4081</v>
      </c>
      <c r="C5954" t="s">
        <v>4082</v>
      </c>
      <c r="D5954" t="str">
        <f>HYPERLINK("http://service.sap.com/sap/support/notes/1462605","1462605")</f>
        <v>1462605</v>
      </c>
      <c r="E5954">
        <v>1</v>
      </c>
      <c r="F5954" t="s">
        <v>5925</v>
      </c>
    </row>
    <row r="5955" spans="1:6" x14ac:dyDescent="0.25">
      <c r="A5955" t="s">
        <v>6276</v>
      </c>
      <c r="B5955" t="s">
        <v>4081</v>
      </c>
      <c r="C5955" t="s">
        <v>4082</v>
      </c>
      <c r="D5955" t="str">
        <f>HYPERLINK("http://service.sap.com/sap/support/notes/1465007","1465007")</f>
        <v>1465007</v>
      </c>
      <c r="E5955">
        <v>3</v>
      </c>
      <c r="F5955" t="s">
        <v>5926</v>
      </c>
    </row>
    <row r="5956" spans="1:6" x14ac:dyDescent="0.25">
      <c r="A5956" t="s">
        <v>6276</v>
      </c>
      <c r="B5956" t="s">
        <v>4081</v>
      </c>
      <c r="C5956" t="s">
        <v>4082</v>
      </c>
      <c r="D5956" t="str">
        <f>HYPERLINK("http://service.sap.com/sap/support/notes/1473309","1473309")</f>
        <v>1473309</v>
      </c>
      <c r="E5956">
        <v>1</v>
      </c>
      <c r="F5956" t="s">
        <v>5927</v>
      </c>
    </row>
    <row r="5957" spans="1:6" x14ac:dyDescent="0.25">
      <c r="A5957" t="s">
        <v>6276</v>
      </c>
      <c r="B5957" t="s">
        <v>4081</v>
      </c>
      <c r="C5957" t="s">
        <v>4082</v>
      </c>
      <c r="D5957" t="str">
        <f>HYPERLINK("http://service.sap.com/sap/support/notes/1473887","1473887")</f>
        <v>1473887</v>
      </c>
      <c r="E5957">
        <v>1</v>
      </c>
      <c r="F5957" t="s">
        <v>5928</v>
      </c>
    </row>
    <row r="5958" spans="1:6" x14ac:dyDescent="0.25">
      <c r="A5958" t="s">
        <v>6276</v>
      </c>
      <c r="B5958" t="s">
        <v>4081</v>
      </c>
      <c r="C5958" t="s">
        <v>4082</v>
      </c>
      <c r="D5958" t="str">
        <f>HYPERLINK("http://service.sap.com/sap/support/notes/1477109","1477109")</f>
        <v>1477109</v>
      </c>
      <c r="E5958">
        <v>1</v>
      </c>
      <c r="F5958" t="s">
        <v>5929</v>
      </c>
    </row>
    <row r="5959" spans="1:6" x14ac:dyDescent="0.25">
      <c r="A5959" t="s">
        <v>6276</v>
      </c>
      <c r="B5959" t="s">
        <v>4081</v>
      </c>
      <c r="C5959" t="s">
        <v>4082</v>
      </c>
      <c r="D5959" t="str">
        <f>HYPERLINK("http://service.sap.com/sap/support/notes/1485393","1485393")</f>
        <v>1485393</v>
      </c>
      <c r="E5959">
        <v>2</v>
      </c>
      <c r="F5959" t="s">
        <v>5930</v>
      </c>
    </row>
    <row r="5960" spans="1:6" x14ac:dyDescent="0.25">
      <c r="A5960" t="s">
        <v>6276</v>
      </c>
      <c r="B5960" t="s">
        <v>4081</v>
      </c>
      <c r="C5960" t="s">
        <v>4082</v>
      </c>
      <c r="D5960" t="str">
        <f>HYPERLINK("http://service.sap.com/sap/support/notes/1485809","1485809")</f>
        <v>1485809</v>
      </c>
      <c r="E5960">
        <v>1</v>
      </c>
      <c r="F5960" t="s">
        <v>5931</v>
      </c>
    </row>
    <row r="5961" spans="1:6" x14ac:dyDescent="0.25">
      <c r="A5961" t="s">
        <v>6276</v>
      </c>
      <c r="B5961" t="s">
        <v>4081</v>
      </c>
      <c r="C5961" t="s">
        <v>4082</v>
      </c>
      <c r="D5961" t="str">
        <f>HYPERLINK("http://service.sap.com/sap/support/notes/1485845","1485845")</f>
        <v>1485845</v>
      </c>
      <c r="E5961">
        <v>2</v>
      </c>
      <c r="F5961" t="s">
        <v>5932</v>
      </c>
    </row>
    <row r="5962" spans="1:6" x14ac:dyDescent="0.25">
      <c r="A5962" t="s">
        <v>6276</v>
      </c>
      <c r="B5962" t="s">
        <v>4081</v>
      </c>
      <c r="C5962" t="s">
        <v>4082</v>
      </c>
      <c r="D5962" t="str">
        <f>HYPERLINK("http://service.sap.com/sap/support/notes/1489871","1489871")</f>
        <v>1489871</v>
      </c>
      <c r="E5962">
        <v>1</v>
      </c>
      <c r="F5962" t="s">
        <v>5933</v>
      </c>
    </row>
    <row r="5963" spans="1:6" x14ac:dyDescent="0.25">
      <c r="A5963" t="s">
        <v>6276</v>
      </c>
      <c r="B5963" t="s">
        <v>5934</v>
      </c>
      <c r="C5963" t="s">
        <v>5935</v>
      </c>
      <c r="D5963" t="str">
        <f>HYPERLINK("http://service.sap.com/sap/support/notes/1465346","1465346")</f>
        <v>1465346</v>
      </c>
      <c r="E5963">
        <v>3</v>
      </c>
      <c r="F5963" t="s">
        <v>5936</v>
      </c>
    </row>
    <row r="5964" spans="1:6" x14ac:dyDescent="0.25">
      <c r="A5964" t="s">
        <v>6276</v>
      </c>
      <c r="B5964" t="s">
        <v>5934</v>
      </c>
      <c r="C5964" t="s">
        <v>5935</v>
      </c>
      <c r="D5964" t="str">
        <f>HYPERLINK("http://service.sap.com/sap/support/notes/1479164","1479164")</f>
        <v>1479164</v>
      </c>
      <c r="E5964">
        <v>1</v>
      </c>
      <c r="F5964" t="s">
        <v>5937</v>
      </c>
    </row>
    <row r="5965" spans="1:6" x14ac:dyDescent="0.25">
      <c r="A5965" t="s">
        <v>6276</v>
      </c>
      <c r="B5965" t="s">
        <v>5605</v>
      </c>
      <c r="C5965" t="s">
        <v>5606</v>
      </c>
      <c r="D5965" t="str">
        <f>HYPERLINK("http://service.sap.com/sap/support/notes/1428513","1428513")</f>
        <v>1428513</v>
      </c>
      <c r="E5965">
        <v>2</v>
      </c>
      <c r="F5965" t="s">
        <v>5938</v>
      </c>
    </row>
    <row r="5966" spans="1:6" x14ac:dyDescent="0.25">
      <c r="A5966" t="s">
        <v>6276</v>
      </c>
      <c r="B5966" t="s">
        <v>5605</v>
      </c>
      <c r="C5966" t="s">
        <v>5606</v>
      </c>
      <c r="D5966" t="str">
        <f>HYPERLINK("http://service.sap.com/sap/support/notes/1463215","1463215")</f>
        <v>1463215</v>
      </c>
      <c r="E5966">
        <v>1</v>
      </c>
      <c r="F5966" t="s">
        <v>5939</v>
      </c>
    </row>
    <row r="5967" spans="1:6" x14ac:dyDescent="0.25">
      <c r="A5967" t="s">
        <v>6276</v>
      </c>
      <c r="B5967" t="s">
        <v>27</v>
      </c>
      <c r="C5967" t="s">
        <v>13</v>
      </c>
      <c r="D5967" t="str">
        <f>HYPERLINK("http://service.sap.com/sap/support/notes/1125364","1125364")</f>
        <v>1125364</v>
      </c>
      <c r="E5967">
        <v>1</v>
      </c>
      <c r="F5967" t="s">
        <v>591</v>
      </c>
    </row>
    <row r="5968" spans="1:6" x14ac:dyDescent="0.25">
      <c r="A5968" t="s">
        <v>6276</v>
      </c>
      <c r="B5968" t="s">
        <v>4091</v>
      </c>
      <c r="C5968" t="s">
        <v>4092</v>
      </c>
      <c r="D5968" t="str">
        <f>HYPERLINK("http://service.sap.com/sap/support/notes/1330129","1330129")</f>
        <v>1330129</v>
      </c>
      <c r="E5968">
        <v>3</v>
      </c>
      <c r="F5968" t="s">
        <v>5940</v>
      </c>
    </row>
    <row r="5969" spans="1:6" x14ac:dyDescent="0.25">
      <c r="A5969" t="s">
        <v>6276</v>
      </c>
      <c r="B5969" t="s">
        <v>4091</v>
      </c>
      <c r="C5969" t="s">
        <v>4092</v>
      </c>
      <c r="D5969" t="str">
        <f>HYPERLINK("http://service.sap.com/sap/support/notes/1358667","1358667")</f>
        <v>1358667</v>
      </c>
      <c r="E5969">
        <v>4</v>
      </c>
      <c r="F5969" t="s">
        <v>5941</v>
      </c>
    </row>
    <row r="5970" spans="1:6" x14ac:dyDescent="0.25">
      <c r="A5970" t="s">
        <v>6276</v>
      </c>
      <c r="B5970" t="s">
        <v>4091</v>
      </c>
      <c r="C5970" t="s">
        <v>4092</v>
      </c>
      <c r="D5970" t="str">
        <f>HYPERLINK("http://service.sap.com/sap/support/notes/1440741","1440741")</f>
        <v>1440741</v>
      </c>
      <c r="E5970">
        <v>5</v>
      </c>
      <c r="F5970" t="s">
        <v>5942</v>
      </c>
    </row>
    <row r="5971" spans="1:6" x14ac:dyDescent="0.25">
      <c r="A5971" t="s">
        <v>6276</v>
      </c>
      <c r="B5971" t="s">
        <v>4091</v>
      </c>
      <c r="C5971" t="s">
        <v>4092</v>
      </c>
      <c r="D5971" t="str">
        <f>HYPERLINK("http://service.sap.com/sap/support/notes/1449509","1449509")</f>
        <v>1449509</v>
      </c>
      <c r="E5971">
        <v>4</v>
      </c>
      <c r="F5971" t="s">
        <v>5627</v>
      </c>
    </row>
    <row r="5972" spans="1:6" x14ac:dyDescent="0.25">
      <c r="A5972" t="s">
        <v>6276</v>
      </c>
      <c r="B5972" t="s">
        <v>4091</v>
      </c>
      <c r="C5972" t="s">
        <v>4092</v>
      </c>
      <c r="D5972" t="str">
        <f>HYPERLINK("http://service.sap.com/sap/support/notes/1459397","1459397")</f>
        <v>1459397</v>
      </c>
      <c r="E5972">
        <v>1</v>
      </c>
      <c r="F5972" t="s">
        <v>5943</v>
      </c>
    </row>
    <row r="5973" spans="1:6" x14ac:dyDescent="0.25">
      <c r="A5973" t="s">
        <v>6276</v>
      </c>
      <c r="B5973" t="s">
        <v>4091</v>
      </c>
      <c r="C5973" t="s">
        <v>4092</v>
      </c>
      <c r="D5973" t="str">
        <f>HYPERLINK("http://service.sap.com/sap/support/notes/1460624","1460624")</f>
        <v>1460624</v>
      </c>
      <c r="E5973">
        <v>3</v>
      </c>
      <c r="F5973" t="s">
        <v>5944</v>
      </c>
    </row>
    <row r="5974" spans="1:6" x14ac:dyDescent="0.25">
      <c r="A5974" t="s">
        <v>6276</v>
      </c>
      <c r="B5974" t="s">
        <v>4091</v>
      </c>
      <c r="C5974" t="s">
        <v>4092</v>
      </c>
      <c r="D5974" t="str">
        <f>HYPERLINK("http://service.sap.com/sap/support/notes/1460907","1460907")</f>
        <v>1460907</v>
      </c>
      <c r="E5974">
        <v>1</v>
      </c>
      <c r="F5974" t="s">
        <v>5631</v>
      </c>
    </row>
    <row r="5975" spans="1:6" x14ac:dyDescent="0.25">
      <c r="A5975" t="s">
        <v>6276</v>
      </c>
      <c r="B5975" t="s">
        <v>4091</v>
      </c>
      <c r="C5975" t="s">
        <v>4092</v>
      </c>
      <c r="D5975" t="str">
        <f>HYPERLINK("http://service.sap.com/sap/support/notes/1462304","1462304")</f>
        <v>1462304</v>
      </c>
      <c r="E5975">
        <v>1</v>
      </c>
      <c r="F5975" t="s">
        <v>5945</v>
      </c>
    </row>
    <row r="5976" spans="1:6" x14ac:dyDescent="0.25">
      <c r="A5976" t="s">
        <v>6276</v>
      </c>
      <c r="B5976" t="s">
        <v>4091</v>
      </c>
      <c r="C5976" t="s">
        <v>4092</v>
      </c>
      <c r="D5976" t="str">
        <f>HYPERLINK("http://service.sap.com/sap/support/notes/1462507","1462507")</f>
        <v>1462507</v>
      </c>
      <c r="E5976">
        <v>4</v>
      </c>
      <c r="F5976" t="s">
        <v>5946</v>
      </c>
    </row>
    <row r="5977" spans="1:6" x14ac:dyDescent="0.25">
      <c r="A5977" t="s">
        <v>6276</v>
      </c>
      <c r="B5977" t="s">
        <v>4091</v>
      </c>
      <c r="C5977" t="s">
        <v>4092</v>
      </c>
      <c r="D5977" t="str">
        <f>HYPERLINK("http://service.sap.com/sap/support/notes/1463895","1463895")</f>
        <v>1463895</v>
      </c>
      <c r="E5977">
        <v>4</v>
      </c>
      <c r="F5977" t="s">
        <v>5947</v>
      </c>
    </row>
    <row r="5978" spans="1:6" x14ac:dyDescent="0.25">
      <c r="A5978" t="s">
        <v>6276</v>
      </c>
      <c r="B5978" t="s">
        <v>4091</v>
      </c>
      <c r="C5978" t="s">
        <v>4092</v>
      </c>
      <c r="D5978" t="str">
        <f>HYPERLINK("http://service.sap.com/sap/support/notes/1464429","1464429")</f>
        <v>1464429</v>
      </c>
      <c r="E5978">
        <v>1</v>
      </c>
      <c r="F5978" t="s">
        <v>5948</v>
      </c>
    </row>
    <row r="5979" spans="1:6" x14ac:dyDescent="0.25">
      <c r="A5979" t="s">
        <v>6276</v>
      </c>
      <c r="B5979" t="s">
        <v>4091</v>
      </c>
      <c r="C5979" t="s">
        <v>4092</v>
      </c>
      <c r="D5979" t="str">
        <f>HYPERLINK("http://service.sap.com/sap/support/notes/1464633","1464633")</f>
        <v>1464633</v>
      </c>
      <c r="E5979">
        <v>1</v>
      </c>
      <c r="F5979" t="s">
        <v>5949</v>
      </c>
    </row>
    <row r="5980" spans="1:6" x14ac:dyDescent="0.25">
      <c r="A5980" t="s">
        <v>6276</v>
      </c>
      <c r="B5980" t="s">
        <v>4091</v>
      </c>
      <c r="C5980" t="s">
        <v>4092</v>
      </c>
      <c r="D5980" t="str">
        <f>HYPERLINK("http://service.sap.com/sap/support/notes/1465826","1465826")</f>
        <v>1465826</v>
      </c>
      <c r="E5980">
        <v>3</v>
      </c>
      <c r="F5980" t="s">
        <v>5950</v>
      </c>
    </row>
    <row r="5981" spans="1:6" x14ac:dyDescent="0.25">
      <c r="A5981" t="s">
        <v>6276</v>
      </c>
      <c r="B5981" t="s">
        <v>4091</v>
      </c>
      <c r="C5981" t="s">
        <v>4092</v>
      </c>
      <c r="D5981" t="str">
        <f>HYPERLINK("http://service.sap.com/sap/support/notes/1471480","1471480")</f>
        <v>1471480</v>
      </c>
      <c r="E5981">
        <v>1</v>
      </c>
      <c r="F5981" t="s">
        <v>5951</v>
      </c>
    </row>
    <row r="5982" spans="1:6" x14ac:dyDescent="0.25">
      <c r="A5982" t="s">
        <v>6276</v>
      </c>
      <c r="B5982" t="s">
        <v>4091</v>
      </c>
      <c r="C5982" t="s">
        <v>4092</v>
      </c>
      <c r="D5982" t="str">
        <f>HYPERLINK("http://service.sap.com/sap/support/notes/1473671","1473671")</f>
        <v>1473671</v>
      </c>
      <c r="E5982">
        <v>1</v>
      </c>
      <c r="F5982" t="s">
        <v>5952</v>
      </c>
    </row>
    <row r="5983" spans="1:6" x14ac:dyDescent="0.25">
      <c r="A5983" t="s">
        <v>6276</v>
      </c>
      <c r="B5983" t="s">
        <v>4091</v>
      </c>
      <c r="C5983" t="s">
        <v>4092</v>
      </c>
      <c r="D5983" t="str">
        <f>HYPERLINK("http://service.sap.com/sap/support/notes/1473676","1473676")</f>
        <v>1473676</v>
      </c>
      <c r="E5983">
        <v>2</v>
      </c>
      <c r="F5983" t="s">
        <v>5953</v>
      </c>
    </row>
    <row r="5984" spans="1:6" x14ac:dyDescent="0.25">
      <c r="A5984" t="s">
        <v>6276</v>
      </c>
      <c r="B5984" t="s">
        <v>4091</v>
      </c>
      <c r="C5984" t="s">
        <v>4092</v>
      </c>
      <c r="D5984" t="str">
        <f>HYPERLINK("http://service.sap.com/sap/support/notes/1476536","1476536")</f>
        <v>1476536</v>
      </c>
      <c r="E5984">
        <v>1</v>
      </c>
      <c r="F5984" t="s">
        <v>5954</v>
      </c>
    </row>
    <row r="5985" spans="1:6" x14ac:dyDescent="0.25">
      <c r="A5985" t="s">
        <v>6276</v>
      </c>
      <c r="B5985" t="s">
        <v>4091</v>
      </c>
      <c r="C5985" t="s">
        <v>4092</v>
      </c>
      <c r="D5985" t="str">
        <f>HYPERLINK("http://service.sap.com/sap/support/notes/1476961","1476961")</f>
        <v>1476961</v>
      </c>
      <c r="E5985">
        <v>1</v>
      </c>
      <c r="F5985" t="s">
        <v>5955</v>
      </c>
    </row>
    <row r="5986" spans="1:6" x14ac:dyDescent="0.25">
      <c r="A5986" t="s">
        <v>6276</v>
      </c>
      <c r="B5986" t="s">
        <v>4091</v>
      </c>
      <c r="C5986" t="s">
        <v>4092</v>
      </c>
      <c r="D5986" t="str">
        <f>HYPERLINK("http://service.sap.com/sap/support/notes/1477524","1477524")</f>
        <v>1477524</v>
      </c>
      <c r="E5986">
        <v>1</v>
      </c>
      <c r="F5986" t="s">
        <v>5956</v>
      </c>
    </row>
    <row r="5987" spans="1:6" x14ac:dyDescent="0.25">
      <c r="A5987" t="s">
        <v>6276</v>
      </c>
      <c r="B5987" t="s">
        <v>4091</v>
      </c>
      <c r="C5987" t="s">
        <v>4092</v>
      </c>
      <c r="D5987" t="str">
        <f>HYPERLINK("http://service.sap.com/sap/support/notes/1478657","1478657")</f>
        <v>1478657</v>
      </c>
      <c r="E5987">
        <v>2</v>
      </c>
      <c r="F5987" t="s">
        <v>5957</v>
      </c>
    </row>
    <row r="5988" spans="1:6" x14ac:dyDescent="0.25">
      <c r="A5988" t="s">
        <v>6276</v>
      </c>
      <c r="B5988" t="s">
        <v>4091</v>
      </c>
      <c r="C5988" t="s">
        <v>4092</v>
      </c>
      <c r="D5988" t="str">
        <f>HYPERLINK("http://service.sap.com/sap/support/notes/1479596","1479596")</f>
        <v>1479596</v>
      </c>
      <c r="E5988">
        <v>3</v>
      </c>
      <c r="F5988" t="s">
        <v>5958</v>
      </c>
    </row>
    <row r="5989" spans="1:6" x14ac:dyDescent="0.25">
      <c r="A5989" t="s">
        <v>6276</v>
      </c>
      <c r="B5989" t="s">
        <v>4091</v>
      </c>
      <c r="C5989" t="s">
        <v>4092</v>
      </c>
      <c r="D5989" t="str">
        <f>HYPERLINK("http://service.sap.com/sap/support/notes/1481753","1481753")</f>
        <v>1481753</v>
      </c>
      <c r="E5989">
        <v>1</v>
      </c>
      <c r="F5989" t="s">
        <v>5959</v>
      </c>
    </row>
    <row r="5990" spans="1:6" x14ac:dyDescent="0.25">
      <c r="A5990" t="s">
        <v>6276</v>
      </c>
      <c r="B5990" t="s">
        <v>4091</v>
      </c>
      <c r="C5990" t="s">
        <v>4092</v>
      </c>
      <c r="D5990" t="str">
        <f>HYPERLINK("http://service.sap.com/sap/support/notes/1485137","1485137")</f>
        <v>1485137</v>
      </c>
      <c r="E5990">
        <v>1</v>
      </c>
      <c r="F5990" t="s">
        <v>5960</v>
      </c>
    </row>
    <row r="5991" spans="1:6" x14ac:dyDescent="0.25">
      <c r="A5991" t="s">
        <v>6276</v>
      </c>
      <c r="B5991" t="s">
        <v>4091</v>
      </c>
      <c r="C5991" t="s">
        <v>4092</v>
      </c>
      <c r="D5991" t="str">
        <f>HYPERLINK("http://service.sap.com/sap/support/notes/1488438","1488438")</f>
        <v>1488438</v>
      </c>
      <c r="E5991">
        <v>2</v>
      </c>
      <c r="F5991" t="s">
        <v>5961</v>
      </c>
    </row>
    <row r="5992" spans="1:6" x14ac:dyDescent="0.25">
      <c r="A5992" t="s">
        <v>6276</v>
      </c>
      <c r="B5992" t="s">
        <v>4091</v>
      </c>
      <c r="C5992" t="s">
        <v>4092</v>
      </c>
      <c r="D5992" t="str">
        <f>HYPERLINK("http://service.sap.com/sap/support/notes/1488458","1488458")</f>
        <v>1488458</v>
      </c>
      <c r="E5992">
        <v>1</v>
      </c>
      <c r="F5992" t="s">
        <v>5962</v>
      </c>
    </row>
    <row r="5993" spans="1:6" x14ac:dyDescent="0.25">
      <c r="A5993" t="s">
        <v>6276</v>
      </c>
      <c r="B5993" t="s">
        <v>4091</v>
      </c>
      <c r="C5993" t="s">
        <v>4092</v>
      </c>
      <c r="D5993" t="str">
        <f>HYPERLINK("http://service.sap.com/sap/support/notes/1488657","1488657")</f>
        <v>1488657</v>
      </c>
      <c r="E5993">
        <v>1</v>
      </c>
      <c r="F5993" t="s">
        <v>5963</v>
      </c>
    </row>
    <row r="5994" spans="1:6" x14ac:dyDescent="0.25">
      <c r="A5994" t="s">
        <v>6276</v>
      </c>
      <c r="B5994" t="s">
        <v>4091</v>
      </c>
      <c r="C5994" t="s">
        <v>4092</v>
      </c>
      <c r="D5994" t="str">
        <f>HYPERLINK("http://service.sap.com/sap/support/notes/1490346","1490346")</f>
        <v>1490346</v>
      </c>
      <c r="E5994">
        <v>3</v>
      </c>
      <c r="F5994" t="s">
        <v>5964</v>
      </c>
    </row>
    <row r="5995" spans="1:6" x14ac:dyDescent="0.25">
      <c r="A5995" t="s">
        <v>6276</v>
      </c>
      <c r="B5995" t="s">
        <v>592</v>
      </c>
      <c r="C5995" t="s">
        <v>593</v>
      </c>
      <c r="D5995" t="str">
        <f>HYPERLINK("http://service.sap.com/sap/support/notes/1450804","1450804")</f>
        <v>1450804</v>
      </c>
      <c r="E5995">
        <v>1</v>
      </c>
      <c r="F5995" t="s">
        <v>5965</v>
      </c>
    </row>
    <row r="5996" spans="1:6" x14ac:dyDescent="0.25">
      <c r="A5996" t="s">
        <v>6276</v>
      </c>
      <c r="B5996" t="s">
        <v>28</v>
      </c>
      <c r="C5996" t="s">
        <v>29</v>
      </c>
    </row>
    <row r="5997" spans="1:6" x14ac:dyDescent="0.25">
      <c r="A5997" t="s">
        <v>6276</v>
      </c>
      <c r="B5997" t="s">
        <v>629</v>
      </c>
      <c r="C5997" t="s">
        <v>4367</v>
      </c>
      <c r="D5997" t="str">
        <f>HYPERLINK("http://service.sap.com/sap/support/notes/1456805","1456805")</f>
        <v>1456805</v>
      </c>
      <c r="E5997">
        <v>1</v>
      </c>
      <c r="F5997" t="s">
        <v>5966</v>
      </c>
    </row>
    <row r="5998" spans="1:6" x14ac:dyDescent="0.25">
      <c r="A5998" t="s">
        <v>6276</v>
      </c>
      <c r="B5998" t="s">
        <v>5967</v>
      </c>
      <c r="C5998" t="s">
        <v>5968</v>
      </c>
    </row>
    <row r="5999" spans="1:6" x14ac:dyDescent="0.25">
      <c r="A5999" t="s">
        <v>6276</v>
      </c>
      <c r="B5999" t="s">
        <v>5969</v>
      </c>
      <c r="C5999" t="s">
        <v>695</v>
      </c>
      <c r="D5999" t="str">
        <f>HYPERLINK("http://service.sap.com/sap/support/notes/1445739","1445739")</f>
        <v>1445739</v>
      </c>
      <c r="E5999">
        <v>2</v>
      </c>
      <c r="F5999" t="s">
        <v>5970</v>
      </c>
    </row>
    <row r="6000" spans="1:6" x14ac:dyDescent="0.25">
      <c r="A6000" t="s">
        <v>6276</v>
      </c>
      <c r="B6000" t="s">
        <v>5969</v>
      </c>
      <c r="C6000" t="s">
        <v>695</v>
      </c>
      <c r="D6000" t="str">
        <f>HYPERLINK("http://service.sap.com/sap/support/notes/1476824","1476824")</f>
        <v>1476824</v>
      </c>
      <c r="E6000">
        <v>3</v>
      </c>
      <c r="F6000" t="s">
        <v>5971</v>
      </c>
    </row>
    <row r="6001" spans="1:6" x14ac:dyDescent="0.25">
      <c r="A6001" t="s">
        <v>6276</v>
      </c>
      <c r="B6001" t="s">
        <v>5969</v>
      </c>
      <c r="C6001" t="s">
        <v>695</v>
      </c>
      <c r="D6001" t="str">
        <f>HYPERLINK("http://service.sap.com/sap/support/notes/1479383","1479383")</f>
        <v>1479383</v>
      </c>
      <c r="E6001">
        <v>2</v>
      </c>
      <c r="F6001" t="s">
        <v>5972</v>
      </c>
    </row>
    <row r="6002" spans="1:6" x14ac:dyDescent="0.25">
      <c r="A6002" t="s">
        <v>6276</v>
      </c>
      <c r="B6002" t="s">
        <v>633</v>
      </c>
      <c r="C6002" t="s">
        <v>2959</v>
      </c>
      <c r="D6002" t="str">
        <f>HYPERLINK("http://service.sap.com/sap/support/notes/1402815","1402815")</f>
        <v>1402815</v>
      </c>
      <c r="E6002">
        <v>1</v>
      </c>
      <c r="F6002" t="s">
        <v>5973</v>
      </c>
    </row>
    <row r="6003" spans="1:6" x14ac:dyDescent="0.25">
      <c r="A6003" t="s">
        <v>6276</v>
      </c>
      <c r="B6003" t="s">
        <v>633</v>
      </c>
      <c r="C6003" t="s">
        <v>2959</v>
      </c>
      <c r="D6003" t="str">
        <f>HYPERLINK("http://service.sap.com/sap/support/notes/1454792","1454792")</f>
        <v>1454792</v>
      </c>
      <c r="E6003">
        <v>1</v>
      </c>
      <c r="F6003" t="s">
        <v>5974</v>
      </c>
    </row>
    <row r="6004" spans="1:6" x14ac:dyDescent="0.25">
      <c r="A6004" t="s">
        <v>6276</v>
      </c>
      <c r="B6004" t="s">
        <v>2161</v>
      </c>
      <c r="C6004" t="s">
        <v>2162</v>
      </c>
      <c r="D6004" t="str">
        <f>HYPERLINK("http://service.sap.com/sap/support/notes/1386319","1386319")</f>
        <v>1386319</v>
      </c>
      <c r="E6004">
        <v>5</v>
      </c>
      <c r="F6004" t="s">
        <v>5975</v>
      </c>
    </row>
    <row r="6005" spans="1:6" x14ac:dyDescent="0.25">
      <c r="A6005" t="s">
        <v>6276</v>
      </c>
      <c r="B6005" t="s">
        <v>2161</v>
      </c>
      <c r="C6005" t="s">
        <v>2162</v>
      </c>
      <c r="D6005" t="str">
        <f>HYPERLINK("http://service.sap.com/sap/support/notes/1460674","1460674")</f>
        <v>1460674</v>
      </c>
      <c r="E6005">
        <v>2</v>
      </c>
      <c r="F6005" t="s">
        <v>5976</v>
      </c>
    </row>
    <row r="6006" spans="1:6" x14ac:dyDescent="0.25">
      <c r="A6006" t="s">
        <v>6276</v>
      </c>
      <c r="B6006" t="s">
        <v>2161</v>
      </c>
      <c r="C6006" t="s">
        <v>2162</v>
      </c>
      <c r="D6006" t="str">
        <f>HYPERLINK("http://service.sap.com/sap/support/notes/1461908","1461908")</f>
        <v>1461908</v>
      </c>
      <c r="E6006">
        <v>1</v>
      </c>
      <c r="F6006" t="s">
        <v>5977</v>
      </c>
    </row>
    <row r="6007" spans="1:6" x14ac:dyDescent="0.25">
      <c r="A6007" t="s">
        <v>6276</v>
      </c>
      <c r="B6007" t="s">
        <v>2161</v>
      </c>
      <c r="C6007" t="s">
        <v>2162</v>
      </c>
      <c r="D6007" t="str">
        <f>HYPERLINK("http://service.sap.com/sap/support/notes/1474276","1474276")</f>
        <v>1474276</v>
      </c>
      <c r="E6007">
        <v>2</v>
      </c>
      <c r="F6007" t="s">
        <v>5978</v>
      </c>
    </row>
    <row r="6008" spans="1:6" x14ac:dyDescent="0.25">
      <c r="A6008" t="s">
        <v>6276</v>
      </c>
      <c r="B6008" t="s">
        <v>2161</v>
      </c>
      <c r="C6008" t="s">
        <v>2162</v>
      </c>
      <c r="D6008" t="str">
        <f>HYPERLINK("http://service.sap.com/sap/support/notes/1478870","1478870")</f>
        <v>1478870</v>
      </c>
      <c r="E6008">
        <v>3</v>
      </c>
      <c r="F6008" t="s">
        <v>5979</v>
      </c>
    </row>
    <row r="6009" spans="1:6" x14ac:dyDescent="0.25">
      <c r="A6009" t="s">
        <v>6276</v>
      </c>
      <c r="B6009" t="s">
        <v>2161</v>
      </c>
      <c r="C6009" t="s">
        <v>2162</v>
      </c>
      <c r="D6009" t="str">
        <f>HYPERLINK("http://service.sap.com/sap/support/notes/1479175","1479175")</f>
        <v>1479175</v>
      </c>
      <c r="E6009">
        <v>1</v>
      </c>
      <c r="F6009" t="s">
        <v>5980</v>
      </c>
    </row>
    <row r="6010" spans="1:6" x14ac:dyDescent="0.25">
      <c r="A6010" t="s">
        <v>6276</v>
      </c>
      <c r="B6010" t="s">
        <v>2161</v>
      </c>
      <c r="C6010" t="s">
        <v>2162</v>
      </c>
      <c r="D6010" t="str">
        <f>HYPERLINK("http://service.sap.com/sap/support/notes/1480444","1480444")</f>
        <v>1480444</v>
      </c>
      <c r="E6010">
        <v>2</v>
      </c>
      <c r="F6010" t="s">
        <v>5981</v>
      </c>
    </row>
    <row r="6011" spans="1:6" x14ac:dyDescent="0.25">
      <c r="A6011" t="s">
        <v>6276</v>
      </c>
      <c r="B6011" t="s">
        <v>2161</v>
      </c>
      <c r="C6011" t="s">
        <v>2162</v>
      </c>
      <c r="D6011" t="str">
        <f>HYPERLINK("http://service.sap.com/sap/support/notes/1482205","1482205")</f>
        <v>1482205</v>
      </c>
      <c r="E6011">
        <v>1</v>
      </c>
      <c r="F6011" t="s">
        <v>5982</v>
      </c>
    </row>
    <row r="6012" spans="1:6" x14ac:dyDescent="0.25">
      <c r="A6012" t="s">
        <v>6276</v>
      </c>
      <c r="B6012" t="s">
        <v>2161</v>
      </c>
      <c r="C6012" t="s">
        <v>2162</v>
      </c>
      <c r="D6012" t="str">
        <f>HYPERLINK("http://service.sap.com/sap/support/notes/1482814","1482814")</f>
        <v>1482814</v>
      </c>
      <c r="E6012">
        <v>2</v>
      </c>
      <c r="F6012" t="s">
        <v>5983</v>
      </c>
    </row>
    <row r="6013" spans="1:6" x14ac:dyDescent="0.25">
      <c r="A6013" t="s">
        <v>6276</v>
      </c>
      <c r="B6013" t="s">
        <v>2161</v>
      </c>
      <c r="C6013" t="s">
        <v>2162</v>
      </c>
      <c r="D6013" t="str">
        <f>HYPERLINK("http://service.sap.com/sap/support/notes/1483964","1483964")</f>
        <v>1483964</v>
      </c>
      <c r="E6013">
        <v>2</v>
      </c>
      <c r="F6013" t="s">
        <v>5984</v>
      </c>
    </row>
    <row r="6014" spans="1:6" x14ac:dyDescent="0.25">
      <c r="A6014" t="s">
        <v>6276</v>
      </c>
      <c r="B6014" t="s">
        <v>2161</v>
      </c>
      <c r="C6014" t="s">
        <v>2162</v>
      </c>
      <c r="D6014" t="str">
        <f>HYPERLINK("http://service.sap.com/sap/support/notes/1488524","1488524")</f>
        <v>1488524</v>
      </c>
      <c r="E6014">
        <v>1</v>
      </c>
      <c r="F6014" t="s">
        <v>5985</v>
      </c>
    </row>
    <row r="6015" spans="1:6" x14ac:dyDescent="0.25">
      <c r="A6015" t="s">
        <v>6276</v>
      </c>
      <c r="B6015" t="s">
        <v>2161</v>
      </c>
      <c r="C6015" t="s">
        <v>2162</v>
      </c>
      <c r="D6015" t="str">
        <f>HYPERLINK("http://service.sap.com/sap/support/notes/1488528","1488528")</f>
        <v>1488528</v>
      </c>
      <c r="E6015">
        <v>1</v>
      </c>
      <c r="F6015" t="s">
        <v>5986</v>
      </c>
    </row>
    <row r="6016" spans="1:6" x14ac:dyDescent="0.25">
      <c r="A6016" t="s">
        <v>6276</v>
      </c>
      <c r="B6016" t="s">
        <v>2161</v>
      </c>
      <c r="C6016" t="s">
        <v>2162</v>
      </c>
      <c r="D6016" t="str">
        <f>HYPERLINK("http://service.sap.com/sap/support/notes/1491807","1491807")</f>
        <v>1491807</v>
      </c>
      <c r="E6016">
        <v>1</v>
      </c>
      <c r="F6016" t="s">
        <v>5987</v>
      </c>
    </row>
    <row r="6017" spans="1:6" x14ac:dyDescent="0.25">
      <c r="A6017" t="s">
        <v>6276</v>
      </c>
      <c r="B6017" t="s">
        <v>4105</v>
      </c>
      <c r="C6017" t="s">
        <v>4106</v>
      </c>
      <c r="D6017" t="str">
        <f>HYPERLINK("http://service.sap.com/sap/support/notes/1441532","1441532")</f>
        <v>1441532</v>
      </c>
      <c r="E6017">
        <v>2</v>
      </c>
      <c r="F6017" t="s">
        <v>5635</v>
      </c>
    </row>
    <row r="6018" spans="1:6" x14ac:dyDescent="0.25">
      <c r="A6018" t="s">
        <v>6276</v>
      </c>
      <c r="B6018" t="s">
        <v>4105</v>
      </c>
      <c r="C6018" t="s">
        <v>4106</v>
      </c>
      <c r="D6018" t="str">
        <f>HYPERLINK("http://service.sap.com/sap/support/notes/1442994","1442994")</f>
        <v>1442994</v>
      </c>
      <c r="E6018">
        <v>2</v>
      </c>
      <c r="F6018" t="s">
        <v>5988</v>
      </c>
    </row>
    <row r="6019" spans="1:6" x14ac:dyDescent="0.25">
      <c r="A6019" t="s">
        <v>6276</v>
      </c>
      <c r="B6019" t="s">
        <v>4105</v>
      </c>
      <c r="C6019" t="s">
        <v>4106</v>
      </c>
      <c r="D6019" t="str">
        <f>HYPERLINK("http://service.sap.com/sap/support/notes/1460383","1460383")</f>
        <v>1460383</v>
      </c>
      <c r="E6019">
        <v>1</v>
      </c>
      <c r="F6019" t="s">
        <v>5989</v>
      </c>
    </row>
    <row r="6020" spans="1:6" x14ac:dyDescent="0.25">
      <c r="A6020" t="s">
        <v>6276</v>
      </c>
      <c r="B6020" t="s">
        <v>4105</v>
      </c>
      <c r="C6020" t="s">
        <v>4106</v>
      </c>
      <c r="D6020" t="str">
        <f>HYPERLINK("http://service.sap.com/sap/support/notes/1460869","1460869")</f>
        <v>1460869</v>
      </c>
      <c r="E6020">
        <v>1</v>
      </c>
      <c r="F6020" t="s">
        <v>5990</v>
      </c>
    </row>
    <row r="6021" spans="1:6" x14ac:dyDescent="0.25">
      <c r="A6021" t="s">
        <v>6276</v>
      </c>
      <c r="B6021" t="s">
        <v>4105</v>
      </c>
      <c r="C6021" t="s">
        <v>4106</v>
      </c>
      <c r="D6021" t="str">
        <f>HYPERLINK("http://service.sap.com/sap/support/notes/1461406","1461406")</f>
        <v>1461406</v>
      </c>
      <c r="E6021">
        <v>2</v>
      </c>
      <c r="F6021" t="s">
        <v>5991</v>
      </c>
    </row>
    <row r="6022" spans="1:6" x14ac:dyDescent="0.25">
      <c r="A6022" t="s">
        <v>6276</v>
      </c>
      <c r="B6022" t="s">
        <v>4105</v>
      </c>
      <c r="C6022" t="s">
        <v>4106</v>
      </c>
      <c r="D6022" t="str">
        <f>HYPERLINK("http://service.sap.com/sap/support/notes/1464376","1464376")</f>
        <v>1464376</v>
      </c>
      <c r="E6022">
        <v>1</v>
      </c>
      <c r="F6022" t="s">
        <v>5992</v>
      </c>
    </row>
    <row r="6023" spans="1:6" x14ac:dyDescent="0.25">
      <c r="A6023" t="s">
        <v>6276</v>
      </c>
      <c r="B6023" t="s">
        <v>4105</v>
      </c>
      <c r="C6023" t="s">
        <v>4106</v>
      </c>
      <c r="D6023" t="str">
        <f>HYPERLINK("http://service.sap.com/sap/support/notes/1464484","1464484")</f>
        <v>1464484</v>
      </c>
      <c r="E6023">
        <v>1</v>
      </c>
      <c r="F6023" t="s">
        <v>5993</v>
      </c>
    </row>
    <row r="6024" spans="1:6" x14ac:dyDescent="0.25">
      <c r="A6024" t="s">
        <v>6276</v>
      </c>
      <c r="B6024" t="s">
        <v>4105</v>
      </c>
      <c r="C6024" t="s">
        <v>4106</v>
      </c>
      <c r="D6024" t="str">
        <f>HYPERLINK("http://service.sap.com/sap/support/notes/1464490","1464490")</f>
        <v>1464490</v>
      </c>
      <c r="E6024">
        <v>5</v>
      </c>
      <c r="F6024" t="s">
        <v>5994</v>
      </c>
    </row>
    <row r="6025" spans="1:6" x14ac:dyDescent="0.25">
      <c r="A6025" t="s">
        <v>6276</v>
      </c>
      <c r="B6025" t="s">
        <v>4105</v>
      </c>
      <c r="C6025" t="s">
        <v>4106</v>
      </c>
      <c r="D6025" t="str">
        <f>HYPERLINK("http://service.sap.com/sap/support/notes/1469537","1469537")</f>
        <v>1469537</v>
      </c>
      <c r="E6025">
        <v>2</v>
      </c>
      <c r="F6025" t="s">
        <v>5995</v>
      </c>
    </row>
    <row r="6026" spans="1:6" x14ac:dyDescent="0.25">
      <c r="A6026" t="s">
        <v>6276</v>
      </c>
      <c r="B6026" t="s">
        <v>4105</v>
      </c>
      <c r="C6026" t="s">
        <v>4106</v>
      </c>
      <c r="D6026" t="str">
        <f>HYPERLINK("http://service.sap.com/sap/support/notes/1474616","1474616")</f>
        <v>1474616</v>
      </c>
      <c r="E6026">
        <v>2</v>
      </c>
      <c r="F6026" t="s">
        <v>5996</v>
      </c>
    </row>
    <row r="6027" spans="1:6" x14ac:dyDescent="0.25">
      <c r="A6027" t="s">
        <v>6276</v>
      </c>
      <c r="B6027" t="s">
        <v>4105</v>
      </c>
      <c r="C6027" t="s">
        <v>4106</v>
      </c>
      <c r="D6027" t="str">
        <f>HYPERLINK("http://service.sap.com/sap/support/notes/1477741","1477741")</f>
        <v>1477741</v>
      </c>
      <c r="E6027">
        <v>2</v>
      </c>
      <c r="F6027" t="s">
        <v>5997</v>
      </c>
    </row>
    <row r="6028" spans="1:6" x14ac:dyDescent="0.25">
      <c r="A6028" t="s">
        <v>6276</v>
      </c>
      <c r="B6028" t="s">
        <v>4105</v>
      </c>
      <c r="C6028" t="s">
        <v>4106</v>
      </c>
      <c r="D6028" t="str">
        <f>HYPERLINK("http://service.sap.com/sap/support/notes/1478032","1478032")</f>
        <v>1478032</v>
      </c>
      <c r="E6028">
        <v>2</v>
      </c>
      <c r="F6028" t="s">
        <v>5998</v>
      </c>
    </row>
    <row r="6029" spans="1:6" x14ac:dyDescent="0.25">
      <c r="A6029" t="s">
        <v>6276</v>
      </c>
      <c r="B6029" t="s">
        <v>4105</v>
      </c>
      <c r="C6029" t="s">
        <v>4106</v>
      </c>
      <c r="D6029" t="str">
        <f>HYPERLINK("http://service.sap.com/sap/support/notes/1478805","1478805")</f>
        <v>1478805</v>
      </c>
      <c r="E6029">
        <v>1</v>
      </c>
      <c r="F6029" t="s">
        <v>5999</v>
      </c>
    </row>
    <row r="6030" spans="1:6" x14ac:dyDescent="0.25">
      <c r="A6030" t="s">
        <v>6276</v>
      </c>
      <c r="B6030" t="s">
        <v>4105</v>
      </c>
      <c r="C6030" t="s">
        <v>4106</v>
      </c>
      <c r="D6030" t="str">
        <f>HYPERLINK("http://service.sap.com/sap/support/notes/1481295","1481295")</f>
        <v>1481295</v>
      </c>
      <c r="E6030">
        <v>1</v>
      </c>
      <c r="F6030" t="s">
        <v>6000</v>
      </c>
    </row>
    <row r="6031" spans="1:6" x14ac:dyDescent="0.25">
      <c r="A6031" t="s">
        <v>6276</v>
      </c>
      <c r="B6031" t="s">
        <v>4105</v>
      </c>
      <c r="C6031" t="s">
        <v>4106</v>
      </c>
      <c r="D6031" t="str">
        <f>HYPERLINK("http://service.sap.com/sap/support/notes/1481667","1481667")</f>
        <v>1481667</v>
      </c>
      <c r="E6031">
        <v>3</v>
      </c>
      <c r="F6031" t="s">
        <v>6001</v>
      </c>
    </row>
    <row r="6032" spans="1:6" x14ac:dyDescent="0.25">
      <c r="A6032" t="s">
        <v>6276</v>
      </c>
      <c r="B6032" t="s">
        <v>4105</v>
      </c>
      <c r="C6032" t="s">
        <v>4106</v>
      </c>
      <c r="D6032" t="str">
        <f>HYPERLINK("http://service.sap.com/sap/support/notes/1482649","1482649")</f>
        <v>1482649</v>
      </c>
      <c r="E6032">
        <v>2</v>
      </c>
      <c r="F6032" t="s">
        <v>6002</v>
      </c>
    </row>
    <row r="6033" spans="1:6" x14ac:dyDescent="0.25">
      <c r="A6033" t="s">
        <v>6276</v>
      </c>
      <c r="B6033" t="s">
        <v>4105</v>
      </c>
      <c r="C6033" t="s">
        <v>4106</v>
      </c>
      <c r="D6033" t="str">
        <f>HYPERLINK("http://service.sap.com/sap/support/notes/1482743","1482743")</f>
        <v>1482743</v>
      </c>
      <c r="E6033">
        <v>1</v>
      </c>
      <c r="F6033" t="s">
        <v>6003</v>
      </c>
    </row>
    <row r="6034" spans="1:6" x14ac:dyDescent="0.25">
      <c r="A6034" t="s">
        <v>6276</v>
      </c>
      <c r="B6034" t="s">
        <v>4105</v>
      </c>
      <c r="C6034" t="s">
        <v>4106</v>
      </c>
      <c r="D6034" t="str">
        <f>HYPERLINK("http://service.sap.com/sap/support/notes/1483602","1483602")</f>
        <v>1483602</v>
      </c>
      <c r="E6034">
        <v>2</v>
      </c>
      <c r="F6034" t="s">
        <v>6004</v>
      </c>
    </row>
    <row r="6035" spans="1:6" x14ac:dyDescent="0.25">
      <c r="A6035" t="s">
        <v>6276</v>
      </c>
      <c r="B6035" t="s">
        <v>4105</v>
      </c>
      <c r="C6035" t="s">
        <v>4106</v>
      </c>
      <c r="D6035" t="str">
        <f>HYPERLINK("http://service.sap.com/sap/support/notes/1483924","1483924")</f>
        <v>1483924</v>
      </c>
      <c r="E6035">
        <v>1</v>
      </c>
      <c r="F6035" t="s">
        <v>6005</v>
      </c>
    </row>
    <row r="6036" spans="1:6" x14ac:dyDescent="0.25">
      <c r="A6036" t="s">
        <v>6276</v>
      </c>
      <c r="B6036" t="s">
        <v>4105</v>
      </c>
      <c r="C6036" t="s">
        <v>4106</v>
      </c>
      <c r="D6036" t="str">
        <f>HYPERLINK("http://service.sap.com/sap/support/notes/1484172","1484172")</f>
        <v>1484172</v>
      </c>
      <c r="E6036">
        <v>2</v>
      </c>
      <c r="F6036" t="s">
        <v>6006</v>
      </c>
    </row>
    <row r="6037" spans="1:6" x14ac:dyDescent="0.25">
      <c r="A6037" t="s">
        <v>6276</v>
      </c>
      <c r="B6037" t="s">
        <v>4105</v>
      </c>
      <c r="C6037" t="s">
        <v>4106</v>
      </c>
      <c r="D6037" t="str">
        <f>HYPERLINK("http://service.sap.com/sap/support/notes/1485287","1485287")</f>
        <v>1485287</v>
      </c>
      <c r="E6037">
        <v>1</v>
      </c>
      <c r="F6037" t="s">
        <v>6007</v>
      </c>
    </row>
    <row r="6038" spans="1:6" x14ac:dyDescent="0.25">
      <c r="A6038" t="s">
        <v>6276</v>
      </c>
      <c r="B6038" t="s">
        <v>4105</v>
      </c>
      <c r="C6038" t="s">
        <v>4106</v>
      </c>
      <c r="D6038" t="str">
        <f>HYPERLINK("http://service.sap.com/sap/support/notes/1485354","1485354")</f>
        <v>1485354</v>
      </c>
      <c r="E6038">
        <v>1</v>
      </c>
      <c r="F6038" t="s">
        <v>6008</v>
      </c>
    </row>
    <row r="6039" spans="1:6" x14ac:dyDescent="0.25">
      <c r="A6039" t="s">
        <v>6276</v>
      </c>
      <c r="B6039" t="s">
        <v>4105</v>
      </c>
      <c r="C6039" t="s">
        <v>4106</v>
      </c>
      <c r="D6039" t="str">
        <f>HYPERLINK("http://service.sap.com/sap/support/notes/1489894","1489894")</f>
        <v>1489894</v>
      </c>
      <c r="E6039">
        <v>1</v>
      </c>
      <c r="F6039" t="s">
        <v>6009</v>
      </c>
    </row>
    <row r="6040" spans="1:6" x14ac:dyDescent="0.25">
      <c r="A6040" t="s">
        <v>6276</v>
      </c>
      <c r="B6040" t="s">
        <v>4109</v>
      </c>
      <c r="C6040" t="s">
        <v>4110</v>
      </c>
      <c r="D6040" t="str">
        <f>HYPERLINK("http://service.sap.com/sap/support/notes/1460345","1460345")</f>
        <v>1460345</v>
      </c>
      <c r="E6040">
        <v>1</v>
      </c>
      <c r="F6040" t="s">
        <v>6010</v>
      </c>
    </row>
    <row r="6041" spans="1:6" x14ac:dyDescent="0.25">
      <c r="A6041" t="s">
        <v>6276</v>
      </c>
      <c r="B6041" t="s">
        <v>4109</v>
      </c>
      <c r="C6041" t="s">
        <v>4110</v>
      </c>
      <c r="D6041" t="str">
        <f>HYPERLINK("http://service.sap.com/sap/support/notes/1462801","1462801")</f>
        <v>1462801</v>
      </c>
      <c r="E6041">
        <v>2</v>
      </c>
      <c r="F6041" t="s">
        <v>6011</v>
      </c>
    </row>
    <row r="6042" spans="1:6" x14ac:dyDescent="0.25">
      <c r="A6042" t="s">
        <v>6276</v>
      </c>
      <c r="B6042" t="s">
        <v>4109</v>
      </c>
      <c r="C6042" t="s">
        <v>4110</v>
      </c>
      <c r="D6042" t="str">
        <f>HYPERLINK("http://service.sap.com/sap/support/notes/1462977","1462977")</f>
        <v>1462977</v>
      </c>
      <c r="E6042">
        <v>1</v>
      </c>
      <c r="F6042" t="s">
        <v>6012</v>
      </c>
    </row>
    <row r="6043" spans="1:6" x14ac:dyDescent="0.25">
      <c r="A6043" t="s">
        <v>6276</v>
      </c>
      <c r="B6043" t="s">
        <v>4260</v>
      </c>
      <c r="C6043" t="s">
        <v>4261</v>
      </c>
      <c r="D6043" t="str">
        <f>HYPERLINK("http://service.sap.com/sap/support/notes/1465553","1465553")</f>
        <v>1465553</v>
      </c>
      <c r="E6043">
        <v>1</v>
      </c>
      <c r="F6043" t="s">
        <v>6013</v>
      </c>
    </row>
    <row r="6044" spans="1:6" x14ac:dyDescent="0.25">
      <c r="A6044" t="s">
        <v>6276</v>
      </c>
      <c r="B6044" t="s">
        <v>4260</v>
      </c>
      <c r="C6044" t="s">
        <v>4261</v>
      </c>
      <c r="D6044" t="str">
        <f>HYPERLINK("http://service.sap.com/sap/support/notes/1468124","1468124")</f>
        <v>1468124</v>
      </c>
      <c r="E6044">
        <v>1</v>
      </c>
      <c r="F6044" t="s">
        <v>6014</v>
      </c>
    </row>
    <row r="6045" spans="1:6" x14ac:dyDescent="0.25">
      <c r="A6045" t="s">
        <v>6276</v>
      </c>
      <c r="B6045" t="s">
        <v>4260</v>
      </c>
      <c r="C6045" t="s">
        <v>4261</v>
      </c>
      <c r="D6045" t="str">
        <f>HYPERLINK("http://service.sap.com/sap/support/notes/1474387","1474387")</f>
        <v>1474387</v>
      </c>
      <c r="E6045">
        <v>2</v>
      </c>
      <c r="F6045" t="s">
        <v>6015</v>
      </c>
    </row>
    <row r="6046" spans="1:6" x14ac:dyDescent="0.25">
      <c r="A6046" t="s">
        <v>6276</v>
      </c>
      <c r="B6046" t="s">
        <v>4260</v>
      </c>
      <c r="C6046" t="s">
        <v>4261</v>
      </c>
      <c r="D6046" t="str">
        <f>HYPERLINK("http://service.sap.com/sap/support/notes/1476257","1476257")</f>
        <v>1476257</v>
      </c>
      <c r="E6046">
        <v>1</v>
      </c>
      <c r="F6046" t="s">
        <v>6016</v>
      </c>
    </row>
    <row r="6047" spans="1:6" x14ac:dyDescent="0.25">
      <c r="A6047" t="s">
        <v>6276</v>
      </c>
      <c r="B6047" t="s">
        <v>4260</v>
      </c>
      <c r="C6047" t="s">
        <v>4261</v>
      </c>
      <c r="D6047" t="str">
        <f>HYPERLINK("http://service.sap.com/sap/support/notes/1489767","1489767")</f>
        <v>1489767</v>
      </c>
      <c r="E6047">
        <v>1</v>
      </c>
      <c r="F6047" t="s">
        <v>6017</v>
      </c>
    </row>
    <row r="6048" spans="1:6" x14ac:dyDescent="0.25">
      <c r="A6048" t="s">
        <v>6276</v>
      </c>
      <c r="B6048" t="s">
        <v>4260</v>
      </c>
      <c r="C6048" t="s">
        <v>4261</v>
      </c>
      <c r="D6048" t="str">
        <f>HYPERLINK("http://service.sap.com/sap/support/notes/1491842","1491842")</f>
        <v>1491842</v>
      </c>
      <c r="E6048">
        <v>1</v>
      </c>
      <c r="F6048" t="s">
        <v>6018</v>
      </c>
    </row>
    <row r="6049" spans="1:6" x14ac:dyDescent="0.25">
      <c r="A6049" t="s">
        <v>6276</v>
      </c>
      <c r="B6049" t="s">
        <v>4112</v>
      </c>
      <c r="C6049" t="s">
        <v>4113</v>
      </c>
      <c r="D6049" t="str">
        <f>HYPERLINK("http://service.sap.com/sap/support/notes/1393835","1393835")</f>
        <v>1393835</v>
      </c>
      <c r="E6049">
        <v>3</v>
      </c>
      <c r="F6049" t="s">
        <v>6019</v>
      </c>
    </row>
    <row r="6050" spans="1:6" x14ac:dyDescent="0.25">
      <c r="A6050" t="s">
        <v>6276</v>
      </c>
      <c r="B6050" t="s">
        <v>4112</v>
      </c>
      <c r="C6050" t="s">
        <v>4113</v>
      </c>
      <c r="D6050" t="str">
        <f>HYPERLINK("http://service.sap.com/sap/support/notes/1417739","1417739")</f>
        <v>1417739</v>
      </c>
      <c r="E6050">
        <v>3</v>
      </c>
      <c r="F6050" t="s">
        <v>6020</v>
      </c>
    </row>
    <row r="6051" spans="1:6" x14ac:dyDescent="0.25">
      <c r="A6051" t="s">
        <v>6276</v>
      </c>
      <c r="B6051" t="s">
        <v>4112</v>
      </c>
      <c r="C6051" t="s">
        <v>4113</v>
      </c>
      <c r="D6051" t="str">
        <f>HYPERLINK("http://service.sap.com/sap/support/notes/1454751","1454751")</f>
        <v>1454751</v>
      </c>
      <c r="E6051">
        <v>2</v>
      </c>
      <c r="F6051" t="s">
        <v>6021</v>
      </c>
    </row>
    <row r="6052" spans="1:6" x14ac:dyDescent="0.25">
      <c r="A6052" t="s">
        <v>6276</v>
      </c>
      <c r="B6052" t="s">
        <v>4112</v>
      </c>
      <c r="C6052" t="s">
        <v>4113</v>
      </c>
      <c r="D6052" t="str">
        <f>HYPERLINK("http://service.sap.com/sap/support/notes/1458348","1458348")</f>
        <v>1458348</v>
      </c>
      <c r="E6052">
        <v>2</v>
      </c>
      <c r="F6052" t="s">
        <v>6022</v>
      </c>
    </row>
    <row r="6053" spans="1:6" x14ac:dyDescent="0.25">
      <c r="A6053" t="s">
        <v>6276</v>
      </c>
      <c r="B6053" t="s">
        <v>4112</v>
      </c>
      <c r="C6053" t="s">
        <v>4113</v>
      </c>
      <c r="D6053" t="str">
        <f>HYPERLINK("http://service.sap.com/sap/support/notes/1472158","1472158")</f>
        <v>1472158</v>
      </c>
      <c r="E6053">
        <v>1</v>
      </c>
      <c r="F6053" t="s">
        <v>6023</v>
      </c>
    </row>
    <row r="6054" spans="1:6" x14ac:dyDescent="0.25">
      <c r="A6054" t="s">
        <v>6276</v>
      </c>
      <c r="B6054" t="s">
        <v>4112</v>
      </c>
      <c r="C6054" t="s">
        <v>4113</v>
      </c>
      <c r="D6054" t="str">
        <f>HYPERLINK("http://service.sap.com/sap/support/notes/1487783","1487783")</f>
        <v>1487783</v>
      </c>
      <c r="E6054">
        <v>1</v>
      </c>
      <c r="F6054" t="s">
        <v>4114</v>
      </c>
    </row>
    <row r="6055" spans="1:6" x14ac:dyDescent="0.25">
      <c r="A6055" t="s">
        <v>6276</v>
      </c>
      <c r="B6055" t="s">
        <v>5648</v>
      </c>
      <c r="C6055" t="s">
        <v>5649</v>
      </c>
    </row>
    <row r="6056" spans="1:6" x14ac:dyDescent="0.25">
      <c r="A6056" t="s">
        <v>6276</v>
      </c>
      <c r="B6056" t="s">
        <v>6024</v>
      </c>
      <c r="C6056" t="s">
        <v>6025</v>
      </c>
      <c r="D6056" t="str">
        <f>HYPERLINK("http://service.sap.com/sap/support/notes/1490240","1490240")</f>
        <v>1490240</v>
      </c>
      <c r="E6056">
        <v>1</v>
      </c>
      <c r="F6056" t="s">
        <v>6026</v>
      </c>
    </row>
    <row r="6057" spans="1:6" x14ac:dyDescent="0.25">
      <c r="A6057" t="s">
        <v>6276</v>
      </c>
      <c r="B6057" t="s">
        <v>6024</v>
      </c>
      <c r="C6057" t="s">
        <v>6025</v>
      </c>
      <c r="D6057" t="str">
        <f>HYPERLINK("http://service.sap.com/sap/support/notes/1491890","1491890")</f>
        <v>1491890</v>
      </c>
      <c r="E6057">
        <v>1</v>
      </c>
      <c r="F6057" t="s">
        <v>6027</v>
      </c>
    </row>
    <row r="6058" spans="1:6" x14ac:dyDescent="0.25">
      <c r="A6058" t="s">
        <v>6276</v>
      </c>
      <c r="B6058" t="s">
        <v>5650</v>
      </c>
      <c r="C6058" t="s">
        <v>5651</v>
      </c>
      <c r="D6058" t="str">
        <f>HYPERLINK("http://service.sap.com/sap/support/notes/1462752","1462752")</f>
        <v>1462752</v>
      </c>
      <c r="E6058">
        <v>1</v>
      </c>
      <c r="F6058" t="s">
        <v>6028</v>
      </c>
    </row>
    <row r="6059" spans="1:6" x14ac:dyDescent="0.25">
      <c r="A6059" t="s">
        <v>6276</v>
      </c>
      <c r="B6059" t="s">
        <v>5650</v>
      </c>
      <c r="C6059" t="s">
        <v>5651</v>
      </c>
      <c r="D6059" t="str">
        <f>HYPERLINK("http://service.sap.com/sap/support/notes/1466278","1466278")</f>
        <v>1466278</v>
      </c>
      <c r="E6059">
        <v>1</v>
      </c>
      <c r="F6059" t="s">
        <v>6029</v>
      </c>
    </row>
    <row r="6060" spans="1:6" x14ac:dyDescent="0.25">
      <c r="A6060" t="s">
        <v>6276</v>
      </c>
      <c r="B6060" t="s">
        <v>5650</v>
      </c>
      <c r="C6060" t="s">
        <v>5651</v>
      </c>
      <c r="D6060" t="str">
        <f>HYPERLINK("http://service.sap.com/sap/support/notes/1473366","1473366")</f>
        <v>1473366</v>
      </c>
      <c r="E6060">
        <v>1</v>
      </c>
      <c r="F6060" t="s">
        <v>6030</v>
      </c>
    </row>
    <row r="6061" spans="1:6" x14ac:dyDescent="0.25">
      <c r="A6061" t="s">
        <v>6276</v>
      </c>
      <c r="B6061" t="s">
        <v>5650</v>
      </c>
      <c r="C6061" t="s">
        <v>5651</v>
      </c>
      <c r="D6061" t="str">
        <f>HYPERLINK("http://service.sap.com/sap/support/notes/1474230","1474230")</f>
        <v>1474230</v>
      </c>
      <c r="E6061">
        <v>1</v>
      </c>
      <c r="F6061" t="s">
        <v>6031</v>
      </c>
    </row>
    <row r="6062" spans="1:6" x14ac:dyDescent="0.25">
      <c r="A6062" t="s">
        <v>6276</v>
      </c>
      <c r="B6062" t="s">
        <v>5652</v>
      </c>
      <c r="C6062" t="s">
        <v>5653</v>
      </c>
      <c r="D6062" t="str">
        <f>HYPERLINK("http://service.sap.com/sap/support/notes/1466376","1466376")</f>
        <v>1466376</v>
      </c>
      <c r="E6062">
        <v>2</v>
      </c>
      <c r="F6062" t="s">
        <v>6032</v>
      </c>
    </row>
    <row r="6063" spans="1:6" x14ac:dyDescent="0.25">
      <c r="A6063" t="s">
        <v>6276</v>
      </c>
      <c r="B6063" t="s">
        <v>5652</v>
      </c>
      <c r="C6063" t="s">
        <v>5653</v>
      </c>
      <c r="D6063" t="str">
        <f>HYPERLINK("http://service.sap.com/sap/support/notes/1467235","1467235")</f>
        <v>1467235</v>
      </c>
      <c r="E6063">
        <v>1</v>
      </c>
      <c r="F6063" t="s">
        <v>6033</v>
      </c>
    </row>
    <row r="6064" spans="1:6" x14ac:dyDescent="0.25">
      <c r="A6064" t="s">
        <v>6276</v>
      </c>
      <c r="B6064" t="s">
        <v>5652</v>
      </c>
      <c r="C6064" t="s">
        <v>5653</v>
      </c>
      <c r="D6064" t="str">
        <f>HYPERLINK("http://service.sap.com/sap/support/notes/1474711","1474711")</f>
        <v>1474711</v>
      </c>
      <c r="E6064">
        <v>1</v>
      </c>
      <c r="F6064" t="s">
        <v>6034</v>
      </c>
    </row>
    <row r="6065" spans="1:6" x14ac:dyDescent="0.25">
      <c r="A6065" t="s">
        <v>6276</v>
      </c>
      <c r="B6065" t="s">
        <v>5652</v>
      </c>
      <c r="C6065" t="s">
        <v>5653</v>
      </c>
      <c r="D6065" t="str">
        <f>HYPERLINK("http://service.sap.com/sap/support/notes/1481049","1481049")</f>
        <v>1481049</v>
      </c>
      <c r="E6065">
        <v>1</v>
      </c>
      <c r="F6065" t="s">
        <v>6035</v>
      </c>
    </row>
    <row r="6066" spans="1:6" x14ac:dyDescent="0.25">
      <c r="A6066" t="s">
        <v>6276</v>
      </c>
      <c r="B6066" t="s">
        <v>5652</v>
      </c>
      <c r="C6066" t="s">
        <v>5653</v>
      </c>
      <c r="D6066" t="str">
        <f>HYPERLINK("http://service.sap.com/sap/support/notes/1492262","1492262")</f>
        <v>1492262</v>
      </c>
      <c r="E6066">
        <v>1</v>
      </c>
      <c r="F6066" t="s">
        <v>6036</v>
      </c>
    </row>
    <row r="6067" spans="1:6" x14ac:dyDescent="0.25">
      <c r="A6067" t="s">
        <v>6276</v>
      </c>
      <c r="B6067" t="s">
        <v>5656</v>
      </c>
      <c r="C6067" t="s">
        <v>5657</v>
      </c>
      <c r="D6067" t="str">
        <f>HYPERLINK("http://service.sap.com/sap/support/notes/1059392","1059392")</f>
        <v>1059392</v>
      </c>
      <c r="E6067">
        <v>2</v>
      </c>
      <c r="F6067" t="s">
        <v>6037</v>
      </c>
    </row>
    <row r="6068" spans="1:6" x14ac:dyDescent="0.25">
      <c r="A6068" t="s">
        <v>6276</v>
      </c>
      <c r="B6068" t="s">
        <v>33</v>
      </c>
      <c r="C6068" t="s">
        <v>34</v>
      </c>
      <c r="D6068" t="str">
        <f>HYPERLINK("http://service.sap.com/sap/support/notes/1443661","1443661")</f>
        <v>1443661</v>
      </c>
      <c r="E6068">
        <v>1</v>
      </c>
      <c r="F6068" t="s">
        <v>646</v>
      </c>
    </row>
    <row r="6069" spans="1:6" x14ac:dyDescent="0.25">
      <c r="A6069" t="s">
        <v>6276</v>
      </c>
      <c r="B6069" t="s">
        <v>38</v>
      </c>
      <c r="C6069" t="s">
        <v>39</v>
      </c>
    </row>
    <row r="6070" spans="1:6" x14ac:dyDescent="0.25">
      <c r="A6070" t="s">
        <v>6276</v>
      </c>
      <c r="B6070" t="s">
        <v>665</v>
      </c>
      <c r="C6070" t="s">
        <v>134</v>
      </c>
      <c r="D6070" t="str">
        <f>HYPERLINK("http://service.sap.com/sap/support/notes/1480963","1480963")</f>
        <v>1480963</v>
      </c>
      <c r="E6070">
        <v>2</v>
      </c>
      <c r="F6070" t="s">
        <v>6038</v>
      </c>
    </row>
    <row r="6071" spans="1:6" x14ac:dyDescent="0.25">
      <c r="A6071" t="s">
        <v>6276</v>
      </c>
      <c r="B6071" t="s">
        <v>6039</v>
      </c>
      <c r="C6071" t="s">
        <v>202</v>
      </c>
      <c r="D6071" t="str">
        <f>HYPERLINK("http://service.sap.com/sap/support/notes/1489678","1489678")</f>
        <v>1489678</v>
      </c>
      <c r="E6071">
        <v>1</v>
      </c>
      <c r="F6071" t="s">
        <v>6040</v>
      </c>
    </row>
    <row r="6072" spans="1:6" x14ac:dyDescent="0.25">
      <c r="A6072" t="s">
        <v>6276</v>
      </c>
      <c r="B6072" t="s">
        <v>51</v>
      </c>
      <c r="C6072" t="s">
        <v>52</v>
      </c>
      <c r="D6072" t="str">
        <f>HYPERLINK("http://service.sap.com/sap/support/notes/1456215","1456215")</f>
        <v>1456215</v>
      </c>
      <c r="E6072">
        <v>2</v>
      </c>
      <c r="F6072" t="s">
        <v>6041</v>
      </c>
    </row>
    <row r="6073" spans="1:6" x14ac:dyDescent="0.25">
      <c r="A6073" t="s">
        <v>6276</v>
      </c>
      <c r="B6073" t="s">
        <v>57</v>
      </c>
      <c r="C6073" t="s">
        <v>58</v>
      </c>
    </row>
    <row r="6074" spans="1:6" x14ac:dyDescent="0.25">
      <c r="A6074" t="s">
        <v>6276</v>
      </c>
      <c r="B6074" t="s">
        <v>59</v>
      </c>
      <c r="C6074" t="s">
        <v>60</v>
      </c>
      <c r="D6074" t="str">
        <f>HYPERLINK("http://service.sap.com/sap/support/notes/1461254","1461254")</f>
        <v>1461254</v>
      </c>
      <c r="E6074">
        <v>1</v>
      </c>
      <c r="F6074" t="s">
        <v>6042</v>
      </c>
    </row>
    <row r="6075" spans="1:6" x14ac:dyDescent="0.25">
      <c r="A6075" t="s">
        <v>6276</v>
      </c>
      <c r="B6075" t="s">
        <v>59</v>
      </c>
      <c r="C6075" t="s">
        <v>60</v>
      </c>
      <c r="D6075" t="str">
        <f>HYPERLINK("http://service.sap.com/sap/support/notes/1461258","1461258")</f>
        <v>1461258</v>
      </c>
      <c r="E6075">
        <v>1</v>
      </c>
      <c r="F6075" t="s">
        <v>6043</v>
      </c>
    </row>
    <row r="6076" spans="1:6" x14ac:dyDescent="0.25">
      <c r="A6076" t="s">
        <v>6276</v>
      </c>
      <c r="B6076" t="s">
        <v>59</v>
      </c>
      <c r="C6076" t="s">
        <v>60</v>
      </c>
      <c r="D6076" t="str">
        <f>HYPERLINK("http://service.sap.com/sap/support/notes/1463435","1463435")</f>
        <v>1463435</v>
      </c>
      <c r="E6076">
        <v>1</v>
      </c>
      <c r="F6076" t="s">
        <v>6044</v>
      </c>
    </row>
    <row r="6077" spans="1:6" x14ac:dyDescent="0.25">
      <c r="A6077" t="s">
        <v>6276</v>
      </c>
      <c r="B6077" t="s">
        <v>59</v>
      </c>
      <c r="C6077" t="s">
        <v>60</v>
      </c>
      <c r="D6077" t="str">
        <f>HYPERLINK("http://service.sap.com/sap/support/notes/1465732","1465732")</f>
        <v>1465732</v>
      </c>
      <c r="E6077">
        <v>1</v>
      </c>
      <c r="F6077" t="s">
        <v>6045</v>
      </c>
    </row>
    <row r="6078" spans="1:6" x14ac:dyDescent="0.25">
      <c r="A6078" t="s">
        <v>6276</v>
      </c>
      <c r="B6078" t="s">
        <v>694</v>
      </c>
      <c r="C6078" t="s">
        <v>695</v>
      </c>
      <c r="D6078" t="str">
        <f>HYPERLINK("http://service.sap.com/sap/support/notes/1478206","1478206")</f>
        <v>1478206</v>
      </c>
      <c r="E6078">
        <v>1</v>
      </c>
      <c r="F6078" t="s">
        <v>6046</v>
      </c>
    </row>
    <row r="6079" spans="1:6" x14ac:dyDescent="0.25">
      <c r="A6079" t="s">
        <v>6276</v>
      </c>
      <c r="B6079" t="s">
        <v>694</v>
      </c>
      <c r="C6079" t="s">
        <v>695</v>
      </c>
      <c r="D6079" t="str">
        <f>HYPERLINK("http://service.sap.com/sap/support/notes/1488972","1488972")</f>
        <v>1488972</v>
      </c>
      <c r="E6079">
        <v>1</v>
      </c>
      <c r="F6079" t="s">
        <v>6047</v>
      </c>
    </row>
    <row r="6080" spans="1:6" x14ac:dyDescent="0.25">
      <c r="A6080" t="s">
        <v>6276</v>
      </c>
      <c r="B6080" t="s">
        <v>6048</v>
      </c>
      <c r="C6080" t="s">
        <v>359</v>
      </c>
      <c r="D6080" t="str">
        <f>HYPERLINK("http://service.sap.com/sap/support/notes/1469487","1469487")</f>
        <v>1469487</v>
      </c>
      <c r="E6080">
        <v>1</v>
      </c>
      <c r="F6080" t="s">
        <v>6049</v>
      </c>
    </row>
    <row r="6081" spans="1:6" x14ac:dyDescent="0.25">
      <c r="A6081" t="s">
        <v>6276</v>
      </c>
      <c r="B6081" t="s">
        <v>73</v>
      </c>
      <c r="C6081" t="s">
        <v>74</v>
      </c>
      <c r="D6081" t="str">
        <f>HYPERLINK("http://service.sap.com/sap/support/notes/1375834","1375834")</f>
        <v>1375834</v>
      </c>
      <c r="E6081">
        <v>2</v>
      </c>
      <c r="F6081" t="s">
        <v>6050</v>
      </c>
    </row>
    <row r="6082" spans="1:6" x14ac:dyDescent="0.25">
      <c r="A6082" t="s">
        <v>6276</v>
      </c>
      <c r="B6082" t="s">
        <v>73</v>
      </c>
      <c r="C6082" t="s">
        <v>74</v>
      </c>
      <c r="D6082" t="str">
        <f>HYPERLINK("http://service.sap.com/sap/support/notes/1447059","1447059")</f>
        <v>1447059</v>
      </c>
      <c r="E6082">
        <v>1</v>
      </c>
      <c r="F6082" t="s">
        <v>6051</v>
      </c>
    </row>
    <row r="6083" spans="1:6" x14ac:dyDescent="0.25">
      <c r="A6083" t="s">
        <v>6276</v>
      </c>
      <c r="B6083" t="s">
        <v>73</v>
      </c>
      <c r="C6083" t="s">
        <v>74</v>
      </c>
      <c r="D6083" t="str">
        <f>HYPERLINK("http://service.sap.com/sap/support/notes/1488080","1488080")</f>
        <v>1488080</v>
      </c>
      <c r="E6083">
        <v>1</v>
      </c>
      <c r="F6083" t="s">
        <v>6052</v>
      </c>
    </row>
    <row r="6084" spans="1:6" x14ac:dyDescent="0.25">
      <c r="A6084" t="s">
        <v>6276</v>
      </c>
      <c r="B6084" t="s">
        <v>76</v>
      </c>
      <c r="C6084" t="s">
        <v>77</v>
      </c>
      <c r="D6084" t="str">
        <f>HYPERLINK("http://service.sap.com/sap/support/notes/1469454","1469454")</f>
        <v>1469454</v>
      </c>
      <c r="E6084">
        <v>1</v>
      </c>
      <c r="F6084" t="s">
        <v>6053</v>
      </c>
    </row>
    <row r="6085" spans="1:6" x14ac:dyDescent="0.25">
      <c r="A6085" t="s">
        <v>6276</v>
      </c>
      <c r="B6085" t="s">
        <v>79</v>
      </c>
      <c r="C6085" t="s">
        <v>80</v>
      </c>
      <c r="D6085" t="str">
        <f>HYPERLINK("http://service.sap.com/sap/support/notes/1487535","1487535")</f>
        <v>1487535</v>
      </c>
      <c r="E6085">
        <v>1</v>
      </c>
      <c r="F6085" t="s">
        <v>6054</v>
      </c>
    </row>
    <row r="6086" spans="1:6" x14ac:dyDescent="0.25">
      <c r="A6086" t="s">
        <v>6276</v>
      </c>
      <c r="B6086" t="s">
        <v>704</v>
      </c>
      <c r="C6086" t="s">
        <v>412</v>
      </c>
      <c r="D6086" t="str">
        <f>HYPERLINK("http://service.sap.com/sap/support/notes/1467260","1467260")</f>
        <v>1467260</v>
      </c>
      <c r="E6086">
        <v>1</v>
      </c>
      <c r="F6086" t="s">
        <v>6055</v>
      </c>
    </row>
    <row r="6087" spans="1:6" x14ac:dyDescent="0.25">
      <c r="A6087" t="s">
        <v>6276</v>
      </c>
      <c r="B6087" t="s">
        <v>704</v>
      </c>
      <c r="C6087" t="s">
        <v>412</v>
      </c>
      <c r="D6087" t="str">
        <f>HYPERLINK("http://service.sap.com/sap/support/notes/1486575","1486575")</f>
        <v>1486575</v>
      </c>
      <c r="E6087">
        <v>1</v>
      </c>
      <c r="F6087" t="s">
        <v>6056</v>
      </c>
    </row>
    <row r="6088" spans="1:6" x14ac:dyDescent="0.25">
      <c r="A6088" t="s">
        <v>6276</v>
      </c>
      <c r="B6088" t="s">
        <v>704</v>
      </c>
      <c r="C6088" t="s">
        <v>412</v>
      </c>
      <c r="D6088" t="str">
        <f>HYPERLINK("http://service.sap.com/sap/support/notes/1490610","1490610")</f>
        <v>1490610</v>
      </c>
      <c r="E6088">
        <v>2</v>
      </c>
      <c r="F6088" t="s">
        <v>6057</v>
      </c>
    </row>
    <row r="6089" spans="1:6" x14ac:dyDescent="0.25">
      <c r="A6089" t="s">
        <v>6276</v>
      </c>
      <c r="B6089" t="s">
        <v>92</v>
      </c>
      <c r="C6089" t="s">
        <v>93</v>
      </c>
      <c r="D6089" t="str">
        <f>HYPERLINK("http://service.sap.com/sap/support/notes/1453056","1453056")</f>
        <v>1453056</v>
      </c>
      <c r="E6089">
        <v>6</v>
      </c>
      <c r="F6089" t="s">
        <v>6058</v>
      </c>
    </row>
    <row r="6090" spans="1:6" x14ac:dyDescent="0.25">
      <c r="A6090" t="s">
        <v>6276</v>
      </c>
      <c r="B6090" t="s">
        <v>92</v>
      </c>
      <c r="C6090" t="s">
        <v>93</v>
      </c>
      <c r="D6090" t="str">
        <f>HYPERLINK("http://service.sap.com/sap/support/notes/1457957","1457957")</f>
        <v>1457957</v>
      </c>
      <c r="E6090">
        <v>1</v>
      </c>
      <c r="F6090" t="s">
        <v>6059</v>
      </c>
    </row>
    <row r="6091" spans="1:6" x14ac:dyDescent="0.25">
      <c r="A6091" t="s">
        <v>6276</v>
      </c>
      <c r="B6091" t="s">
        <v>92</v>
      </c>
      <c r="C6091" t="s">
        <v>93</v>
      </c>
      <c r="D6091" t="str">
        <f>HYPERLINK("http://service.sap.com/sap/support/notes/1458583","1458583")</f>
        <v>1458583</v>
      </c>
      <c r="E6091">
        <v>3</v>
      </c>
      <c r="F6091" t="s">
        <v>6060</v>
      </c>
    </row>
    <row r="6092" spans="1:6" x14ac:dyDescent="0.25">
      <c r="A6092" t="s">
        <v>6276</v>
      </c>
      <c r="B6092" t="s">
        <v>92</v>
      </c>
      <c r="C6092" t="s">
        <v>93</v>
      </c>
      <c r="D6092" t="str">
        <f>HYPERLINK("http://service.sap.com/sap/support/notes/1458586","1458586")</f>
        <v>1458586</v>
      </c>
      <c r="E6092">
        <v>1</v>
      </c>
      <c r="F6092" t="s">
        <v>6061</v>
      </c>
    </row>
    <row r="6093" spans="1:6" x14ac:dyDescent="0.25">
      <c r="A6093" t="s">
        <v>6276</v>
      </c>
      <c r="B6093" t="s">
        <v>92</v>
      </c>
      <c r="C6093" t="s">
        <v>93</v>
      </c>
      <c r="D6093" t="str">
        <f>HYPERLINK("http://service.sap.com/sap/support/notes/1459906","1459906")</f>
        <v>1459906</v>
      </c>
      <c r="E6093">
        <v>4</v>
      </c>
      <c r="F6093" t="s">
        <v>6062</v>
      </c>
    </row>
    <row r="6094" spans="1:6" x14ac:dyDescent="0.25">
      <c r="A6094" t="s">
        <v>6276</v>
      </c>
      <c r="B6094" t="s">
        <v>92</v>
      </c>
      <c r="C6094" t="s">
        <v>93</v>
      </c>
      <c r="D6094" t="str">
        <f>HYPERLINK("http://service.sap.com/sap/support/notes/1460380","1460380")</f>
        <v>1460380</v>
      </c>
      <c r="E6094">
        <v>3</v>
      </c>
      <c r="F6094" t="s">
        <v>6063</v>
      </c>
    </row>
    <row r="6095" spans="1:6" x14ac:dyDescent="0.25">
      <c r="A6095" t="s">
        <v>6276</v>
      </c>
      <c r="B6095" t="s">
        <v>92</v>
      </c>
      <c r="C6095" t="s">
        <v>93</v>
      </c>
      <c r="D6095" t="str">
        <f>HYPERLINK("http://service.sap.com/sap/support/notes/1461340","1461340")</f>
        <v>1461340</v>
      </c>
      <c r="E6095">
        <v>2</v>
      </c>
      <c r="F6095" t="s">
        <v>6064</v>
      </c>
    </row>
    <row r="6096" spans="1:6" x14ac:dyDescent="0.25">
      <c r="A6096" t="s">
        <v>6276</v>
      </c>
      <c r="B6096" t="s">
        <v>92</v>
      </c>
      <c r="C6096" t="s">
        <v>93</v>
      </c>
      <c r="D6096" t="str">
        <f>HYPERLINK("http://service.sap.com/sap/support/notes/1461396","1461396")</f>
        <v>1461396</v>
      </c>
      <c r="E6096">
        <v>1</v>
      </c>
      <c r="F6096" t="s">
        <v>6065</v>
      </c>
    </row>
    <row r="6097" spans="1:6" x14ac:dyDescent="0.25">
      <c r="A6097" t="s">
        <v>6276</v>
      </c>
      <c r="B6097" t="s">
        <v>92</v>
      </c>
      <c r="C6097" t="s">
        <v>93</v>
      </c>
      <c r="D6097" t="str">
        <f>HYPERLINK("http://service.sap.com/sap/support/notes/1462237","1462237")</f>
        <v>1462237</v>
      </c>
      <c r="E6097">
        <v>1</v>
      </c>
      <c r="F6097" t="s">
        <v>6066</v>
      </c>
    </row>
    <row r="6098" spans="1:6" x14ac:dyDescent="0.25">
      <c r="A6098" t="s">
        <v>6276</v>
      </c>
      <c r="B6098" t="s">
        <v>92</v>
      </c>
      <c r="C6098" t="s">
        <v>93</v>
      </c>
      <c r="D6098" t="str">
        <f>HYPERLINK("http://service.sap.com/sap/support/notes/1462704","1462704")</f>
        <v>1462704</v>
      </c>
      <c r="E6098">
        <v>4</v>
      </c>
      <c r="F6098" t="s">
        <v>6067</v>
      </c>
    </row>
    <row r="6099" spans="1:6" x14ac:dyDescent="0.25">
      <c r="A6099" t="s">
        <v>6276</v>
      </c>
      <c r="B6099" t="s">
        <v>92</v>
      </c>
      <c r="C6099" t="s">
        <v>93</v>
      </c>
      <c r="D6099" t="str">
        <f>HYPERLINK("http://service.sap.com/sap/support/notes/1463300","1463300")</f>
        <v>1463300</v>
      </c>
      <c r="E6099">
        <v>3</v>
      </c>
      <c r="F6099" t="s">
        <v>6068</v>
      </c>
    </row>
    <row r="6100" spans="1:6" x14ac:dyDescent="0.25">
      <c r="A6100" t="s">
        <v>6276</v>
      </c>
      <c r="B6100" t="s">
        <v>92</v>
      </c>
      <c r="C6100" t="s">
        <v>93</v>
      </c>
      <c r="D6100" t="str">
        <f>HYPERLINK("http://service.sap.com/sap/support/notes/1469195","1469195")</f>
        <v>1469195</v>
      </c>
      <c r="E6100">
        <v>1</v>
      </c>
      <c r="F6100" t="s">
        <v>6069</v>
      </c>
    </row>
    <row r="6101" spans="1:6" x14ac:dyDescent="0.25">
      <c r="A6101" t="s">
        <v>6276</v>
      </c>
      <c r="B6101" t="s">
        <v>92</v>
      </c>
      <c r="C6101" t="s">
        <v>93</v>
      </c>
      <c r="D6101" t="str">
        <f>HYPERLINK("http://service.sap.com/sap/support/notes/1473205","1473205")</f>
        <v>1473205</v>
      </c>
      <c r="E6101">
        <v>1</v>
      </c>
      <c r="F6101" t="s">
        <v>6070</v>
      </c>
    </row>
    <row r="6102" spans="1:6" x14ac:dyDescent="0.25">
      <c r="A6102" t="s">
        <v>6276</v>
      </c>
      <c r="B6102" t="s">
        <v>92</v>
      </c>
      <c r="C6102" t="s">
        <v>93</v>
      </c>
      <c r="D6102" t="str">
        <f>HYPERLINK("http://service.sap.com/sap/support/notes/1473651","1473651")</f>
        <v>1473651</v>
      </c>
      <c r="E6102">
        <v>1</v>
      </c>
      <c r="F6102" t="s">
        <v>6071</v>
      </c>
    </row>
    <row r="6103" spans="1:6" x14ac:dyDescent="0.25">
      <c r="A6103" t="s">
        <v>6276</v>
      </c>
      <c r="B6103" t="s">
        <v>92</v>
      </c>
      <c r="C6103" t="s">
        <v>93</v>
      </c>
      <c r="D6103" t="str">
        <f>HYPERLINK("http://service.sap.com/sap/support/notes/1474501","1474501")</f>
        <v>1474501</v>
      </c>
      <c r="E6103">
        <v>2</v>
      </c>
      <c r="F6103" t="s">
        <v>6072</v>
      </c>
    </row>
    <row r="6104" spans="1:6" x14ac:dyDescent="0.25">
      <c r="A6104" t="s">
        <v>6276</v>
      </c>
      <c r="B6104" t="s">
        <v>92</v>
      </c>
      <c r="C6104" t="s">
        <v>93</v>
      </c>
      <c r="D6104" t="str">
        <f>HYPERLINK("http://service.sap.com/sap/support/notes/1474574","1474574")</f>
        <v>1474574</v>
      </c>
      <c r="E6104">
        <v>1</v>
      </c>
      <c r="F6104" t="s">
        <v>6073</v>
      </c>
    </row>
    <row r="6105" spans="1:6" x14ac:dyDescent="0.25">
      <c r="A6105" t="s">
        <v>6276</v>
      </c>
      <c r="B6105" t="s">
        <v>92</v>
      </c>
      <c r="C6105" t="s">
        <v>93</v>
      </c>
      <c r="D6105" t="str">
        <f>HYPERLINK("http://service.sap.com/sap/support/notes/1475461","1475461")</f>
        <v>1475461</v>
      </c>
      <c r="E6105">
        <v>2</v>
      </c>
      <c r="F6105" t="s">
        <v>6074</v>
      </c>
    </row>
    <row r="6106" spans="1:6" x14ac:dyDescent="0.25">
      <c r="A6106" t="s">
        <v>6276</v>
      </c>
      <c r="B6106" t="s">
        <v>92</v>
      </c>
      <c r="C6106" t="s">
        <v>93</v>
      </c>
      <c r="D6106" t="str">
        <f>HYPERLINK("http://service.sap.com/sap/support/notes/1478067","1478067")</f>
        <v>1478067</v>
      </c>
      <c r="E6106">
        <v>1</v>
      </c>
      <c r="F6106" t="s">
        <v>6075</v>
      </c>
    </row>
    <row r="6107" spans="1:6" x14ac:dyDescent="0.25">
      <c r="A6107" t="s">
        <v>6276</v>
      </c>
      <c r="B6107" t="s">
        <v>92</v>
      </c>
      <c r="C6107" t="s">
        <v>93</v>
      </c>
      <c r="D6107" t="str">
        <f>HYPERLINK("http://service.sap.com/sap/support/notes/1481449","1481449")</f>
        <v>1481449</v>
      </c>
      <c r="E6107">
        <v>1</v>
      </c>
      <c r="F6107" t="s">
        <v>6076</v>
      </c>
    </row>
    <row r="6108" spans="1:6" x14ac:dyDescent="0.25">
      <c r="A6108" t="s">
        <v>6276</v>
      </c>
      <c r="B6108" t="s">
        <v>92</v>
      </c>
      <c r="C6108" t="s">
        <v>93</v>
      </c>
      <c r="D6108" t="str">
        <f>HYPERLINK("http://service.sap.com/sap/support/notes/1482984","1482984")</f>
        <v>1482984</v>
      </c>
      <c r="E6108">
        <v>1</v>
      </c>
      <c r="F6108" t="s">
        <v>6077</v>
      </c>
    </row>
    <row r="6109" spans="1:6" x14ac:dyDescent="0.25">
      <c r="A6109" t="s">
        <v>6276</v>
      </c>
      <c r="B6109" t="s">
        <v>92</v>
      </c>
      <c r="C6109" t="s">
        <v>93</v>
      </c>
      <c r="D6109" t="str">
        <f>HYPERLINK("http://service.sap.com/sap/support/notes/1483105","1483105")</f>
        <v>1483105</v>
      </c>
      <c r="E6109">
        <v>1</v>
      </c>
      <c r="F6109" t="s">
        <v>6078</v>
      </c>
    </row>
    <row r="6110" spans="1:6" x14ac:dyDescent="0.25">
      <c r="A6110" t="s">
        <v>6276</v>
      </c>
      <c r="B6110" t="s">
        <v>92</v>
      </c>
      <c r="C6110" t="s">
        <v>93</v>
      </c>
      <c r="D6110" t="str">
        <f>HYPERLINK("http://service.sap.com/sap/support/notes/1486993","1486993")</f>
        <v>1486993</v>
      </c>
      <c r="E6110">
        <v>4</v>
      </c>
      <c r="F6110" t="s">
        <v>6079</v>
      </c>
    </row>
    <row r="6111" spans="1:6" x14ac:dyDescent="0.25">
      <c r="A6111" t="s">
        <v>6276</v>
      </c>
      <c r="B6111" t="s">
        <v>92</v>
      </c>
      <c r="C6111" t="s">
        <v>93</v>
      </c>
      <c r="D6111" t="str">
        <f>HYPERLINK("http://service.sap.com/sap/support/notes/1487852","1487852")</f>
        <v>1487852</v>
      </c>
      <c r="E6111">
        <v>2</v>
      </c>
      <c r="F6111" t="s">
        <v>6080</v>
      </c>
    </row>
    <row r="6112" spans="1:6" x14ac:dyDescent="0.25">
      <c r="A6112" t="s">
        <v>6276</v>
      </c>
      <c r="B6112" t="s">
        <v>5667</v>
      </c>
      <c r="C6112" t="s">
        <v>473</v>
      </c>
      <c r="D6112" t="str">
        <f>HYPERLINK("http://service.sap.com/sap/support/notes/1462731","1462731")</f>
        <v>1462731</v>
      </c>
      <c r="E6112">
        <v>1</v>
      </c>
      <c r="F6112" t="s">
        <v>6081</v>
      </c>
    </row>
    <row r="6113" spans="1:6" x14ac:dyDescent="0.25">
      <c r="A6113" t="s">
        <v>6276</v>
      </c>
      <c r="B6113" t="s">
        <v>5667</v>
      </c>
      <c r="C6113" t="s">
        <v>473</v>
      </c>
      <c r="D6113" t="str">
        <f>HYPERLINK("http://service.sap.com/sap/support/notes/1465677","1465677")</f>
        <v>1465677</v>
      </c>
      <c r="E6113">
        <v>1</v>
      </c>
      <c r="F6113" t="s">
        <v>6081</v>
      </c>
    </row>
    <row r="6114" spans="1:6" x14ac:dyDescent="0.25">
      <c r="A6114" t="s">
        <v>6276</v>
      </c>
      <c r="B6114" t="s">
        <v>6082</v>
      </c>
      <c r="C6114" t="s">
        <v>6083</v>
      </c>
      <c r="D6114" t="str">
        <f>HYPERLINK("http://service.sap.com/sap/support/notes/1477126","1477126")</f>
        <v>1477126</v>
      </c>
      <c r="E6114">
        <v>1</v>
      </c>
      <c r="F6114" t="s">
        <v>6084</v>
      </c>
    </row>
    <row r="6115" spans="1:6" x14ac:dyDescent="0.25">
      <c r="A6115" t="s">
        <v>6276</v>
      </c>
      <c r="B6115" t="s">
        <v>713</v>
      </c>
      <c r="C6115" t="s">
        <v>480</v>
      </c>
      <c r="D6115" t="str">
        <f>HYPERLINK("http://service.sap.com/sap/support/notes/1479367","1479367")</f>
        <v>1479367</v>
      </c>
      <c r="E6115">
        <v>1</v>
      </c>
      <c r="F6115" t="s">
        <v>6085</v>
      </c>
    </row>
    <row r="6116" spans="1:6" x14ac:dyDescent="0.25">
      <c r="A6116" t="s">
        <v>6276</v>
      </c>
      <c r="B6116" t="s">
        <v>5669</v>
      </c>
      <c r="C6116" t="s">
        <v>5670</v>
      </c>
      <c r="D6116" t="str">
        <f>HYPERLINK("http://service.sap.com/sap/support/notes/1461877","1461877")</f>
        <v>1461877</v>
      </c>
      <c r="E6116">
        <v>1</v>
      </c>
      <c r="F6116" t="s">
        <v>6086</v>
      </c>
    </row>
    <row r="6117" spans="1:6" x14ac:dyDescent="0.25">
      <c r="A6117" t="s">
        <v>6276</v>
      </c>
      <c r="B6117" t="s">
        <v>5669</v>
      </c>
      <c r="C6117" t="s">
        <v>5670</v>
      </c>
      <c r="D6117" t="str">
        <f>HYPERLINK("http://service.sap.com/sap/support/notes/1465764","1465764")</f>
        <v>1465764</v>
      </c>
      <c r="E6117">
        <v>1</v>
      </c>
      <c r="F6117" t="s">
        <v>6087</v>
      </c>
    </row>
    <row r="6118" spans="1:6" x14ac:dyDescent="0.25">
      <c r="A6118" t="s">
        <v>6276</v>
      </c>
      <c r="B6118" t="s">
        <v>103</v>
      </c>
      <c r="C6118" t="s">
        <v>104</v>
      </c>
      <c r="D6118" t="str">
        <f>HYPERLINK("http://service.sap.com/sap/support/notes/1474279","1474279")</f>
        <v>1474279</v>
      </c>
      <c r="E6118">
        <v>1</v>
      </c>
      <c r="F6118" t="s">
        <v>6088</v>
      </c>
    </row>
    <row r="6119" spans="1:6" x14ac:dyDescent="0.25">
      <c r="A6119" t="s">
        <v>6276</v>
      </c>
      <c r="B6119" t="s">
        <v>107</v>
      </c>
      <c r="C6119" t="s">
        <v>108</v>
      </c>
      <c r="D6119" t="str">
        <f>HYPERLINK("http://service.sap.com/sap/support/notes/1469063","1469063")</f>
        <v>1469063</v>
      </c>
      <c r="E6119">
        <v>1</v>
      </c>
      <c r="F6119" t="s">
        <v>6089</v>
      </c>
    </row>
    <row r="6120" spans="1:6" x14ac:dyDescent="0.25">
      <c r="A6120" t="s">
        <v>6276</v>
      </c>
      <c r="B6120" t="s">
        <v>107</v>
      </c>
      <c r="C6120" t="s">
        <v>108</v>
      </c>
      <c r="D6120" t="str">
        <f>HYPERLINK("http://service.sap.com/sap/support/notes/1471511","1471511")</f>
        <v>1471511</v>
      </c>
      <c r="E6120">
        <v>1</v>
      </c>
      <c r="F6120" t="s">
        <v>6090</v>
      </c>
    </row>
    <row r="6121" spans="1:6" x14ac:dyDescent="0.25">
      <c r="A6121" t="s">
        <v>6276</v>
      </c>
      <c r="B6121" t="s">
        <v>107</v>
      </c>
      <c r="C6121" t="s">
        <v>108</v>
      </c>
      <c r="D6121" t="str">
        <f>HYPERLINK("http://service.sap.com/sap/support/notes/1485190","1485190")</f>
        <v>1485190</v>
      </c>
      <c r="E6121">
        <v>3</v>
      </c>
      <c r="F6121" t="s">
        <v>6091</v>
      </c>
    </row>
    <row r="6122" spans="1:6" x14ac:dyDescent="0.25">
      <c r="A6122" t="s">
        <v>6276</v>
      </c>
      <c r="B6122" t="s">
        <v>6092</v>
      </c>
      <c r="C6122" t="s">
        <v>6093</v>
      </c>
      <c r="D6122" t="str">
        <f>HYPERLINK("http://service.sap.com/sap/support/notes/1463772","1463772")</f>
        <v>1463772</v>
      </c>
      <c r="E6122">
        <v>1</v>
      </c>
      <c r="F6122" t="s">
        <v>6094</v>
      </c>
    </row>
    <row r="6123" spans="1:6" x14ac:dyDescent="0.25">
      <c r="A6123" t="s">
        <v>6276</v>
      </c>
      <c r="B6123" t="s">
        <v>724</v>
      </c>
      <c r="C6123" t="s">
        <v>725</v>
      </c>
      <c r="D6123" t="str">
        <f>HYPERLINK("http://service.sap.com/sap/support/notes/1418773","1418773")</f>
        <v>1418773</v>
      </c>
      <c r="E6123">
        <v>3</v>
      </c>
      <c r="F6123" t="s">
        <v>6095</v>
      </c>
    </row>
    <row r="6124" spans="1:6" x14ac:dyDescent="0.25">
      <c r="A6124" t="s">
        <v>6276</v>
      </c>
      <c r="B6124" t="s">
        <v>724</v>
      </c>
      <c r="C6124" t="s">
        <v>725</v>
      </c>
      <c r="D6124" t="str">
        <f>HYPERLINK("http://service.sap.com/sap/support/notes/1455927","1455927")</f>
        <v>1455927</v>
      </c>
      <c r="E6124">
        <v>5</v>
      </c>
      <c r="F6124" t="s">
        <v>6096</v>
      </c>
    </row>
    <row r="6125" spans="1:6" x14ac:dyDescent="0.25">
      <c r="A6125" t="s">
        <v>6276</v>
      </c>
      <c r="B6125" t="s">
        <v>724</v>
      </c>
      <c r="C6125" t="s">
        <v>725</v>
      </c>
      <c r="D6125" t="str">
        <f>HYPERLINK("http://service.sap.com/sap/support/notes/1458046","1458046")</f>
        <v>1458046</v>
      </c>
      <c r="E6125">
        <v>4</v>
      </c>
      <c r="F6125" t="s">
        <v>6097</v>
      </c>
    </row>
    <row r="6126" spans="1:6" x14ac:dyDescent="0.25">
      <c r="A6126" t="s">
        <v>6276</v>
      </c>
      <c r="B6126" t="s">
        <v>724</v>
      </c>
      <c r="C6126" t="s">
        <v>725</v>
      </c>
      <c r="D6126" t="str">
        <f>HYPERLINK("http://service.sap.com/sap/support/notes/1461202","1461202")</f>
        <v>1461202</v>
      </c>
      <c r="E6126">
        <v>1</v>
      </c>
      <c r="F6126" t="s">
        <v>6098</v>
      </c>
    </row>
    <row r="6127" spans="1:6" x14ac:dyDescent="0.25">
      <c r="A6127" t="s">
        <v>6276</v>
      </c>
      <c r="B6127" t="s">
        <v>724</v>
      </c>
      <c r="C6127" t="s">
        <v>725</v>
      </c>
      <c r="D6127" t="str">
        <f>HYPERLINK("http://service.sap.com/sap/support/notes/1465242","1465242")</f>
        <v>1465242</v>
      </c>
      <c r="E6127">
        <v>1</v>
      </c>
      <c r="F6127" t="s">
        <v>6099</v>
      </c>
    </row>
    <row r="6128" spans="1:6" x14ac:dyDescent="0.25">
      <c r="A6128" t="s">
        <v>6276</v>
      </c>
      <c r="B6128" t="s">
        <v>790</v>
      </c>
      <c r="C6128" t="s">
        <v>4125</v>
      </c>
    </row>
    <row r="6129" spans="1:6" x14ac:dyDescent="0.25">
      <c r="A6129" t="s">
        <v>6276</v>
      </c>
      <c r="B6129" t="s">
        <v>791</v>
      </c>
      <c r="C6129" t="s">
        <v>4126</v>
      </c>
      <c r="D6129" t="str">
        <f>HYPERLINK("http://service.sap.com/sap/support/notes/1443243","1443243")</f>
        <v>1443243</v>
      </c>
      <c r="E6129">
        <v>2</v>
      </c>
      <c r="F6129" t="s">
        <v>6100</v>
      </c>
    </row>
    <row r="6130" spans="1:6" x14ac:dyDescent="0.25">
      <c r="A6130" t="s">
        <v>6276</v>
      </c>
      <c r="B6130" t="s">
        <v>791</v>
      </c>
      <c r="C6130" t="s">
        <v>4126</v>
      </c>
      <c r="D6130" t="str">
        <f>HYPERLINK("http://service.sap.com/sap/support/notes/1455131","1455131")</f>
        <v>1455131</v>
      </c>
      <c r="E6130">
        <v>2</v>
      </c>
      <c r="F6130" t="s">
        <v>6101</v>
      </c>
    </row>
    <row r="6131" spans="1:6" x14ac:dyDescent="0.25">
      <c r="A6131" t="s">
        <v>6276</v>
      </c>
      <c r="B6131" t="s">
        <v>791</v>
      </c>
      <c r="C6131" t="s">
        <v>4126</v>
      </c>
      <c r="D6131" t="str">
        <f>HYPERLINK("http://service.sap.com/sap/support/notes/1464265","1464265")</f>
        <v>1464265</v>
      </c>
      <c r="E6131">
        <v>3</v>
      </c>
      <c r="F6131" t="s">
        <v>6102</v>
      </c>
    </row>
    <row r="6132" spans="1:6" x14ac:dyDescent="0.25">
      <c r="A6132" t="s">
        <v>6276</v>
      </c>
      <c r="B6132" t="s">
        <v>791</v>
      </c>
      <c r="C6132" t="s">
        <v>4126</v>
      </c>
      <c r="D6132" t="str">
        <f>HYPERLINK("http://service.sap.com/sap/support/notes/1464527","1464527")</f>
        <v>1464527</v>
      </c>
      <c r="E6132">
        <v>1</v>
      </c>
      <c r="F6132" t="s">
        <v>6103</v>
      </c>
    </row>
    <row r="6133" spans="1:6" x14ac:dyDescent="0.25">
      <c r="A6133" t="s">
        <v>6276</v>
      </c>
      <c r="B6133" t="s">
        <v>791</v>
      </c>
      <c r="C6133" t="s">
        <v>4126</v>
      </c>
      <c r="D6133" t="str">
        <f>HYPERLINK("http://service.sap.com/sap/support/notes/1464625","1464625")</f>
        <v>1464625</v>
      </c>
      <c r="E6133">
        <v>1</v>
      </c>
      <c r="F6133" t="s">
        <v>6104</v>
      </c>
    </row>
    <row r="6134" spans="1:6" x14ac:dyDescent="0.25">
      <c r="A6134" t="s">
        <v>6276</v>
      </c>
      <c r="B6134" t="s">
        <v>791</v>
      </c>
      <c r="C6134" t="s">
        <v>4126</v>
      </c>
      <c r="D6134" t="str">
        <f>HYPERLINK("http://service.sap.com/sap/support/notes/1466790","1466790")</f>
        <v>1466790</v>
      </c>
      <c r="E6134">
        <v>2</v>
      </c>
      <c r="F6134" t="s">
        <v>6105</v>
      </c>
    </row>
    <row r="6135" spans="1:6" x14ac:dyDescent="0.25">
      <c r="A6135" t="s">
        <v>6276</v>
      </c>
      <c r="B6135" t="s">
        <v>791</v>
      </c>
      <c r="C6135" t="s">
        <v>4126</v>
      </c>
      <c r="D6135" t="str">
        <f>HYPERLINK("http://service.sap.com/sap/support/notes/1468466","1468466")</f>
        <v>1468466</v>
      </c>
      <c r="E6135">
        <v>1</v>
      </c>
      <c r="F6135" t="s">
        <v>6106</v>
      </c>
    </row>
    <row r="6136" spans="1:6" x14ac:dyDescent="0.25">
      <c r="A6136" t="s">
        <v>6276</v>
      </c>
      <c r="B6136" t="s">
        <v>791</v>
      </c>
      <c r="C6136" t="s">
        <v>4126</v>
      </c>
      <c r="D6136" t="str">
        <f>HYPERLINK("http://service.sap.com/sap/support/notes/1472477","1472477")</f>
        <v>1472477</v>
      </c>
      <c r="E6136">
        <v>1</v>
      </c>
      <c r="F6136" t="s">
        <v>6107</v>
      </c>
    </row>
    <row r="6137" spans="1:6" x14ac:dyDescent="0.25">
      <c r="A6137" t="s">
        <v>6276</v>
      </c>
      <c r="B6137" t="s">
        <v>791</v>
      </c>
      <c r="C6137" t="s">
        <v>4126</v>
      </c>
      <c r="D6137" t="str">
        <f>HYPERLINK("http://service.sap.com/sap/support/notes/1476168","1476168")</f>
        <v>1476168</v>
      </c>
      <c r="E6137">
        <v>3</v>
      </c>
      <c r="F6137" t="s">
        <v>6108</v>
      </c>
    </row>
    <row r="6138" spans="1:6" x14ac:dyDescent="0.25">
      <c r="A6138" t="s">
        <v>6276</v>
      </c>
      <c r="B6138" t="s">
        <v>791</v>
      </c>
      <c r="C6138" t="s">
        <v>4126</v>
      </c>
      <c r="D6138" t="str">
        <f>HYPERLINK("http://service.sap.com/sap/support/notes/1488077","1488077")</f>
        <v>1488077</v>
      </c>
      <c r="E6138">
        <v>1</v>
      </c>
      <c r="F6138" t="s">
        <v>6109</v>
      </c>
    </row>
    <row r="6139" spans="1:6" x14ac:dyDescent="0.25">
      <c r="A6139" t="s">
        <v>6276</v>
      </c>
      <c r="B6139" t="s">
        <v>118</v>
      </c>
      <c r="C6139" t="s">
        <v>119</v>
      </c>
    </row>
    <row r="6140" spans="1:6" x14ac:dyDescent="0.25">
      <c r="A6140" t="s">
        <v>6276</v>
      </c>
      <c r="B6140" t="s">
        <v>120</v>
      </c>
      <c r="C6140" t="s">
        <v>121</v>
      </c>
      <c r="D6140" t="str">
        <f>HYPERLINK("http://service.sap.com/sap/support/notes/1456068","1456068")</f>
        <v>1456068</v>
      </c>
      <c r="E6140">
        <v>1</v>
      </c>
      <c r="F6140" t="s">
        <v>6110</v>
      </c>
    </row>
    <row r="6141" spans="1:6" x14ac:dyDescent="0.25">
      <c r="A6141" t="s">
        <v>6276</v>
      </c>
      <c r="B6141" t="s">
        <v>120</v>
      </c>
      <c r="C6141" t="s">
        <v>121</v>
      </c>
      <c r="D6141" t="str">
        <f>HYPERLINK("http://service.sap.com/sap/support/notes/1464856","1464856")</f>
        <v>1464856</v>
      </c>
      <c r="E6141">
        <v>2</v>
      </c>
      <c r="F6141" t="s">
        <v>6111</v>
      </c>
    </row>
    <row r="6142" spans="1:6" x14ac:dyDescent="0.25">
      <c r="A6142" t="s">
        <v>6276</v>
      </c>
      <c r="B6142" t="s">
        <v>120</v>
      </c>
      <c r="C6142" t="s">
        <v>121</v>
      </c>
      <c r="D6142" t="str">
        <f>HYPERLINK("http://service.sap.com/sap/support/notes/1486576","1486576")</f>
        <v>1486576</v>
      </c>
      <c r="E6142">
        <v>1</v>
      </c>
      <c r="F6142" t="s">
        <v>6112</v>
      </c>
    </row>
    <row r="6143" spans="1:6" x14ac:dyDescent="0.25">
      <c r="A6143" t="s">
        <v>6276</v>
      </c>
      <c r="B6143" t="s">
        <v>123</v>
      </c>
      <c r="C6143" t="s">
        <v>124</v>
      </c>
      <c r="D6143" t="str">
        <f>HYPERLINK("http://service.sap.com/sap/support/notes/1481095","1481095")</f>
        <v>1481095</v>
      </c>
      <c r="E6143">
        <v>1</v>
      </c>
      <c r="F6143" t="s">
        <v>6113</v>
      </c>
    </row>
    <row r="6144" spans="1:6" x14ac:dyDescent="0.25">
      <c r="A6144" t="s">
        <v>6276</v>
      </c>
      <c r="B6144" t="s">
        <v>807</v>
      </c>
      <c r="C6144" t="s">
        <v>6114</v>
      </c>
      <c r="D6144" t="str">
        <f>HYPERLINK("http://service.sap.com/sap/support/notes/1474180","1474180")</f>
        <v>1474180</v>
      </c>
      <c r="E6144">
        <v>1</v>
      </c>
      <c r="F6144" t="s">
        <v>6115</v>
      </c>
    </row>
    <row r="6145" spans="1:6" x14ac:dyDescent="0.25">
      <c r="A6145" t="s">
        <v>6276</v>
      </c>
      <c r="B6145" t="s">
        <v>810</v>
      </c>
      <c r="C6145" t="s">
        <v>4131</v>
      </c>
    </row>
    <row r="6146" spans="1:6" x14ac:dyDescent="0.25">
      <c r="A6146" t="s">
        <v>6276</v>
      </c>
      <c r="B6146" t="s">
        <v>811</v>
      </c>
      <c r="C6146" t="s">
        <v>4132</v>
      </c>
      <c r="D6146" t="str">
        <f>HYPERLINK("http://service.sap.com/sap/support/notes/1456775","1456775")</f>
        <v>1456775</v>
      </c>
      <c r="E6146">
        <v>3</v>
      </c>
      <c r="F6146" t="s">
        <v>6116</v>
      </c>
    </row>
    <row r="6147" spans="1:6" x14ac:dyDescent="0.25">
      <c r="A6147" t="s">
        <v>6276</v>
      </c>
      <c r="B6147" t="s">
        <v>811</v>
      </c>
      <c r="C6147" t="s">
        <v>4132</v>
      </c>
      <c r="D6147" t="str">
        <f>HYPERLINK("http://service.sap.com/sap/support/notes/1460625","1460625")</f>
        <v>1460625</v>
      </c>
      <c r="E6147">
        <v>3</v>
      </c>
      <c r="F6147" t="s">
        <v>6117</v>
      </c>
    </row>
    <row r="6148" spans="1:6" x14ac:dyDescent="0.25">
      <c r="A6148" t="s">
        <v>6276</v>
      </c>
      <c r="B6148" t="s">
        <v>811</v>
      </c>
      <c r="C6148" t="s">
        <v>4132</v>
      </c>
      <c r="D6148" t="str">
        <f>HYPERLINK("http://service.sap.com/sap/support/notes/1464908","1464908")</f>
        <v>1464908</v>
      </c>
      <c r="E6148">
        <v>1</v>
      </c>
      <c r="F6148" t="s">
        <v>6118</v>
      </c>
    </row>
    <row r="6149" spans="1:6" x14ac:dyDescent="0.25">
      <c r="A6149" t="s">
        <v>6276</v>
      </c>
      <c r="B6149" t="s">
        <v>811</v>
      </c>
      <c r="C6149" t="s">
        <v>4132</v>
      </c>
      <c r="D6149" t="str">
        <f>HYPERLINK("http://service.sap.com/sap/support/notes/1469521","1469521")</f>
        <v>1469521</v>
      </c>
      <c r="E6149">
        <v>1</v>
      </c>
      <c r="F6149" t="s">
        <v>6119</v>
      </c>
    </row>
    <row r="6150" spans="1:6" x14ac:dyDescent="0.25">
      <c r="A6150" t="s">
        <v>6276</v>
      </c>
      <c r="B6150" t="s">
        <v>811</v>
      </c>
      <c r="C6150" t="s">
        <v>4132</v>
      </c>
      <c r="D6150" t="str">
        <f>HYPERLINK("http://service.sap.com/sap/support/notes/1473368","1473368")</f>
        <v>1473368</v>
      </c>
      <c r="E6150">
        <v>2</v>
      </c>
      <c r="F6150" t="s">
        <v>6120</v>
      </c>
    </row>
    <row r="6151" spans="1:6" x14ac:dyDescent="0.25">
      <c r="A6151" t="s">
        <v>6276</v>
      </c>
      <c r="B6151" t="s">
        <v>811</v>
      </c>
      <c r="C6151" t="s">
        <v>4132</v>
      </c>
      <c r="D6151" t="str">
        <f>HYPERLINK("http://service.sap.com/sap/support/notes/1475013","1475013")</f>
        <v>1475013</v>
      </c>
      <c r="E6151">
        <v>2</v>
      </c>
      <c r="F6151" t="s">
        <v>6121</v>
      </c>
    </row>
    <row r="6152" spans="1:6" x14ac:dyDescent="0.25">
      <c r="A6152" t="s">
        <v>6276</v>
      </c>
      <c r="B6152" t="s">
        <v>811</v>
      </c>
      <c r="C6152" t="s">
        <v>4132</v>
      </c>
      <c r="D6152" t="str">
        <f>HYPERLINK("http://service.sap.com/sap/support/notes/1479677","1479677")</f>
        <v>1479677</v>
      </c>
      <c r="E6152">
        <v>3</v>
      </c>
      <c r="F6152" t="s">
        <v>6122</v>
      </c>
    </row>
    <row r="6153" spans="1:6" x14ac:dyDescent="0.25">
      <c r="A6153" t="s">
        <v>6276</v>
      </c>
      <c r="B6153" t="s">
        <v>811</v>
      </c>
      <c r="C6153" t="s">
        <v>4132</v>
      </c>
      <c r="D6153" t="str">
        <f>HYPERLINK("http://service.sap.com/sap/support/notes/1485889","1485889")</f>
        <v>1485889</v>
      </c>
      <c r="E6153">
        <v>1</v>
      </c>
      <c r="F6153" t="s">
        <v>6123</v>
      </c>
    </row>
    <row r="6154" spans="1:6" x14ac:dyDescent="0.25">
      <c r="A6154" t="s">
        <v>6276</v>
      </c>
      <c r="B6154" t="s">
        <v>4135</v>
      </c>
      <c r="C6154" t="s">
        <v>4136</v>
      </c>
      <c r="D6154" t="str">
        <f>HYPERLINK("http://service.sap.com/sap/support/notes/1370929","1370929")</f>
        <v>1370929</v>
      </c>
      <c r="E6154">
        <v>4</v>
      </c>
      <c r="F6154" t="s">
        <v>6124</v>
      </c>
    </row>
    <row r="6155" spans="1:6" x14ac:dyDescent="0.25">
      <c r="A6155" t="s">
        <v>6276</v>
      </c>
      <c r="B6155" t="s">
        <v>4135</v>
      </c>
      <c r="C6155" t="s">
        <v>4136</v>
      </c>
      <c r="D6155" t="str">
        <f>HYPERLINK("http://service.sap.com/sap/support/notes/1442800","1442800")</f>
        <v>1442800</v>
      </c>
      <c r="E6155">
        <v>8</v>
      </c>
      <c r="F6155" t="s">
        <v>6125</v>
      </c>
    </row>
    <row r="6156" spans="1:6" x14ac:dyDescent="0.25">
      <c r="A6156" t="s">
        <v>6276</v>
      </c>
      <c r="B6156" t="s">
        <v>4135</v>
      </c>
      <c r="C6156" t="s">
        <v>4136</v>
      </c>
      <c r="D6156" t="str">
        <f>HYPERLINK("http://service.sap.com/sap/support/notes/1451149","1451149")</f>
        <v>1451149</v>
      </c>
      <c r="E6156">
        <v>7</v>
      </c>
      <c r="F6156" t="s">
        <v>6126</v>
      </c>
    </row>
    <row r="6157" spans="1:6" x14ac:dyDescent="0.25">
      <c r="A6157" t="s">
        <v>6276</v>
      </c>
      <c r="B6157" t="s">
        <v>4135</v>
      </c>
      <c r="C6157" t="s">
        <v>4136</v>
      </c>
      <c r="D6157" t="str">
        <f>HYPERLINK("http://service.sap.com/sap/support/notes/1456954","1456954")</f>
        <v>1456954</v>
      </c>
      <c r="E6157">
        <v>6</v>
      </c>
      <c r="F6157" t="s">
        <v>6127</v>
      </c>
    </row>
    <row r="6158" spans="1:6" x14ac:dyDescent="0.25">
      <c r="A6158" t="s">
        <v>6276</v>
      </c>
      <c r="B6158" t="s">
        <v>4135</v>
      </c>
      <c r="C6158" t="s">
        <v>4136</v>
      </c>
      <c r="D6158" t="str">
        <f>HYPERLINK("http://service.sap.com/sap/support/notes/1461671","1461671")</f>
        <v>1461671</v>
      </c>
      <c r="E6158">
        <v>2</v>
      </c>
      <c r="F6158" t="s">
        <v>6128</v>
      </c>
    </row>
    <row r="6159" spans="1:6" x14ac:dyDescent="0.25">
      <c r="A6159" t="s">
        <v>6276</v>
      </c>
      <c r="B6159" t="s">
        <v>4135</v>
      </c>
      <c r="C6159" t="s">
        <v>4136</v>
      </c>
      <c r="D6159" t="str">
        <f>HYPERLINK("http://service.sap.com/sap/support/notes/1463197","1463197")</f>
        <v>1463197</v>
      </c>
      <c r="E6159">
        <v>2</v>
      </c>
      <c r="F6159" t="s">
        <v>6129</v>
      </c>
    </row>
    <row r="6160" spans="1:6" x14ac:dyDescent="0.25">
      <c r="A6160" t="s">
        <v>6276</v>
      </c>
      <c r="B6160" t="s">
        <v>4135</v>
      </c>
      <c r="C6160" t="s">
        <v>4136</v>
      </c>
      <c r="D6160" t="str">
        <f>HYPERLINK("http://service.sap.com/sap/support/notes/1465142","1465142")</f>
        <v>1465142</v>
      </c>
      <c r="E6160">
        <v>2</v>
      </c>
      <c r="F6160" t="s">
        <v>6130</v>
      </c>
    </row>
    <row r="6161" spans="1:6" x14ac:dyDescent="0.25">
      <c r="A6161" t="s">
        <v>6276</v>
      </c>
      <c r="B6161" t="s">
        <v>4135</v>
      </c>
      <c r="C6161" t="s">
        <v>4136</v>
      </c>
      <c r="D6161" t="str">
        <f>HYPERLINK("http://service.sap.com/sap/support/notes/1467630","1467630")</f>
        <v>1467630</v>
      </c>
      <c r="E6161">
        <v>4</v>
      </c>
      <c r="F6161" t="s">
        <v>6131</v>
      </c>
    </row>
    <row r="6162" spans="1:6" x14ac:dyDescent="0.25">
      <c r="A6162" t="s">
        <v>6276</v>
      </c>
      <c r="B6162" t="s">
        <v>4135</v>
      </c>
      <c r="C6162" t="s">
        <v>4136</v>
      </c>
      <c r="D6162" t="str">
        <f>HYPERLINK("http://service.sap.com/sap/support/notes/1478605","1478605")</f>
        <v>1478605</v>
      </c>
      <c r="E6162">
        <v>2</v>
      </c>
      <c r="F6162" t="s">
        <v>6132</v>
      </c>
    </row>
    <row r="6163" spans="1:6" x14ac:dyDescent="0.25">
      <c r="A6163" t="s">
        <v>6276</v>
      </c>
      <c r="B6163" t="s">
        <v>4135</v>
      </c>
      <c r="C6163" t="s">
        <v>4136</v>
      </c>
      <c r="D6163" t="str">
        <f>HYPERLINK("http://service.sap.com/sap/support/notes/1480506","1480506")</f>
        <v>1480506</v>
      </c>
      <c r="E6163">
        <v>2</v>
      </c>
      <c r="F6163" t="s">
        <v>6133</v>
      </c>
    </row>
    <row r="6164" spans="1:6" x14ac:dyDescent="0.25">
      <c r="A6164" t="s">
        <v>6276</v>
      </c>
      <c r="B6164" t="s">
        <v>4135</v>
      </c>
      <c r="C6164" t="s">
        <v>4136</v>
      </c>
      <c r="D6164" t="str">
        <f>HYPERLINK("http://service.sap.com/sap/support/notes/1485255","1485255")</f>
        <v>1485255</v>
      </c>
      <c r="E6164">
        <v>2</v>
      </c>
      <c r="F6164" t="s">
        <v>6134</v>
      </c>
    </row>
    <row r="6165" spans="1:6" x14ac:dyDescent="0.25">
      <c r="A6165" t="s">
        <v>6276</v>
      </c>
      <c r="B6165" t="s">
        <v>4135</v>
      </c>
      <c r="C6165" t="s">
        <v>4136</v>
      </c>
      <c r="D6165" t="str">
        <f>HYPERLINK("http://service.sap.com/sap/support/notes/1490716","1490716")</f>
        <v>1490716</v>
      </c>
      <c r="E6165">
        <v>1</v>
      </c>
      <c r="F6165" t="s">
        <v>4137</v>
      </c>
    </row>
    <row r="6166" spans="1:6" x14ac:dyDescent="0.25">
      <c r="A6166" t="s">
        <v>6276</v>
      </c>
      <c r="B6166" t="s">
        <v>4144</v>
      </c>
      <c r="C6166" t="s">
        <v>4145</v>
      </c>
      <c r="D6166" t="str">
        <f>HYPERLINK("http://service.sap.com/sap/support/notes/1294164","1294164")</f>
        <v>1294164</v>
      </c>
      <c r="E6166">
        <v>1</v>
      </c>
      <c r="F6166" t="s">
        <v>6135</v>
      </c>
    </row>
    <row r="6167" spans="1:6" x14ac:dyDescent="0.25">
      <c r="A6167" t="s">
        <v>6276</v>
      </c>
      <c r="B6167" t="s">
        <v>4144</v>
      </c>
      <c r="C6167" t="s">
        <v>4145</v>
      </c>
      <c r="D6167" t="str">
        <f>HYPERLINK("http://service.sap.com/sap/support/notes/1457833","1457833")</f>
        <v>1457833</v>
      </c>
      <c r="E6167">
        <v>2</v>
      </c>
      <c r="F6167" t="s">
        <v>6136</v>
      </c>
    </row>
    <row r="6168" spans="1:6" x14ac:dyDescent="0.25">
      <c r="A6168" t="s">
        <v>6276</v>
      </c>
      <c r="B6168" t="s">
        <v>4144</v>
      </c>
      <c r="C6168" t="s">
        <v>4145</v>
      </c>
      <c r="D6168" t="str">
        <f>HYPERLINK("http://service.sap.com/sap/support/notes/1458015","1458015")</f>
        <v>1458015</v>
      </c>
      <c r="E6168">
        <v>1</v>
      </c>
      <c r="F6168" t="s">
        <v>6137</v>
      </c>
    </row>
    <row r="6169" spans="1:6" x14ac:dyDescent="0.25">
      <c r="A6169" t="s">
        <v>6276</v>
      </c>
      <c r="B6169" t="s">
        <v>4144</v>
      </c>
      <c r="C6169" t="s">
        <v>4145</v>
      </c>
      <c r="D6169" t="str">
        <f>HYPERLINK("http://service.sap.com/sap/support/notes/1458441","1458441")</f>
        <v>1458441</v>
      </c>
      <c r="E6169">
        <v>2</v>
      </c>
      <c r="F6169" t="s">
        <v>6138</v>
      </c>
    </row>
    <row r="6170" spans="1:6" x14ac:dyDescent="0.25">
      <c r="A6170" t="s">
        <v>6276</v>
      </c>
      <c r="B6170" t="s">
        <v>4144</v>
      </c>
      <c r="C6170" t="s">
        <v>4145</v>
      </c>
      <c r="D6170" t="str">
        <f>HYPERLINK("http://service.sap.com/sap/support/notes/1461447","1461447")</f>
        <v>1461447</v>
      </c>
      <c r="E6170">
        <v>3</v>
      </c>
      <c r="F6170" t="s">
        <v>6139</v>
      </c>
    </row>
    <row r="6171" spans="1:6" x14ac:dyDescent="0.25">
      <c r="A6171" t="s">
        <v>6276</v>
      </c>
      <c r="B6171" t="s">
        <v>4144</v>
      </c>
      <c r="C6171" t="s">
        <v>4145</v>
      </c>
      <c r="D6171" t="str">
        <f>HYPERLINK("http://service.sap.com/sap/support/notes/1465268","1465268")</f>
        <v>1465268</v>
      </c>
      <c r="E6171">
        <v>7</v>
      </c>
      <c r="F6171" t="s">
        <v>6140</v>
      </c>
    </row>
    <row r="6172" spans="1:6" x14ac:dyDescent="0.25">
      <c r="A6172" t="s">
        <v>6276</v>
      </c>
      <c r="B6172" t="s">
        <v>4144</v>
      </c>
      <c r="C6172" t="s">
        <v>4145</v>
      </c>
      <c r="D6172" t="str">
        <f>HYPERLINK("http://service.sap.com/sap/support/notes/1465685","1465685")</f>
        <v>1465685</v>
      </c>
      <c r="E6172">
        <v>1</v>
      </c>
      <c r="F6172" t="s">
        <v>6141</v>
      </c>
    </row>
    <row r="6173" spans="1:6" x14ac:dyDescent="0.25">
      <c r="A6173" t="s">
        <v>6276</v>
      </c>
      <c r="B6173" t="s">
        <v>4144</v>
      </c>
      <c r="C6173" t="s">
        <v>4145</v>
      </c>
      <c r="D6173" t="str">
        <f>HYPERLINK("http://service.sap.com/sap/support/notes/1466864","1466864")</f>
        <v>1466864</v>
      </c>
      <c r="E6173">
        <v>1</v>
      </c>
      <c r="F6173" t="s">
        <v>6142</v>
      </c>
    </row>
    <row r="6174" spans="1:6" x14ac:dyDescent="0.25">
      <c r="A6174" t="s">
        <v>6276</v>
      </c>
      <c r="B6174" t="s">
        <v>4144</v>
      </c>
      <c r="C6174" t="s">
        <v>4145</v>
      </c>
      <c r="D6174" t="str">
        <f>HYPERLINK("http://service.sap.com/sap/support/notes/1468045","1468045")</f>
        <v>1468045</v>
      </c>
      <c r="E6174">
        <v>2</v>
      </c>
      <c r="F6174" t="s">
        <v>6143</v>
      </c>
    </row>
    <row r="6175" spans="1:6" x14ac:dyDescent="0.25">
      <c r="A6175" t="s">
        <v>6276</v>
      </c>
      <c r="B6175" t="s">
        <v>4144</v>
      </c>
      <c r="C6175" t="s">
        <v>4145</v>
      </c>
      <c r="D6175" t="str">
        <f>HYPERLINK("http://service.sap.com/sap/support/notes/1469830","1469830")</f>
        <v>1469830</v>
      </c>
      <c r="E6175">
        <v>1</v>
      </c>
      <c r="F6175" t="s">
        <v>6144</v>
      </c>
    </row>
    <row r="6176" spans="1:6" x14ac:dyDescent="0.25">
      <c r="A6176" t="s">
        <v>6276</v>
      </c>
      <c r="B6176" t="s">
        <v>4144</v>
      </c>
      <c r="C6176" t="s">
        <v>4145</v>
      </c>
      <c r="D6176" t="str">
        <f>HYPERLINK("http://service.sap.com/sap/support/notes/1470505","1470505")</f>
        <v>1470505</v>
      </c>
      <c r="E6176">
        <v>1</v>
      </c>
      <c r="F6176" t="s">
        <v>6145</v>
      </c>
    </row>
    <row r="6177" spans="1:6" x14ac:dyDescent="0.25">
      <c r="A6177" t="s">
        <v>6276</v>
      </c>
      <c r="B6177" t="s">
        <v>4144</v>
      </c>
      <c r="C6177" t="s">
        <v>4145</v>
      </c>
      <c r="D6177" t="str">
        <f>HYPERLINK("http://service.sap.com/sap/support/notes/1470515","1470515")</f>
        <v>1470515</v>
      </c>
      <c r="E6177">
        <v>2</v>
      </c>
      <c r="F6177" t="s">
        <v>6146</v>
      </c>
    </row>
    <row r="6178" spans="1:6" x14ac:dyDescent="0.25">
      <c r="A6178" t="s">
        <v>6276</v>
      </c>
      <c r="B6178" t="s">
        <v>4144</v>
      </c>
      <c r="C6178" t="s">
        <v>4145</v>
      </c>
      <c r="D6178" t="str">
        <f>HYPERLINK("http://service.sap.com/sap/support/notes/1474145","1474145")</f>
        <v>1474145</v>
      </c>
      <c r="E6178">
        <v>1</v>
      </c>
      <c r="F6178" t="s">
        <v>6147</v>
      </c>
    </row>
    <row r="6179" spans="1:6" x14ac:dyDescent="0.25">
      <c r="A6179" t="s">
        <v>6276</v>
      </c>
      <c r="B6179" t="s">
        <v>4144</v>
      </c>
      <c r="C6179" t="s">
        <v>4145</v>
      </c>
      <c r="D6179" t="str">
        <f>HYPERLINK("http://service.sap.com/sap/support/notes/1474147","1474147")</f>
        <v>1474147</v>
      </c>
      <c r="E6179">
        <v>1</v>
      </c>
      <c r="F6179" t="s">
        <v>6148</v>
      </c>
    </row>
    <row r="6180" spans="1:6" x14ac:dyDescent="0.25">
      <c r="A6180" t="s">
        <v>6276</v>
      </c>
      <c r="B6180" t="s">
        <v>4144</v>
      </c>
      <c r="C6180" t="s">
        <v>4145</v>
      </c>
      <c r="D6180" t="str">
        <f>HYPERLINK("http://service.sap.com/sap/support/notes/1474176","1474176")</f>
        <v>1474176</v>
      </c>
      <c r="E6180">
        <v>2</v>
      </c>
      <c r="F6180" t="s">
        <v>6149</v>
      </c>
    </row>
    <row r="6181" spans="1:6" x14ac:dyDescent="0.25">
      <c r="A6181" t="s">
        <v>6276</v>
      </c>
      <c r="B6181" t="s">
        <v>4144</v>
      </c>
      <c r="C6181" t="s">
        <v>4145</v>
      </c>
      <c r="D6181" t="str">
        <f>HYPERLINK("http://service.sap.com/sap/support/notes/1477606","1477606")</f>
        <v>1477606</v>
      </c>
      <c r="E6181">
        <v>1</v>
      </c>
      <c r="F6181" t="s">
        <v>6150</v>
      </c>
    </row>
    <row r="6182" spans="1:6" x14ac:dyDescent="0.25">
      <c r="A6182" t="s">
        <v>6276</v>
      </c>
      <c r="B6182" t="s">
        <v>4144</v>
      </c>
      <c r="C6182" t="s">
        <v>4145</v>
      </c>
      <c r="D6182" t="str">
        <f>HYPERLINK("http://service.sap.com/sap/support/notes/1477723","1477723")</f>
        <v>1477723</v>
      </c>
      <c r="E6182">
        <v>1</v>
      </c>
      <c r="F6182" t="s">
        <v>6151</v>
      </c>
    </row>
    <row r="6183" spans="1:6" x14ac:dyDescent="0.25">
      <c r="A6183" t="s">
        <v>6276</v>
      </c>
      <c r="B6183" t="s">
        <v>4144</v>
      </c>
      <c r="C6183" t="s">
        <v>4145</v>
      </c>
      <c r="D6183" t="str">
        <f>HYPERLINK("http://service.sap.com/sap/support/notes/1479300","1479300")</f>
        <v>1479300</v>
      </c>
      <c r="E6183">
        <v>1</v>
      </c>
      <c r="F6183" t="s">
        <v>6152</v>
      </c>
    </row>
    <row r="6184" spans="1:6" x14ac:dyDescent="0.25">
      <c r="A6184" t="s">
        <v>6276</v>
      </c>
      <c r="B6184" t="s">
        <v>4144</v>
      </c>
      <c r="C6184" t="s">
        <v>4145</v>
      </c>
      <c r="D6184" t="str">
        <f>HYPERLINK("http://service.sap.com/sap/support/notes/1479388","1479388")</f>
        <v>1479388</v>
      </c>
      <c r="E6184">
        <v>1</v>
      </c>
      <c r="F6184" t="s">
        <v>6153</v>
      </c>
    </row>
    <row r="6185" spans="1:6" x14ac:dyDescent="0.25">
      <c r="A6185" t="s">
        <v>6276</v>
      </c>
      <c r="B6185" t="s">
        <v>4144</v>
      </c>
      <c r="C6185" t="s">
        <v>4145</v>
      </c>
      <c r="D6185" t="str">
        <f>HYPERLINK("http://service.sap.com/sap/support/notes/1479467","1479467")</f>
        <v>1479467</v>
      </c>
      <c r="E6185">
        <v>1</v>
      </c>
      <c r="F6185" t="s">
        <v>6154</v>
      </c>
    </row>
    <row r="6186" spans="1:6" x14ac:dyDescent="0.25">
      <c r="A6186" t="s">
        <v>6276</v>
      </c>
      <c r="B6186" t="s">
        <v>4144</v>
      </c>
      <c r="C6186" t="s">
        <v>4145</v>
      </c>
      <c r="D6186" t="str">
        <f>HYPERLINK("http://service.sap.com/sap/support/notes/1482989","1482989")</f>
        <v>1482989</v>
      </c>
      <c r="E6186">
        <v>2</v>
      </c>
      <c r="F6186" t="s">
        <v>6155</v>
      </c>
    </row>
    <row r="6187" spans="1:6" x14ac:dyDescent="0.25">
      <c r="A6187" t="s">
        <v>6276</v>
      </c>
      <c r="B6187" t="s">
        <v>4144</v>
      </c>
      <c r="C6187" t="s">
        <v>4145</v>
      </c>
      <c r="D6187" t="str">
        <f>HYPERLINK("http://service.sap.com/sap/support/notes/1483790","1483790")</f>
        <v>1483790</v>
      </c>
      <c r="E6187">
        <v>1</v>
      </c>
      <c r="F6187" t="s">
        <v>6156</v>
      </c>
    </row>
    <row r="6188" spans="1:6" x14ac:dyDescent="0.25">
      <c r="A6188" t="s">
        <v>6276</v>
      </c>
      <c r="B6188" t="s">
        <v>4144</v>
      </c>
      <c r="C6188" t="s">
        <v>4145</v>
      </c>
      <c r="D6188" t="str">
        <f>HYPERLINK("http://service.sap.com/sap/support/notes/1486208","1486208")</f>
        <v>1486208</v>
      </c>
      <c r="E6188">
        <v>1</v>
      </c>
      <c r="F6188" t="s">
        <v>6157</v>
      </c>
    </row>
    <row r="6189" spans="1:6" x14ac:dyDescent="0.25">
      <c r="A6189" t="s">
        <v>6276</v>
      </c>
      <c r="B6189" t="s">
        <v>4144</v>
      </c>
      <c r="C6189" t="s">
        <v>4145</v>
      </c>
      <c r="D6189" t="str">
        <f>HYPERLINK("http://service.sap.com/sap/support/notes/1486483","1486483")</f>
        <v>1486483</v>
      </c>
      <c r="E6189">
        <v>1</v>
      </c>
      <c r="F6189" t="s">
        <v>6158</v>
      </c>
    </row>
    <row r="6190" spans="1:6" x14ac:dyDescent="0.25">
      <c r="A6190" t="s">
        <v>6276</v>
      </c>
      <c r="B6190" t="s">
        <v>4144</v>
      </c>
      <c r="C6190" t="s">
        <v>4145</v>
      </c>
      <c r="D6190" t="str">
        <f>HYPERLINK("http://service.sap.com/sap/support/notes/1488373","1488373")</f>
        <v>1488373</v>
      </c>
      <c r="E6190">
        <v>1</v>
      </c>
      <c r="F6190" t="s">
        <v>6159</v>
      </c>
    </row>
    <row r="6191" spans="1:6" x14ac:dyDescent="0.25">
      <c r="A6191" t="s">
        <v>6276</v>
      </c>
      <c r="B6191" t="s">
        <v>4144</v>
      </c>
      <c r="C6191" t="s">
        <v>4145</v>
      </c>
      <c r="D6191" t="str">
        <f>HYPERLINK("http://service.sap.com/sap/support/notes/1489089","1489089")</f>
        <v>1489089</v>
      </c>
      <c r="E6191">
        <v>1</v>
      </c>
      <c r="F6191" t="s">
        <v>6160</v>
      </c>
    </row>
    <row r="6192" spans="1:6" x14ac:dyDescent="0.25">
      <c r="A6192" t="s">
        <v>6276</v>
      </c>
      <c r="B6192" t="s">
        <v>4144</v>
      </c>
      <c r="C6192" t="s">
        <v>4145</v>
      </c>
      <c r="D6192" t="str">
        <f>HYPERLINK("http://service.sap.com/sap/support/notes/1490183","1490183")</f>
        <v>1490183</v>
      </c>
      <c r="E6192">
        <v>3</v>
      </c>
      <c r="F6192" t="s">
        <v>6161</v>
      </c>
    </row>
    <row r="6193" spans="1:6" x14ac:dyDescent="0.25">
      <c r="A6193" t="s">
        <v>6276</v>
      </c>
      <c r="B6193" t="s">
        <v>4144</v>
      </c>
      <c r="C6193" t="s">
        <v>4145</v>
      </c>
      <c r="D6193" t="str">
        <f>HYPERLINK("http://service.sap.com/sap/support/notes/1492261","1492261")</f>
        <v>1492261</v>
      </c>
      <c r="E6193">
        <v>1</v>
      </c>
      <c r="F6193" t="s">
        <v>6162</v>
      </c>
    </row>
    <row r="6194" spans="1:6" x14ac:dyDescent="0.25">
      <c r="A6194" t="s">
        <v>6276</v>
      </c>
      <c r="B6194" t="s">
        <v>126</v>
      </c>
      <c r="C6194" t="s">
        <v>127</v>
      </c>
    </row>
    <row r="6195" spans="1:6" x14ac:dyDescent="0.25">
      <c r="A6195" t="s">
        <v>6276</v>
      </c>
      <c r="B6195" t="s">
        <v>824</v>
      </c>
      <c r="C6195" t="s">
        <v>1777</v>
      </c>
    </row>
    <row r="6196" spans="1:6" x14ac:dyDescent="0.25">
      <c r="A6196" t="s">
        <v>6276</v>
      </c>
      <c r="B6196" t="s">
        <v>4416</v>
      </c>
      <c r="C6196" t="s">
        <v>4417</v>
      </c>
      <c r="D6196" t="str">
        <f>HYPERLINK("http://service.sap.com/sap/support/notes/1464382","1464382")</f>
        <v>1464382</v>
      </c>
      <c r="E6196">
        <v>4</v>
      </c>
      <c r="F6196" t="s">
        <v>6163</v>
      </c>
    </row>
    <row r="6197" spans="1:6" x14ac:dyDescent="0.25">
      <c r="A6197" t="s">
        <v>6276</v>
      </c>
      <c r="B6197" t="s">
        <v>4157</v>
      </c>
      <c r="C6197" t="s">
        <v>4158</v>
      </c>
      <c r="D6197" t="str">
        <f>HYPERLINK("http://service.sap.com/sap/support/notes/1462976","1462976")</f>
        <v>1462976</v>
      </c>
      <c r="E6197">
        <v>2</v>
      </c>
      <c r="F6197" t="s">
        <v>6164</v>
      </c>
    </row>
    <row r="6198" spans="1:6" x14ac:dyDescent="0.25">
      <c r="A6198" t="s">
        <v>6276</v>
      </c>
      <c r="B6198" t="s">
        <v>825</v>
      </c>
      <c r="C6198" t="s">
        <v>1778</v>
      </c>
      <c r="D6198" t="str">
        <f>HYPERLINK("http://service.sap.com/sap/support/notes/1427341","1427341")</f>
        <v>1427341</v>
      </c>
      <c r="E6198">
        <v>4</v>
      </c>
      <c r="F6198" t="s">
        <v>6165</v>
      </c>
    </row>
    <row r="6199" spans="1:6" x14ac:dyDescent="0.25">
      <c r="A6199" t="s">
        <v>6276</v>
      </c>
      <c r="B6199" t="s">
        <v>825</v>
      </c>
      <c r="C6199" t="s">
        <v>1778</v>
      </c>
      <c r="D6199" t="str">
        <f>HYPERLINK("http://service.sap.com/sap/support/notes/1435113","1435113")</f>
        <v>1435113</v>
      </c>
      <c r="E6199">
        <v>3</v>
      </c>
      <c r="F6199" t="s">
        <v>6166</v>
      </c>
    </row>
    <row r="6200" spans="1:6" x14ac:dyDescent="0.25">
      <c r="A6200" t="s">
        <v>6276</v>
      </c>
      <c r="B6200" t="s">
        <v>825</v>
      </c>
      <c r="C6200" t="s">
        <v>1778</v>
      </c>
      <c r="D6200" t="str">
        <f>HYPERLINK("http://service.sap.com/sap/support/notes/1442651","1442651")</f>
        <v>1442651</v>
      </c>
      <c r="E6200">
        <v>1</v>
      </c>
      <c r="F6200" t="s">
        <v>6167</v>
      </c>
    </row>
    <row r="6201" spans="1:6" x14ac:dyDescent="0.25">
      <c r="A6201" t="s">
        <v>6276</v>
      </c>
      <c r="B6201" t="s">
        <v>825</v>
      </c>
      <c r="C6201" t="s">
        <v>1778</v>
      </c>
      <c r="D6201" t="str">
        <f>HYPERLINK("http://service.sap.com/sap/support/notes/1450412","1450412")</f>
        <v>1450412</v>
      </c>
      <c r="E6201">
        <v>1</v>
      </c>
      <c r="F6201" t="s">
        <v>6168</v>
      </c>
    </row>
    <row r="6202" spans="1:6" x14ac:dyDescent="0.25">
      <c r="A6202" t="s">
        <v>6276</v>
      </c>
      <c r="B6202" t="s">
        <v>825</v>
      </c>
      <c r="C6202" t="s">
        <v>1778</v>
      </c>
      <c r="D6202" t="str">
        <f>HYPERLINK("http://service.sap.com/sap/support/notes/1455367","1455367")</f>
        <v>1455367</v>
      </c>
      <c r="E6202">
        <v>2</v>
      </c>
      <c r="F6202" t="s">
        <v>6169</v>
      </c>
    </row>
    <row r="6203" spans="1:6" x14ac:dyDescent="0.25">
      <c r="A6203" t="s">
        <v>6276</v>
      </c>
      <c r="B6203" t="s">
        <v>825</v>
      </c>
      <c r="C6203" t="s">
        <v>1778</v>
      </c>
      <c r="D6203" t="str">
        <f>HYPERLINK("http://service.sap.com/sap/support/notes/1459361","1459361")</f>
        <v>1459361</v>
      </c>
      <c r="E6203">
        <v>2</v>
      </c>
      <c r="F6203" t="s">
        <v>6170</v>
      </c>
    </row>
    <row r="6204" spans="1:6" x14ac:dyDescent="0.25">
      <c r="A6204" t="s">
        <v>6276</v>
      </c>
      <c r="B6204" t="s">
        <v>825</v>
      </c>
      <c r="C6204" t="s">
        <v>1778</v>
      </c>
      <c r="D6204" t="str">
        <f>HYPERLINK("http://service.sap.com/sap/support/notes/1459835","1459835")</f>
        <v>1459835</v>
      </c>
      <c r="E6204">
        <v>3</v>
      </c>
      <c r="F6204" t="s">
        <v>6171</v>
      </c>
    </row>
    <row r="6205" spans="1:6" x14ac:dyDescent="0.25">
      <c r="A6205" t="s">
        <v>6276</v>
      </c>
      <c r="B6205" t="s">
        <v>825</v>
      </c>
      <c r="C6205" t="s">
        <v>1778</v>
      </c>
      <c r="D6205" t="str">
        <f>HYPERLINK("http://service.sap.com/sap/support/notes/1463716","1463716")</f>
        <v>1463716</v>
      </c>
      <c r="E6205">
        <v>2</v>
      </c>
      <c r="F6205" t="s">
        <v>6172</v>
      </c>
    </row>
    <row r="6206" spans="1:6" x14ac:dyDescent="0.25">
      <c r="A6206" t="s">
        <v>6276</v>
      </c>
      <c r="B6206" t="s">
        <v>825</v>
      </c>
      <c r="C6206" t="s">
        <v>1778</v>
      </c>
      <c r="D6206" t="str">
        <f>HYPERLINK("http://service.sap.com/sap/support/notes/1468055","1468055")</f>
        <v>1468055</v>
      </c>
      <c r="E6206">
        <v>1</v>
      </c>
      <c r="F6206" t="s">
        <v>6173</v>
      </c>
    </row>
    <row r="6207" spans="1:6" x14ac:dyDescent="0.25">
      <c r="A6207" t="s">
        <v>6276</v>
      </c>
      <c r="B6207" t="s">
        <v>825</v>
      </c>
      <c r="C6207" t="s">
        <v>1778</v>
      </c>
      <c r="D6207" t="str">
        <f>HYPERLINK("http://service.sap.com/sap/support/notes/1470789","1470789")</f>
        <v>1470789</v>
      </c>
      <c r="E6207">
        <v>1</v>
      </c>
      <c r="F6207" t="s">
        <v>6174</v>
      </c>
    </row>
    <row r="6208" spans="1:6" x14ac:dyDescent="0.25">
      <c r="A6208" t="s">
        <v>6276</v>
      </c>
      <c r="B6208" t="s">
        <v>825</v>
      </c>
      <c r="C6208" t="s">
        <v>1778</v>
      </c>
      <c r="D6208" t="str">
        <f>HYPERLINK("http://service.sap.com/sap/support/notes/1471204","1471204")</f>
        <v>1471204</v>
      </c>
      <c r="E6208">
        <v>1</v>
      </c>
      <c r="F6208" t="s">
        <v>6175</v>
      </c>
    </row>
    <row r="6209" spans="1:6" x14ac:dyDescent="0.25">
      <c r="A6209" t="s">
        <v>6276</v>
      </c>
      <c r="B6209" t="s">
        <v>825</v>
      </c>
      <c r="C6209" t="s">
        <v>1778</v>
      </c>
      <c r="D6209" t="str">
        <f>HYPERLINK("http://service.sap.com/sap/support/notes/1472656","1472656")</f>
        <v>1472656</v>
      </c>
      <c r="E6209">
        <v>2</v>
      </c>
      <c r="F6209" t="s">
        <v>6176</v>
      </c>
    </row>
    <row r="6210" spans="1:6" x14ac:dyDescent="0.25">
      <c r="A6210" t="s">
        <v>6276</v>
      </c>
      <c r="B6210" t="s">
        <v>825</v>
      </c>
      <c r="C6210" t="s">
        <v>1778</v>
      </c>
      <c r="D6210" t="str">
        <f>HYPERLINK("http://service.sap.com/sap/support/notes/1474521","1474521")</f>
        <v>1474521</v>
      </c>
      <c r="E6210">
        <v>2</v>
      </c>
      <c r="F6210" t="s">
        <v>6177</v>
      </c>
    </row>
    <row r="6211" spans="1:6" x14ac:dyDescent="0.25">
      <c r="A6211" t="s">
        <v>6276</v>
      </c>
      <c r="B6211" t="s">
        <v>825</v>
      </c>
      <c r="C6211" t="s">
        <v>1778</v>
      </c>
      <c r="D6211" t="str">
        <f>HYPERLINK("http://service.sap.com/sap/support/notes/1482808","1482808")</f>
        <v>1482808</v>
      </c>
      <c r="E6211">
        <v>2</v>
      </c>
      <c r="F6211" t="s">
        <v>6178</v>
      </c>
    </row>
    <row r="6212" spans="1:6" x14ac:dyDescent="0.25">
      <c r="A6212" t="s">
        <v>6276</v>
      </c>
      <c r="B6212" t="s">
        <v>825</v>
      </c>
      <c r="C6212" t="s">
        <v>1778</v>
      </c>
      <c r="D6212" t="str">
        <f>HYPERLINK("http://service.sap.com/sap/support/notes/1483863","1483863")</f>
        <v>1483863</v>
      </c>
      <c r="E6212">
        <v>1</v>
      </c>
      <c r="F6212" t="s">
        <v>6179</v>
      </c>
    </row>
    <row r="6213" spans="1:6" x14ac:dyDescent="0.25">
      <c r="A6213" t="s">
        <v>6276</v>
      </c>
      <c r="B6213" t="s">
        <v>825</v>
      </c>
      <c r="C6213" t="s">
        <v>1778</v>
      </c>
      <c r="D6213" t="str">
        <f>HYPERLINK("http://service.sap.com/sap/support/notes/1485590","1485590")</f>
        <v>1485590</v>
      </c>
      <c r="E6213">
        <v>2</v>
      </c>
      <c r="F6213" t="s">
        <v>6180</v>
      </c>
    </row>
    <row r="6214" spans="1:6" x14ac:dyDescent="0.25">
      <c r="A6214" t="s">
        <v>6276</v>
      </c>
      <c r="B6214" t="s">
        <v>826</v>
      </c>
      <c r="C6214" t="s">
        <v>1773</v>
      </c>
      <c r="D6214" t="str">
        <f>HYPERLINK("http://service.sap.com/sap/support/notes/1457145","1457145")</f>
        <v>1457145</v>
      </c>
      <c r="E6214">
        <v>2</v>
      </c>
      <c r="F6214" t="s">
        <v>5713</v>
      </c>
    </row>
    <row r="6215" spans="1:6" x14ac:dyDescent="0.25">
      <c r="A6215" t="s">
        <v>6276</v>
      </c>
      <c r="B6215" t="s">
        <v>826</v>
      </c>
      <c r="C6215" t="s">
        <v>1773</v>
      </c>
      <c r="D6215" t="str">
        <f>HYPERLINK("http://service.sap.com/sap/support/notes/1461309","1461309")</f>
        <v>1461309</v>
      </c>
      <c r="E6215">
        <v>1</v>
      </c>
      <c r="F6215" t="s">
        <v>6181</v>
      </c>
    </row>
    <row r="6216" spans="1:6" x14ac:dyDescent="0.25">
      <c r="A6216" t="s">
        <v>6276</v>
      </c>
      <c r="B6216" t="s">
        <v>6182</v>
      </c>
      <c r="C6216" t="s">
        <v>6183</v>
      </c>
      <c r="D6216" t="str">
        <f>HYPERLINK("http://service.sap.com/sap/support/notes/1483956","1483956")</f>
        <v>1483956</v>
      </c>
      <c r="E6216">
        <v>1</v>
      </c>
      <c r="F6216" t="s">
        <v>6184</v>
      </c>
    </row>
    <row r="6217" spans="1:6" x14ac:dyDescent="0.25">
      <c r="A6217" t="s">
        <v>6276</v>
      </c>
      <c r="B6217" t="s">
        <v>6185</v>
      </c>
      <c r="C6217" t="s">
        <v>6186</v>
      </c>
    </row>
    <row r="6218" spans="1:6" x14ac:dyDescent="0.25">
      <c r="A6218" t="s">
        <v>6276</v>
      </c>
      <c r="B6218" t="s">
        <v>6187</v>
      </c>
      <c r="C6218" t="s">
        <v>6188</v>
      </c>
    </row>
    <row r="6219" spans="1:6" x14ac:dyDescent="0.25">
      <c r="A6219" t="s">
        <v>6276</v>
      </c>
      <c r="B6219" t="s">
        <v>6189</v>
      </c>
      <c r="C6219" t="s">
        <v>6190</v>
      </c>
      <c r="D6219" t="str">
        <f>HYPERLINK("http://service.sap.com/sap/support/notes/329790","329790")</f>
        <v>329790</v>
      </c>
      <c r="E6219">
        <v>57</v>
      </c>
      <c r="F6219" t="s">
        <v>6191</v>
      </c>
    </row>
    <row r="6220" spans="1:6" x14ac:dyDescent="0.25">
      <c r="A6220" t="s">
        <v>6276</v>
      </c>
      <c r="B6220" t="s">
        <v>831</v>
      </c>
      <c r="C6220" t="s">
        <v>2598</v>
      </c>
    </row>
    <row r="6221" spans="1:6" x14ac:dyDescent="0.25">
      <c r="A6221" t="s">
        <v>6276</v>
      </c>
      <c r="B6221" t="s">
        <v>849</v>
      </c>
      <c r="C6221" t="s">
        <v>4450</v>
      </c>
      <c r="D6221" t="str">
        <f>HYPERLINK("http://service.sap.com/sap/support/notes/1478110","1478110")</f>
        <v>1478110</v>
      </c>
      <c r="E6221">
        <v>3</v>
      </c>
      <c r="F6221" t="s">
        <v>6192</v>
      </c>
    </row>
    <row r="6222" spans="1:6" x14ac:dyDescent="0.25">
      <c r="A6222" t="s">
        <v>6276</v>
      </c>
      <c r="B6222" t="s">
        <v>867</v>
      </c>
      <c r="C6222" t="s">
        <v>4451</v>
      </c>
    </row>
    <row r="6223" spans="1:6" x14ac:dyDescent="0.25">
      <c r="A6223" t="s">
        <v>6276</v>
      </c>
      <c r="B6223" t="s">
        <v>4452</v>
      </c>
      <c r="C6223" t="s">
        <v>4048</v>
      </c>
      <c r="D6223" t="str">
        <f>HYPERLINK("http://service.sap.com/sap/support/notes/1347843","1347843")</f>
        <v>1347843</v>
      </c>
      <c r="E6223">
        <v>2</v>
      </c>
      <c r="F6223" t="s">
        <v>6193</v>
      </c>
    </row>
    <row r="6224" spans="1:6" x14ac:dyDescent="0.25">
      <c r="A6224" t="s">
        <v>6276</v>
      </c>
      <c r="B6224" t="s">
        <v>4452</v>
      </c>
      <c r="C6224" t="s">
        <v>4048</v>
      </c>
      <c r="D6224" t="str">
        <f>HYPERLINK("http://service.sap.com/sap/support/notes/1364914","1364914")</f>
        <v>1364914</v>
      </c>
      <c r="E6224">
        <v>3</v>
      </c>
      <c r="F6224" t="s">
        <v>6194</v>
      </c>
    </row>
    <row r="6225" spans="1:6" x14ac:dyDescent="0.25">
      <c r="A6225" t="s">
        <v>6276</v>
      </c>
      <c r="B6225" t="s">
        <v>4452</v>
      </c>
      <c r="C6225" t="s">
        <v>4048</v>
      </c>
      <c r="D6225" t="str">
        <f>HYPERLINK("http://service.sap.com/sap/support/notes/1443883","1443883")</f>
        <v>1443883</v>
      </c>
      <c r="E6225">
        <v>3</v>
      </c>
      <c r="F6225" t="s">
        <v>6195</v>
      </c>
    </row>
    <row r="6226" spans="1:6" x14ac:dyDescent="0.25">
      <c r="A6226" t="s">
        <v>6276</v>
      </c>
      <c r="B6226" t="s">
        <v>4452</v>
      </c>
      <c r="C6226" t="s">
        <v>4048</v>
      </c>
      <c r="D6226" t="str">
        <f>HYPERLINK("http://service.sap.com/sap/support/notes/1451215","1451215")</f>
        <v>1451215</v>
      </c>
      <c r="E6226">
        <v>2</v>
      </c>
      <c r="F6226" t="s">
        <v>6196</v>
      </c>
    </row>
    <row r="6227" spans="1:6" x14ac:dyDescent="0.25">
      <c r="A6227" t="s">
        <v>6276</v>
      </c>
      <c r="B6227" t="s">
        <v>4452</v>
      </c>
      <c r="C6227" t="s">
        <v>4048</v>
      </c>
      <c r="D6227" t="str">
        <f>HYPERLINK("http://service.sap.com/sap/support/notes/1466415","1466415")</f>
        <v>1466415</v>
      </c>
      <c r="E6227">
        <v>1</v>
      </c>
      <c r="F6227" t="s">
        <v>6197</v>
      </c>
    </row>
    <row r="6228" spans="1:6" x14ac:dyDescent="0.25">
      <c r="A6228" t="s">
        <v>6276</v>
      </c>
      <c r="B6228" t="s">
        <v>4452</v>
      </c>
      <c r="C6228" t="s">
        <v>4048</v>
      </c>
      <c r="D6228" t="str">
        <f>HYPERLINK("http://service.sap.com/sap/support/notes/1470672","1470672")</f>
        <v>1470672</v>
      </c>
      <c r="E6228">
        <v>2</v>
      </c>
      <c r="F6228" t="s">
        <v>6198</v>
      </c>
    </row>
    <row r="6229" spans="1:6" x14ac:dyDescent="0.25">
      <c r="A6229" t="s">
        <v>6276</v>
      </c>
      <c r="B6229" t="s">
        <v>4452</v>
      </c>
      <c r="C6229" t="s">
        <v>4048</v>
      </c>
      <c r="D6229" t="str">
        <f>HYPERLINK("http://service.sap.com/sap/support/notes/1482537","1482537")</f>
        <v>1482537</v>
      </c>
      <c r="E6229">
        <v>1</v>
      </c>
      <c r="F6229" t="s">
        <v>6199</v>
      </c>
    </row>
    <row r="6230" spans="1:6" x14ac:dyDescent="0.25">
      <c r="A6230" t="s">
        <v>6276</v>
      </c>
      <c r="B6230" t="s">
        <v>131</v>
      </c>
      <c r="C6230" t="s">
        <v>132</v>
      </c>
    </row>
    <row r="6231" spans="1:6" x14ac:dyDescent="0.25">
      <c r="A6231" t="s">
        <v>6276</v>
      </c>
      <c r="B6231" t="s">
        <v>141</v>
      </c>
      <c r="C6231" t="s">
        <v>41</v>
      </c>
      <c r="D6231" t="str">
        <f>HYPERLINK("http://service.sap.com/sap/support/notes/1435448","1435448")</f>
        <v>1435448</v>
      </c>
      <c r="E6231">
        <v>1</v>
      </c>
      <c r="F6231" t="s">
        <v>6200</v>
      </c>
    </row>
    <row r="6232" spans="1:6" x14ac:dyDescent="0.25">
      <c r="A6232" t="s">
        <v>6276</v>
      </c>
      <c r="B6232" t="s">
        <v>155</v>
      </c>
      <c r="C6232" t="s">
        <v>156</v>
      </c>
      <c r="D6232" t="str">
        <f>HYPERLINK("http://service.sap.com/sap/support/notes/1382060","1382060")</f>
        <v>1382060</v>
      </c>
      <c r="E6232">
        <v>2</v>
      </c>
      <c r="F6232" t="s">
        <v>6201</v>
      </c>
    </row>
    <row r="6233" spans="1:6" x14ac:dyDescent="0.25">
      <c r="A6233" t="s">
        <v>6276</v>
      </c>
      <c r="B6233" t="s">
        <v>155</v>
      </c>
      <c r="C6233" t="s">
        <v>156</v>
      </c>
      <c r="D6233" t="str">
        <f>HYPERLINK("http://service.sap.com/sap/support/notes/1393931","1393931")</f>
        <v>1393931</v>
      </c>
      <c r="E6233">
        <v>1</v>
      </c>
      <c r="F6233" t="s">
        <v>6202</v>
      </c>
    </row>
    <row r="6234" spans="1:6" x14ac:dyDescent="0.25">
      <c r="A6234" t="s">
        <v>6276</v>
      </c>
      <c r="B6234" t="s">
        <v>155</v>
      </c>
      <c r="C6234" t="s">
        <v>156</v>
      </c>
      <c r="D6234" t="str">
        <f>HYPERLINK("http://service.sap.com/sap/support/notes/1435458","1435458")</f>
        <v>1435458</v>
      </c>
      <c r="E6234">
        <v>3</v>
      </c>
      <c r="F6234" t="s">
        <v>6203</v>
      </c>
    </row>
    <row r="6235" spans="1:6" x14ac:dyDescent="0.25">
      <c r="A6235" t="s">
        <v>6276</v>
      </c>
      <c r="B6235" t="s">
        <v>155</v>
      </c>
      <c r="C6235" t="s">
        <v>156</v>
      </c>
      <c r="D6235" t="str">
        <f>HYPERLINK("http://service.sap.com/sap/support/notes/1453806","1453806")</f>
        <v>1453806</v>
      </c>
      <c r="E6235">
        <v>2</v>
      </c>
      <c r="F6235" t="s">
        <v>6204</v>
      </c>
    </row>
    <row r="6236" spans="1:6" x14ac:dyDescent="0.25">
      <c r="A6236" t="s">
        <v>6276</v>
      </c>
      <c r="B6236" t="s">
        <v>155</v>
      </c>
      <c r="C6236" t="s">
        <v>156</v>
      </c>
      <c r="D6236" t="str">
        <f>HYPERLINK("http://service.sap.com/sap/support/notes/1470454","1470454")</f>
        <v>1470454</v>
      </c>
      <c r="E6236">
        <v>2</v>
      </c>
      <c r="F6236" t="s">
        <v>6205</v>
      </c>
    </row>
    <row r="6237" spans="1:6" x14ac:dyDescent="0.25">
      <c r="A6237" t="s">
        <v>6276</v>
      </c>
      <c r="B6237" t="s">
        <v>155</v>
      </c>
      <c r="C6237" t="s">
        <v>156</v>
      </c>
      <c r="D6237" t="str">
        <f>HYPERLINK("http://service.sap.com/sap/support/notes/1470457","1470457")</f>
        <v>1470457</v>
      </c>
      <c r="E6237">
        <v>3</v>
      </c>
      <c r="F6237" t="s">
        <v>6206</v>
      </c>
    </row>
    <row r="6238" spans="1:6" x14ac:dyDescent="0.25">
      <c r="A6238" t="s">
        <v>6276</v>
      </c>
      <c r="B6238" t="s">
        <v>155</v>
      </c>
      <c r="C6238" t="s">
        <v>156</v>
      </c>
      <c r="D6238" t="str">
        <f>HYPERLINK("http://service.sap.com/sap/support/notes/1470873","1470873")</f>
        <v>1470873</v>
      </c>
      <c r="E6238">
        <v>1</v>
      </c>
      <c r="F6238" t="s">
        <v>6207</v>
      </c>
    </row>
    <row r="6239" spans="1:6" x14ac:dyDescent="0.25">
      <c r="A6239" t="s">
        <v>6276</v>
      </c>
      <c r="B6239" t="s">
        <v>155</v>
      </c>
      <c r="C6239" t="s">
        <v>156</v>
      </c>
      <c r="D6239" t="str">
        <f>HYPERLINK("http://service.sap.com/sap/support/notes/1472247","1472247")</f>
        <v>1472247</v>
      </c>
      <c r="E6239">
        <v>2</v>
      </c>
      <c r="F6239" t="s">
        <v>6208</v>
      </c>
    </row>
    <row r="6240" spans="1:6" x14ac:dyDescent="0.25">
      <c r="A6240" t="s">
        <v>6276</v>
      </c>
      <c r="B6240" t="s">
        <v>155</v>
      </c>
      <c r="C6240" t="s">
        <v>156</v>
      </c>
      <c r="D6240" t="str">
        <f>HYPERLINK("http://service.sap.com/sap/support/notes/1474978","1474978")</f>
        <v>1474978</v>
      </c>
      <c r="E6240">
        <v>4</v>
      </c>
      <c r="F6240" t="s">
        <v>6209</v>
      </c>
    </row>
    <row r="6241" spans="1:6" x14ac:dyDescent="0.25">
      <c r="A6241" t="s">
        <v>6276</v>
      </c>
      <c r="B6241" t="s">
        <v>155</v>
      </c>
      <c r="C6241" t="s">
        <v>156</v>
      </c>
      <c r="D6241" t="str">
        <f>HYPERLINK("http://service.sap.com/sap/support/notes/1478622","1478622")</f>
        <v>1478622</v>
      </c>
      <c r="E6241">
        <v>3</v>
      </c>
      <c r="F6241" t="s">
        <v>6210</v>
      </c>
    </row>
    <row r="6242" spans="1:6" x14ac:dyDescent="0.25">
      <c r="A6242" t="s">
        <v>6276</v>
      </c>
      <c r="B6242" t="s">
        <v>155</v>
      </c>
      <c r="C6242" t="s">
        <v>156</v>
      </c>
      <c r="D6242" t="str">
        <f>HYPERLINK("http://service.sap.com/sap/support/notes/1487206","1487206")</f>
        <v>1487206</v>
      </c>
      <c r="E6242">
        <v>1</v>
      </c>
      <c r="F6242" t="s">
        <v>6211</v>
      </c>
    </row>
    <row r="6243" spans="1:6" x14ac:dyDescent="0.25">
      <c r="A6243" t="s">
        <v>6276</v>
      </c>
      <c r="B6243" t="s">
        <v>168</v>
      </c>
      <c r="C6243" t="s">
        <v>169</v>
      </c>
      <c r="D6243" t="str">
        <f>HYPERLINK("http://service.sap.com/sap/support/notes/1462246","1462246")</f>
        <v>1462246</v>
      </c>
      <c r="E6243">
        <v>1</v>
      </c>
      <c r="F6243" t="s">
        <v>6212</v>
      </c>
    </row>
    <row r="6244" spans="1:6" x14ac:dyDescent="0.25">
      <c r="A6244" t="s">
        <v>6276</v>
      </c>
      <c r="B6244" t="s">
        <v>168</v>
      </c>
      <c r="C6244" t="s">
        <v>169</v>
      </c>
      <c r="D6244" t="str">
        <f>HYPERLINK("http://service.sap.com/sap/support/notes/1484611","1484611")</f>
        <v>1484611</v>
      </c>
      <c r="E6244">
        <v>1</v>
      </c>
      <c r="F6244" t="s">
        <v>6213</v>
      </c>
    </row>
    <row r="6245" spans="1:6" x14ac:dyDescent="0.25">
      <c r="A6245" t="s">
        <v>6276</v>
      </c>
      <c r="B6245" t="s">
        <v>171</v>
      </c>
      <c r="C6245" t="s">
        <v>153</v>
      </c>
      <c r="D6245" t="str">
        <f>HYPERLINK("http://service.sap.com/sap/support/notes/1481495","1481495")</f>
        <v>1481495</v>
      </c>
      <c r="E6245">
        <v>1</v>
      </c>
      <c r="F6245" t="s">
        <v>6214</v>
      </c>
    </row>
    <row r="6246" spans="1:6" x14ac:dyDescent="0.25">
      <c r="A6246" t="s">
        <v>6276</v>
      </c>
      <c r="B6246" t="s">
        <v>201</v>
      </c>
      <c r="C6246" t="s">
        <v>202</v>
      </c>
      <c r="D6246" t="str">
        <f>HYPERLINK("http://service.sap.com/sap/support/notes/1469661","1469661")</f>
        <v>1469661</v>
      </c>
      <c r="E6246">
        <v>1</v>
      </c>
      <c r="F6246" t="s">
        <v>6215</v>
      </c>
    </row>
    <row r="6247" spans="1:6" x14ac:dyDescent="0.25">
      <c r="A6247" t="s">
        <v>6276</v>
      </c>
      <c r="B6247" t="s">
        <v>201</v>
      </c>
      <c r="C6247" t="s">
        <v>202</v>
      </c>
      <c r="D6247" t="str">
        <f>HYPERLINK("http://service.sap.com/sap/support/notes/1490093","1490093")</f>
        <v>1490093</v>
      </c>
      <c r="E6247">
        <v>1</v>
      </c>
      <c r="F6247" t="s">
        <v>6216</v>
      </c>
    </row>
    <row r="6248" spans="1:6" x14ac:dyDescent="0.25">
      <c r="A6248" t="s">
        <v>6276</v>
      </c>
      <c r="B6248" t="s">
        <v>964</v>
      </c>
      <c r="C6248" t="s">
        <v>299</v>
      </c>
      <c r="D6248" t="str">
        <f>HYPERLINK("http://service.sap.com/sap/support/notes/1448985","1448985")</f>
        <v>1448985</v>
      </c>
      <c r="E6248">
        <v>1</v>
      </c>
      <c r="F6248" t="s">
        <v>6217</v>
      </c>
    </row>
    <row r="6249" spans="1:6" x14ac:dyDescent="0.25">
      <c r="A6249" t="s">
        <v>6276</v>
      </c>
      <c r="B6249" t="s">
        <v>964</v>
      </c>
      <c r="C6249" t="s">
        <v>299</v>
      </c>
      <c r="D6249" t="str">
        <f>HYPERLINK("http://service.sap.com/sap/support/notes/1472416","1472416")</f>
        <v>1472416</v>
      </c>
      <c r="E6249">
        <v>1</v>
      </c>
      <c r="F6249" t="s">
        <v>6218</v>
      </c>
    </row>
    <row r="6250" spans="1:6" x14ac:dyDescent="0.25">
      <c r="A6250" t="s">
        <v>6276</v>
      </c>
      <c r="B6250" t="s">
        <v>226</v>
      </c>
      <c r="C6250" t="s">
        <v>52</v>
      </c>
    </row>
    <row r="6251" spans="1:6" x14ac:dyDescent="0.25">
      <c r="A6251" t="s">
        <v>6276</v>
      </c>
      <c r="B6251" t="s">
        <v>235</v>
      </c>
      <c r="C6251" t="s">
        <v>236</v>
      </c>
    </row>
    <row r="6252" spans="1:6" x14ac:dyDescent="0.25">
      <c r="A6252" t="s">
        <v>6276</v>
      </c>
      <c r="B6252" t="s">
        <v>246</v>
      </c>
      <c r="C6252" t="s">
        <v>247</v>
      </c>
      <c r="D6252" t="str">
        <f>HYPERLINK("http://service.sap.com/sap/support/notes/1455106","1455106")</f>
        <v>1455106</v>
      </c>
      <c r="E6252">
        <v>2</v>
      </c>
      <c r="F6252" t="s">
        <v>6219</v>
      </c>
    </row>
    <row r="6253" spans="1:6" x14ac:dyDescent="0.25">
      <c r="A6253" t="s">
        <v>6276</v>
      </c>
      <c r="B6253" t="s">
        <v>246</v>
      </c>
      <c r="C6253" t="s">
        <v>247</v>
      </c>
      <c r="D6253" t="str">
        <f>HYPERLINK("http://service.sap.com/sap/support/notes/1470157","1470157")</f>
        <v>1470157</v>
      </c>
      <c r="E6253">
        <v>2</v>
      </c>
      <c r="F6253" t="s">
        <v>6220</v>
      </c>
    </row>
    <row r="6254" spans="1:6" x14ac:dyDescent="0.25">
      <c r="A6254" t="s">
        <v>6276</v>
      </c>
      <c r="B6254" t="s">
        <v>246</v>
      </c>
      <c r="C6254" t="s">
        <v>247</v>
      </c>
      <c r="D6254" t="str">
        <f>HYPERLINK("http://service.sap.com/sap/support/notes/1470221","1470221")</f>
        <v>1470221</v>
      </c>
      <c r="E6254">
        <v>1</v>
      </c>
      <c r="F6254" t="s">
        <v>6221</v>
      </c>
    </row>
    <row r="6255" spans="1:6" x14ac:dyDescent="0.25">
      <c r="A6255" t="s">
        <v>6276</v>
      </c>
      <c r="B6255" t="s">
        <v>246</v>
      </c>
      <c r="C6255" t="s">
        <v>247</v>
      </c>
      <c r="D6255" t="str">
        <f>HYPERLINK("http://service.sap.com/sap/support/notes/1483905","1483905")</f>
        <v>1483905</v>
      </c>
      <c r="E6255">
        <v>1</v>
      </c>
      <c r="F6255" t="s">
        <v>6222</v>
      </c>
    </row>
    <row r="6256" spans="1:6" x14ac:dyDescent="0.25">
      <c r="A6256" t="s">
        <v>6276</v>
      </c>
      <c r="B6256" t="s">
        <v>246</v>
      </c>
      <c r="C6256" t="s">
        <v>247</v>
      </c>
      <c r="D6256" t="str">
        <f>HYPERLINK("http://service.sap.com/sap/support/notes/1485039","1485039")</f>
        <v>1485039</v>
      </c>
      <c r="E6256">
        <v>8</v>
      </c>
      <c r="F6256" t="s">
        <v>6223</v>
      </c>
    </row>
    <row r="6257" spans="1:6" x14ac:dyDescent="0.25">
      <c r="A6257" t="s">
        <v>6276</v>
      </c>
      <c r="B6257" t="s">
        <v>250</v>
      </c>
      <c r="C6257" t="s">
        <v>251</v>
      </c>
    </row>
    <row r="6258" spans="1:6" x14ac:dyDescent="0.25">
      <c r="A6258" t="s">
        <v>6276</v>
      </c>
      <c r="B6258" t="s">
        <v>258</v>
      </c>
      <c r="C6258" t="s">
        <v>259</v>
      </c>
      <c r="D6258" t="str">
        <f>HYPERLINK("http://service.sap.com/sap/support/notes/1455053","1455053")</f>
        <v>1455053</v>
      </c>
      <c r="E6258">
        <v>1</v>
      </c>
      <c r="F6258" t="s">
        <v>6224</v>
      </c>
    </row>
    <row r="6259" spans="1:6" x14ac:dyDescent="0.25">
      <c r="A6259" t="s">
        <v>6276</v>
      </c>
      <c r="B6259" t="s">
        <v>304</v>
      </c>
      <c r="C6259" t="s">
        <v>305</v>
      </c>
      <c r="D6259" t="str">
        <f>HYPERLINK("http://service.sap.com/sap/support/notes/1369006","1369006")</f>
        <v>1369006</v>
      </c>
      <c r="E6259">
        <v>11</v>
      </c>
      <c r="F6259" t="s">
        <v>6225</v>
      </c>
    </row>
    <row r="6260" spans="1:6" x14ac:dyDescent="0.25">
      <c r="A6260" t="s">
        <v>6276</v>
      </c>
      <c r="B6260" t="s">
        <v>328</v>
      </c>
      <c r="C6260" t="s">
        <v>58</v>
      </c>
    </row>
    <row r="6261" spans="1:6" x14ac:dyDescent="0.25">
      <c r="A6261" t="s">
        <v>6276</v>
      </c>
      <c r="B6261" t="s">
        <v>2415</v>
      </c>
      <c r="C6261" t="s">
        <v>153</v>
      </c>
      <c r="D6261" t="str">
        <f>HYPERLINK("http://service.sap.com/sap/support/notes/1477895","1477895")</f>
        <v>1477895</v>
      </c>
      <c r="E6261">
        <v>1</v>
      </c>
      <c r="F6261" t="s">
        <v>6226</v>
      </c>
    </row>
    <row r="6262" spans="1:6" x14ac:dyDescent="0.25">
      <c r="A6262" t="s">
        <v>6276</v>
      </c>
      <c r="B6262" t="s">
        <v>343</v>
      </c>
      <c r="C6262" t="s">
        <v>344</v>
      </c>
    </row>
    <row r="6263" spans="1:6" x14ac:dyDescent="0.25">
      <c r="A6263" t="s">
        <v>6276</v>
      </c>
      <c r="B6263" t="s">
        <v>349</v>
      </c>
      <c r="C6263" t="s">
        <v>299</v>
      </c>
    </row>
    <row r="6264" spans="1:6" x14ac:dyDescent="0.25">
      <c r="A6264" t="s">
        <v>6276</v>
      </c>
      <c r="B6264" t="s">
        <v>350</v>
      </c>
      <c r="C6264" t="s">
        <v>351</v>
      </c>
      <c r="D6264" t="str">
        <f>HYPERLINK("http://service.sap.com/sap/support/notes/1451021","1451021")</f>
        <v>1451021</v>
      </c>
      <c r="E6264">
        <v>1</v>
      </c>
      <c r="F6264" t="s">
        <v>6227</v>
      </c>
    </row>
    <row r="6265" spans="1:6" x14ac:dyDescent="0.25">
      <c r="A6265" t="s">
        <v>6276</v>
      </c>
      <c r="B6265" t="s">
        <v>363</v>
      </c>
      <c r="C6265" t="s">
        <v>74</v>
      </c>
      <c r="D6265" t="str">
        <f>HYPERLINK("http://service.sap.com/sap/support/notes/1395749","1395749")</f>
        <v>1395749</v>
      </c>
      <c r="E6265">
        <v>5</v>
      </c>
      <c r="F6265" t="s">
        <v>6228</v>
      </c>
    </row>
    <row r="6266" spans="1:6" x14ac:dyDescent="0.25">
      <c r="A6266" t="s">
        <v>6276</v>
      </c>
      <c r="B6266" t="s">
        <v>371</v>
      </c>
      <c r="C6266" t="s">
        <v>372</v>
      </c>
      <c r="D6266" t="str">
        <f>HYPERLINK("http://service.sap.com/sap/support/notes/1378818","1378818")</f>
        <v>1378818</v>
      </c>
      <c r="E6266">
        <v>1</v>
      </c>
      <c r="F6266" t="s">
        <v>5758</v>
      </c>
    </row>
    <row r="6267" spans="1:6" x14ac:dyDescent="0.25">
      <c r="A6267" t="s">
        <v>6276</v>
      </c>
      <c r="B6267" t="s">
        <v>371</v>
      </c>
      <c r="C6267" t="s">
        <v>372</v>
      </c>
      <c r="D6267" t="str">
        <f>HYPERLINK("http://service.sap.com/sap/support/notes/1452780","1452780")</f>
        <v>1452780</v>
      </c>
      <c r="E6267">
        <v>3</v>
      </c>
      <c r="F6267" t="s">
        <v>6229</v>
      </c>
    </row>
    <row r="6268" spans="1:6" x14ac:dyDescent="0.25">
      <c r="A6268" t="s">
        <v>6276</v>
      </c>
      <c r="B6268" t="s">
        <v>371</v>
      </c>
      <c r="C6268" t="s">
        <v>372</v>
      </c>
      <c r="D6268" t="str">
        <f>HYPERLINK("http://service.sap.com/sap/support/notes/1454889","1454889")</f>
        <v>1454889</v>
      </c>
      <c r="E6268">
        <v>1</v>
      </c>
      <c r="F6268" t="s">
        <v>6230</v>
      </c>
    </row>
    <row r="6269" spans="1:6" x14ac:dyDescent="0.25">
      <c r="A6269" t="s">
        <v>6276</v>
      </c>
      <c r="B6269" t="s">
        <v>371</v>
      </c>
      <c r="C6269" t="s">
        <v>372</v>
      </c>
      <c r="D6269" t="str">
        <f>HYPERLINK("http://service.sap.com/sap/support/notes/1466722","1466722")</f>
        <v>1466722</v>
      </c>
      <c r="E6269">
        <v>1</v>
      </c>
      <c r="F6269" t="s">
        <v>6231</v>
      </c>
    </row>
    <row r="6270" spans="1:6" x14ac:dyDescent="0.25">
      <c r="A6270" t="s">
        <v>6276</v>
      </c>
      <c r="B6270" t="s">
        <v>371</v>
      </c>
      <c r="C6270" t="s">
        <v>372</v>
      </c>
      <c r="D6270" t="str">
        <f>HYPERLINK("http://service.sap.com/sap/support/notes/1477028","1477028")</f>
        <v>1477028</v>
      </c>
      <c r="E6270">
        <v>1</v>
      </c>
      <c r="F6270" t="s">
        <v>6232</v>
      </c>
    </row>
    <row r="6271" spans="1:6" x14ac:dyDescent="0.25">
      <c r="A6271" t="s">
        <v>6276</v>
      </c>
      <c r="B6271" t="s">
        <v>371</v>
      </c>
      <c r="C6271" t="s">
        <v>372</v>
      </c>
      <c r="D6271" t="str">
        <f>HYPERLINK("http://service.sap.com/sap/support/notes/1486961","1486961")</f>
        <v>1486961</v>
      </c>
      <c r="E6271">
        <v>1</v>
      </c>
      <c r="F6271" t="s">
        <v>6233</v>
      </c>
    </row>
    <row r="6272" spans="1:6" x14ac:dyDescent="0.25">
      <c r="A6272" t="s">
        <v>6276</v>
      </c>
      <c r="B6272" t="s">
        <v>396</v>
      </c>
      <c r="C6272" t="s">
        <v>397</v>
      </c>
      <c r="D6272" t="str">
        <f>HYPERLINK("http://service.sap.com/sap/support/notes/995270","995270")</f>
        <v>995270</v>
      </c>
      <c r="E6272">
        <v>2</v>
      </c>
      <c r="F6272" t="s">
        <v>6234</v>
      </c>
    </row>
    <row r="6273" spans="1:6" x14ac:dyDescent="0.25">
      <c r="A6273" t="s">
        <v>6276</v>
      </c>
      <c r="B6273" t="s">
        <v>396</v>
      </c>
      <c r="C6273" t="s">
        <v>397</v>
      </c>
      <c r="D6273" t="str">
        <f>HYPERLINK("http://service.sap.com/sap/support/notes/1346548","1346548")</f>
        <v>1346548</v>
      </c>
      <c r="E6273">
        <v>1</v>
      </c>
      <c r="F6273" t="s">
        <v>2841</v>
      </c>
    </row>
    <row r="6274" spans="1:6" x14ac:dyDescent="0.25">
      <c r="A6274" t="s">
        <v>6276</v>
      </c>
      <c r="B6274" t="s">
        <v>1202</v>
      </c>
      <c r="C6274" t="s">
        <v>1427</v>
      </c>
      <c r="D6274" t="str">
        <f>HYPERLINK("http://service.sap.com/sap/support/notes/1471959","1471959")</f>
        <v>1471959</v>
      </c>
      <c r="E6274">
        <v>1</v>
      </c>
      <c r="F6274" t="s">
        <v>6235</v>
      </c>
    </row>
    <row r="6275" spans="1:6" x14ac:dyDescent="0.25">
      <c r="A6275" t="s">
        <v>6276</v>
      </c>
      <c r="B6275" t="s">
        <v>460</v>
      </c>
      <c r="C6275" t="s">
        <v>461</v>
      </c>
      <c r="D6275" t="str">
        <f>HYPERLINK("http://service.sap.com/sap/support/notes/1443638","1443638")</f>
        <v>1443638</v>
      </c>
      <c r="E6275">
        <v>2</v>
      </c>
      <c r="F6275" t="s">
        <v>6236</v>
      </c>
    </row>
    <row r="6276" spans="1:6" x14ac:dyDescent="0.25">
      <c r="A6276" t="s">
        <v>6276</v>
      </c>
      <c r="B6276" t="s">
        <v>460</v>
      </c>
      <c r="C6276" t="s">
        <v>461</v>
      </c>
      <c r="D6276" t="str">
        <f>HYPERLINK("http://service.sap.com/sap/support/notes/1445404","1445404")</f>
        <v>1445404</v>
      </c>
      <c r="E6276">
        <v>3</v>
      </c>
      <c r="F6276" t="s">
        <v>6237</v>
      </c>
    </row>
    <row r="6277" spans="1:6" x14ac:dyDescent="0.25">
      <c r="A6277" t="s">
        <v>6276</v>
      </c>
      <c r="B6277" t="s">
        <v>460</v>
      </c>
      <c r="C6277" t="s">
        <v>461</v>
      </c>
      <c r="D6277" t="str">
        <f>HYPERLINK("http://service.sap.com/sap/support/notes/1452077","1452077")</f>
        <v>1452077</v>
      </c>
      <c r="E6277">
        <v>4</v>
      </c>
      <c r="F6277" t="s">
        <v>5763</v>
      </c>
    </row>
    <row r="6278" spans="1:6" x14ac:dyDescent="0.25">
      <c r="A6278" t="s">
        <v>6276</v>
      </c>
      <c r="B6278" t="s">
        <v>460</v>
      </c>
      <c r="C6278" t="s">
        <v>461</v>
      </c>
      <c r="D6278" t="str">
        <f>HYPERLINK("http://service.sap.com/sap/support/notes/1458392","1458392")</f>
        <v>1458392</v>
      </c>
      <c r="E6278">
        <v>3</v>
      </c>
      <c r="F6278" t="s">
        <v>6238</v>
      </c>
    </row>
    <row r="6279" spans="1:6" x14ac:dyDescent="0.25">
      <c r="A6279" t="s">
        <v>6276</v>
      </c>
      <c r="B6279" t="s">
        <v>460</v>
      </c>
      <c r="C6279" t="s">
        <v>461</v>
      </c>
      <c r="D6279" t="str">
        <f>HYPERLINK("http://service.sap.com/sap/support/notes/1458929","1458929")</f>
        <v>1458929</v>
      </c>
      <c r="E6279">
        <v>5</v>
      </c>
      <c r="F6279" t="s">
        <v>6239</v>
      </c>
    </row>
    <row r="6280" spans="1:6" x14ac:dyDescent="0.25">
      <c r="A6280" t="s">
        <v>6276</v>
      </c>
      <c r="B6280" t="s">
        <v>460</v>
      </c>
      <c r="C6280" t="s">
        <v>461</v>
      </c>
      <c r="D6280" t="str">
        <f>HYPERLINK("http://service.sap.com/sap/support/notes/1459037","1459037")</f>
        <v>1459037</v>
      </c>
      <c r="E6280">
        <v>2</v>
      </c>
      <c r="F6280" t="s">
        <v>6240</v>
      </c>
    </row>
    <row r="6281" spans="1:6" x14ac:dyDescent="0.25">
      <c r="A6281" t="s">
        <v>6276</v>
      </c>
      <c r="B6281" t="s">
        <v>460</v>
      </c>
      <c r="C6281" t="s">
        <v>461</v>
      </c>
      <c r="D6281" t="str">
        <f>HYPERLINK("http://service.sap.com/sap/support/notes/1459131","1459131")</f>
        <v>1459131</v>
      </c>
      <c r="E6281">
        <v>3</v>
      </c>
      <c r="F6281" t="s">
        <v>6241</v>
      </c>
    </row>
    <row r="6282" spans="1:6" x14ac:dyDescent="0.25">
      <c r="A6282" t="s">
        <v>6276</v>
      </c>
      <c r="B6282" t="s">
        <v>460</v>
      </c>
      <c r="C6282" t="s">
        <v>461</v>
      </c>
      <c r="D6282" t="str">
        <f>HYPERLINK("http://service.sap.com/sap/support/notes/1462278","1462278")</f>
        <v>1462278</v>
      </c>
      <c r="E6282">
        <v>1</v>
      </c>
      <c r="F6282" t="s">
        <v>6242</v>
      </c>
    </row>
    <row r="6283" spans="1:6" x14ac:dyDescent="0.25">
      <c r="A6283" t="s">
        <v>6276</v>
      </c>
      <c r="B6283" t="s">
        <v>460</v>
      </c>
      <c r="C6283" t="s">
        <v>461</v>
      </c>
      <c r="D6283" t="str">
        <f>HYPERLINK("http://service.sap.com/sap/support/notes/1466466","1466466")</f>
        <v>1466466</v>
      </c>
      <c r="E6283">
        <v>2</v>
      </c>
      <c r="F6283" t="s">
        <v>6243</v>
      </c>
    </row>
    <row r="6284" spans="1:6" x14ac:dyDescent="0.25">
      <c r="A6284" t="s">
        <v>6276</v>
      </c>
      <c r="B6284" t="s">
        <v>460</v>
      </c>
      <c r="C6284" t="s">
        <v>461</v>
      </c>
      <c r="D6284" t="str">
        <f>HYPERLINK("http://service.sap.com/sap/support/notes/1466470","1466470")</f>
        <v>1466470</v>
      </c>
      <c r="E6284">
        <v>1</v>
      </c>
      <c r="F6284" t="s">
        <v>6244</v>
      </c>
    </row>
    <row r="6285" spans="1:6" x14ac:dyDescent="0.25">
      <c r="A6285" t="s">
        <v>6276</v>
      </c>
      <c r="B6285" t="s">
        <v>460</v>
      </c>
      <c r="C6285" t="s">
        <v>461</v>
      </c>
      <c r="D6285" t="str">
        <f>HYPERLINK("http://service.sap.com/sap/support/notes/1475893","1475893")</f>
        <v>1475893</v>
      </c>
      <c r="E6285">
        <v>2</v>
      </c>
      <c r="F6285" t="s">
        <v>6245</v>
      </c>
    </row>
    <row r="6286" spans="1:6" x14ac:dyDescent="0.25">
      <c r="A6286" t="s">
        <v>6276</v>
      </c>
      <c r="B6286" t="s">
        <v>460</v>
      </c>
      <c r="C6286" t="s">
        <v>461</v>
      </c>
      <c r="D6286" t="str">
        <f>HYPERLINK("http://service.sap.com/sap/support/notes/1479275","1479275")</f>
        <v>1479275</v>
      </c>
      <c r="E6286">
        <v>1</v>
      </c>
      <c r="F6286" t="s">
        <v>6246</v>
      </c>
    </row>
    <row r="6287" spans="1:6" x14ac:dyDescent="0.25">
      <c r="A6287" t="s">
        <v>6276</v>
      </c>
      <c r="B6287" t="s">
        <v>460</v>
      </c>
      <c r="C6287" t="s">
        <v>461</v>
      </c>
      <c r="D6287" t="str">
        <f>HYPERLINK("http://service.sap.com/sap/support/notes/1484012","1484012")</f>
        <v>1484012</v>
      </c>
      <c r="E6287">
        <v>2</v>
      </c>
      <c r="F6287" t="s">
        <v>6247</v>
      </c>
    </row>
    <row r="6288" spans="1:6" x14ac:dyDescent="0.25">
      <c r="A6288" t="s">
        <v>6276</v>
      </c>
      <c r="B6288" t="s">
        <v>460</v>
      </c>
      <c r="C6288" t="s">
        <v>461</v>
      </c>
      <c r="D6288" t="str">
        <f>HYPERLINK("http://service.sap.com/sap/support/notes/1489280","1489280")</f>
        <v>1489280</v>
      </c>
      <c r="E6288">
        <v>1</v>
      </c>
      <c r="F6288" t="s">
        <v>6248</v>
      </c>
    </row>
    <row r="6289" spans="1:6" x14ac:dyDescent="0.25">
      <c r="A6289" t="s">
        <v>6276</v>
      </c>
      <c r="B6289" t="s">
        <v>472</v>
      </c>
      <c r="C6289" t="s">
        <v>473</v>
      </c>
    </row>
    <row r="6290" spans="1:6" x14ac:dyDescent="0.25">
      <c r="A6290" t="s">
        <v>6276</v>
      </c>
      <c r="B6290" t="s">
        <v>476</v>
      </c>
      <c r="C6290" t="s">
        <v>477</v>
      </c>
      <c r="D6290" t="str">
        <f>HYPERLINK("http://service.sap.com/sap/support/notes/1406508","1406508")</f>
        <v>1406508</v>
      </c>
      <c r="E6290">
        <v>2</v>
      </c>
      <c r="F6290" t="s">
        <v>6249</v>
      </c>
    </row>
    <row r="6291" spans="1:6" x14ac:dyDescent="0.25">
      <c r="A6291" t="s">
        <v>6276</v>
      </c>
      <c r="B6291" t="s">
        <v>476</v>
      </c>
      <c r="C6291" t="s">
        <v>477</v>
      </c>
      <c r="D6291" t="str">
        <f>HYPERLINK("http://service.sap.com/sap/support/notes/1464476","1464476")</f>
        <v>1464476</v>
      </c>
      <c r="E6291">
        <v>1</v>
      </c>
      <c r="F6291" t="s">
        <v>6250</v>
      </c>
    </row>
    <row r="6292" spans="1:6" x14ac:dyDescent="0.25">
      <c r="A6292" t="s">
        <v>6276</v>
      </c>
      <c r="B6292" t="s">
        <v>476</v>
      </c>
      <c r="C6292" t="s">
        <v>477</v>
      </c>
      <c r="D6292" t="str">
        <f>HYPERLINK("http://service.sap.com/sap/support/notes/1473798","1473798")</f>
        <v>1473798</v>
      </c>
      <c r="E6292">
        <v>1</v>
      </c>
      <c r="F6292" t="s">
        <v>6251</v>
      </c>
    </row>
    <row r="6293" spans="1:6" x14ac:dyDescent="0.25">
      <c r="A6293" t="s">
        <v>6276</v>
      </c>
      <c r="B6293" t="s">
        <v>476</v>
      </c>
      <c r="C6293" t="s">
        <v>477</v>
      </c>
      <c r="D6293" t="str">
        <f>HYPERLINK("http://service.sap.com/sap/support/notes/1480206","1480206")</f>
        <v>1480206</v>
      </c>
      <c r="E6293">
        <v>1</v>
      </c>
      <c r="F6293" t="s">
        <v>6252</v>
      </c>
    </row>
    <row r="6294" spans="1:6" x14ac:dyDescent="0.25">
      <c r="A6294" t="s">
        <v>6276</v>
      </c>
      <c r="B6294" t="s">
        <v>476</v>
      </c>
      <c r="C6294" t="s">
        <v>477</v>
      </c>
      <c r="D6294" t="str">
        <f>HYPERLINK("http://service.sap.com/sap/support/notes/1481675","1481675")</f>
        <v>1481675</v>
      </c>
      <c r="E6294">
        <v>1</v>
      </c>
      <c r="F6294" t="s">
        <v>6253</v>
      </c>
    </row>
    <row r="6295" spans="1:6" x14ac:dyDescent="0.25">
      <c r="A6295" t="s">
        <v>6276</v>
      </c>
      <c r="B6295" t="s">
        <v>499</v>
      </c>
      <c r="C6295" t="s">
        <v>108</v>
      </c>
    </row>
    <row r="6296" spans="1:6" x14ac:dyDescent="0.25">
      <c r="A6296" t="s">
        <v>6276</v>
      </c>
      <c r="B6296" t="s">
        <v>1269</v>
      </c>
      <c r="C6296" t="s">
        <v>1270</v>
      </c>
      <c r="D6296" t="str">
        <f>HYPERLINK("http://service.sap.com/sap/support/notes/1479549","1479549")</f>
        <v>1479549</v>
      </c>
      <c r="E6296">
        <v>3</v>
      </c>
      <c r="F6296" t="s">
        <v>6254</v>
      </c>
    </row>
    <row r="6297" spans="1:6" x14ac:dyDescent="0.25">
      <c r="A6297" t="s">
        <v>6276</v>
      </c>
      <c r="B6297" t="s">
        <v>4181</v>
      </c>
      <c r="C6297" t="s">
        <v>4182</v>
      </c>
      <c r="D6297" t="str">
        <f>HYPERLINK("http://service.sap.com/sap/support/notes/1469722","1469722")</f>
        <v>1469722</v>
      </c>
      <c r="E6297">
        <v>1</v>
      </c>
      <c r="F6297" t="s">
        <v>6255</v>
      </c>
    </row>
    <row r="6298" spans="1:6" x14ac:dyDescent="0.25">
      <c r="A6298" t="s">
        <v>6276</v>
      </c>
      <c r="B6298" t="s">
        <v>505</v>
      </c>
      <c r="C6298" t="s">
        <v>299</v>
      </c>
      <c r="D6298" t="str">
        <f>HYPERLINK("http://service.sap.com/sap/support/notes/1440600","1440600")</f>
        <v>1440600</v>
      </c>
      <c r="E6298">
        <v>2</v>
      </c>
      <c r="F6298" t="s">
        <v>6256</v>
      </c>
    </row>
    <row r="6299" spans="1:6" x14ac:dyDescent="0.25">
      <c r="A6299" t="s">
        <v>6276</v>
      </c>
      <c r="B6299" t="s">
        <v>505</v>
      </c>
      <c r="C6299" t="s">
        <v>299</v>
      </c>
      <c r="D6299" t="str">
        <f>HYPERLINK("http://service.sap.com/sap/support/notes/1464235","1464235")</f>
        <v>1464235</v>
      </c>
      <c r="E6299">
        <v>2</v>
      </c>
      <c r="F6299" t="s">
        <v>6257</v>
      </c>
    </row>
    <row r="6300" spans="1:6" x14ac:dyDescent="0.25">
      <c r="A6300" t="s">
        <v>6276</v>
      </c>
      <c r="B6300" t="s">
        <v>505</v>
      </c>
      <c r="C6300" t="s">
        <v>299</v>
      </c>
      <c r="D6300" t="str">
        <f>HYPERLINK("http://service.sap.com/sap/support/notes/1464268","1464268")</f>
        <v>1464268</v>
      </c>
      <c r="E6300">
        <v>5</v>
      </c>
      <c r="F6300" t="s">
        <v>6258</v>
      </c>
    </row>
    <row r="6301" spans="1:6" x14ac:dyDescent="0.25">
      <c r="A6301" t="s">
        <v>6276</v>
      </c>
      <c r="B6301" t="s">
        <v>505</v>
      </c>
      <c r="C6301" t="s">
        <v>299</v>
      </c>
      <c r="D6301" t="str">
        <f>HYPERLINK("http://service.sap.com/sap/support/notes/1472495","1472495")</f>
        <v>1472495</v>
      </c>
      <c r="E6301">
        <v>3</v>
      </c>
      <c r="F6301" t="s">
        <v>6259</v>
      </c>
    </row>
    <row r="6302" spans="1:6" x14ac:dyDescent="0.25">
      <c r="A6302" t="s">
        <v>6276</v>
      </c>
      <c r="B6302" t="s">
        <v>525</v>
      </c>
      <c r="C6302" t="s">
        <v>526</v>
      </c>
      <c r="D6302" t="str">
        <f>HYPERLINK("http://service.sap.com/sap/support/notes/1442738","1442738")</f>
        <v>1442738</v>
      </c>
      <c r="E6302">
        <v>5</v>
      </c>
      <c r="F6302" t="s">
        <v>6260</v>
      </c>
    </row>
    <row r="6303" spans="1:6" x14ac:dyDescent="0.25">
      <c r="A6303" t="s">
        <v>6276</v>
      </c>
      <c r="B6303" t="s">
        <v>531</v>
      </c>
      <c r="C6303" t="s">
        <v>532</v>
      </c>
    </row>
    <row r="6304" spans="1:6" x14ac:dyDescent="0.25">
      <c r="A6304" t="s">
        <v>6276</v>
      </c>
      <c r="B6304" t="s">
        <v>1305</v>
      </c>
      <c r="C6304" t="s">
        <v>653</v>
      </c>
      <c r="D6304" t="str">
        <f>HYPERLINK("http://service.sap.com/sap/support/notes/1457202","1457202")</f>
        <v>1457202</v>
      </c>
      <c r="E6304">
        <v>2</v>
      </c>
      <c r="F6304" t="s">
        <v>6261</v>
      </c>
    </row>
    <row r="6305" spans="1:6" x14ac:dyDescent="0.25">
      <c r="A6305" t="s">
        <v>6276</v>
      </c>
      <c r="B6305" t="s">
        <v>1305</v>
      </c>
      <c r="C6305" t="s">
        <v>653</v>
      </c>
      <c r="D6305" t="str">
        <f>HYPERLINK("http://service.sap.com/sap/support/notes/1479319","1479319")</f>
        <v>1479319</v>
      </c>
      <c r="E6305">
        <v>2</v>
      </c>
      <c r="F6305" t="s">
        <v>6262</v>
      </c>
    </row>
    <row r="6306" spans="1:6" x14ac:dyDescent="0.25">
      <c r="A6306" t="s">
        <v>6276</v>
      </c>
      <c r="B6306" t="s">
        <v>4309</v>
      </c>
      <c r="C6306" t="s">
        <v>4310</v>
      </c>
      <c r="D6306" t="str">
        <f>HYPERLINK("http://service.sap.com/sap/support/notes/1458723","1458723")</f>
        <v>1458723</v>
      </c>
      <c r="E6306">
        <v>1</v>
      </c>
      <c r="F6306" t="s">
        <v>6263</v>
      </c>
    </row>
    <row r="6307" spans="1:6" x14ac:dyDescent="0.25">
      <c r="A6307" t="s">
        <v>6276</v>
      </c>
      <c r="B6307" t="s">
        <v>4309</v>
      </c>
      <c r="C6307" t="s">
        <v>4310</v>
      </c>
      <c r="D6307" t="str">
        <f>HYPERLINK("http://service.sap.com/sap/support/notes/1459714","1459714")</f>
        <v>1459714</v>
      </c>
      <c r="E6307">
        <v>1</v>
      </c>
      <c r="F6307" t="s">
        <v>6264</v>
      </c>
    </row>
    <row r="6308" spans="1:6" x14ac:dyDescent="0.25">
      <c r="A6308" t="s">
        <v>6276</v>
      </c>
      <c r="B6308" t="s">
        <v>1361</v>
      </c>
      <c r="C6308" t="s">
        <v>1362</v>
      </c>
      <c r="D6308" t="str">
        <f>HYPERLINK("http://service.sap.com/sap/support/notes/1451432","1451432")</f>
        <v>1451432</v>
      </c>
      <c r="E6308">
        <v>5</v>
      </c>
      <c r="F6308" t="s">
        <v>6265</v>
      </c>
    </row>
    <row r="6309" spans="1:6" x14ac:dyDescent="0.25">
      <c r="A6309" t="s">
        <v>6276</v>
      </c>
      <c r="B6309" t="s">
        <v>1361</v>
      </c>
      <c r="C6309" t="s">
        <v>1362</v>
      </c>
      <c r="D6309" t="str">
        <f>HYPERLINK("http://service.sap.com/sap/support/notes/1470969","1470969")</f>
        <v>1470969</v>
      </c>
      <c r="E6309">
        <v>2</v>
      </c>
      <c r="F6309" t="s">
        <v>6266</v>
      </c>
    </row>
    <row r="6310" spans="1:6" x14ac:dyDescent="0.25">
      <c r="A6310" t="s">
        <v>6276</v>
      </c>
      <c r="B6310" t="s">
        <v>6267</v>
      </c>
      <c r="C6310" t="s">
        <v>6268</v>
      </c>
      <c r="D6310" t="str">
        <f>HYPERLINK("http://service.sap.com/sap/support/notes/1463766","1463766")</f>
        <v>1463766</v>
      </c>
      <c r="E6310">
        <v>1</v>
      </c>
      <c r="F6310" t="s">
        <v>6269</v>
      </c>
    </row>
    <row r="6311" spans="1:6" x14ac:dyDescent="0.25">
      <c r="A6311" t="s">
        <v>6276</v>
      </c>
      <c r="B6311" t="s">
        <v>6267</v>
      </c>
      <c r="C6311" t="s">
        <v>6268</v>
      </c>
      <c r="D6311" t="str">
        <f>HYPERLINK("http://service.sap.com/sap/support/notes/1466267","1466267")</f>
        <v>1466267</v>
      </c>
      <c r="E6311">
        <v>1</v>
      </c>
      <c r="F6311" t="s">
        <v>6270</v>
      </c>
    </row>
    <row r="6312" spans="1:6" x14ac:dyDescent="0.25">
      <c r="A6312" t="s">
        <v>6276</v>
      </c>
      <c r="B6312" t="s">
        <v>543</v>
      </c>
      <c r="C6312" t="s">
        <v>544</v>
      </c>
    </row>
    <row r="6313" spans="1:6" x14ac:dyDescent="0.25">
      <c r="A6313" t="s">
        <v>6276</v>
      </c>
      <c r="B6313" t="s">
        <v>545</v>
      </c>
      <c r="C6313" t="s">
        <v>546</v>
      </c>
    </row>
    <row r="6314" spans="1:6" x14ac:dyDescent="0.25">
      <c r="A6314" t="s">
        <v>6276</v>
      </c>
      <c r="B6314" t="s">
        <v>6271</v>
      </c>
      <c r="C6314" t="s">
        <v>6272</v>
      </c>
    </row>
    <row r="6315" spans="1:6" x14ac:dyDescent="0.25">
      <c r="A6315" t="s">
        <v>6276</v>
      </c>
      <c r="B6315" t="s">
        <v>6273</v>
      </c>
      <c r="C6315" t="s">
        <v>6274</v>
      </c>
      <c r="D6315" t="str">
        <f>HYPERLINK("http://service.sap.com/sap/support/notes/1477993","1477993")</f>
        <v>1477993</v>
      </c>
      <c r="E6315">
        <v>1</v>
      </c>
      <c r="F6315" t="s">
        <v>6275</v>
      </c>
    </row>
    <row r="6316" spans="1:6" x14ac:dyDescent="0.25">
      <c r="A6316" t="s">
        <v>6276</v>
      </c>
      <c r="B6316" t="s">
        <v>5776</v>
      </c>
      <c r="C6316" t="s">
        <v>5777</v>
      </c>
    </row>
    <row r="6317" spans="1:6" x14ac:dyDescent="0.25">
      <c r="A6317" t="s">
        <v>6276</v>
      </c>
      <c r="B6317" t="s">
        <v>5778</v>
      </c>
      <c r="C6317" t="s">
        <v>5779</v>
      </c>
      <c r="D6317" t="str">
        <f>HYPERLINK("http://service.sap.com/sap/support/notes/1443145","1443145")</f>
        <v>1443145</v>
      </c>
      <c r="E6317">
        <v>1</v>
      </c>
      <c r="F6317" t="s">
        <v>5780</v>
      </c>
    </row>
    <row r="6318" spans="1:6" x14ac:dyDescent="0.25">
      <c r="A6318" t="s">
        <v>6397</v>
      </c>
      <c r="B6318" t="s">
        <v>573</v>
      </c>
      <c r="C6318" t="s">
        <v>4037</v>
      </c>
    </row>
    <row r="6319" spans="1:6" x14ac:dyDescent="0.25">
      <c r="A6319" t="s">
        <v>6397</v>
      </c>
      <c r="B6319" t="s">
        <v>5789</v>
      </c>
      <c r="C6319" t="s">
        <v>5790</v>
      </c>
      <c r="D6319" t="str">
        <f>HYPERLINK("http://service.sap.com/sap/support/notes/1426713","1426713")</f>
        <v>1426713</v>
      </c>
      <c r="E6319">
        <v>1</v>
      </c>
      <c r="F6319" t="s">
        <v>5791</v>
      </c>
    </row>
    <row r="6320" spans="1:6" x14ac:dyDescent="0.25">
      <c r="A6320" t="s">
        <v>6397</v>
      </c>
      <c r="B6320" t="s">
        <v>4043</v>
      </c>
      <c r="C6320" t="s">
        <v>4044</v>
      </c>
    </row>
    <row r="6321" spans="1:6" x14ac:dyDescent="0.25">
      <c r="A6321" t="s">
        <v>6397</v>
      </c>
      <c r="B6321" t="s">
        <v>4045</v>
      </c>
      <c r="C6321" t="s">
        <v>4046</v>
      </c>
    </row>
    <row r="6322" spans="1:6" x14ac:dyDescent="0.25">
      <c r="A6322" t="s">
        <v>6397</v>
      </c>
      <c r="B6322" t="s">
        <v>4047</v>
      </c>
      <c r="C6322" t="s">
        <v>4048</v>
      </c>
      <c r="D6322" t="str">
        <f>HYPERLINK("http://service.sap.com/sap/support/notes/1495638","1495638")</f>
        <v>1495638</v>
      </c>
      <c r="E6322">
        <v>3</v>
      </c>
      <c r="F6322" t="s">
        <v>6277</v>
      </c>
    </row>
    <row r="6323" spans="1:6" x14ac:dyDescent="0.25">
      <c r="A6323" t="s">
        <v>6397</v>
      </c>
      <c r="B6323" t="s">
        <v>585</v>
      </c>
      <c r="C6323" t="s">
        <v>1443</v>
      </c>
    </row>
    <row r="6324" spans="1:6" x14ac:dyDescent="0.25">
      <c r="A6324" t="s">
        <v>6397</v>
      </c>
      <c r="B6324" t="s">
        <v>586</v>
      </c>
      <c r="C6324" t="s">
        <v>1444</v>
      </c>
    </row>
    <row r="6325" spans="1:6" x14ac:dyDescent="0.25">
      <c r="A6325" t="s">
        <v>6397</v>
      </c>
      <c r="B6325" t="s">
        <v>587</v>
      </c>
      <c r="C6325" t="s">
        <v>1445</v>
      </c>
    </row>
    <row r="6326" spans="1:6" x14ac:dyDescent="0.25">
      <c r="A6326" t="s">
        <v>6397</v>
      </c>
      <c r="B6326" t="s">
        <v>588</v>
      </c>
      <c r="C6326" t="s">
        <v>1446</v>
      </c>
      <c r="D6326" t="str">
        <f>HYPERLINK("http://service.sap.com/sap/support/notes/1464151","1464151")</f>
        <v>1464151</v>
      </c>
      <c r="E6326">
        <v>3</v>
      </c>
      <c r="F6326" t="s">
        <v>6278</v>
      </c>
    </row>
    <row r="6327" spans="1:6" x14ac:dyDescent="0.25">
      <c r="A6327" t="s">
        <v>6397</v>
      </c>
      <c r="B6327" t="s">
        <v>20</v>
      </c>
      <c r="C6327" t="s">
        <v>21</v>
      </c>
    </row>
    <row r="6328" spans="1:6" x14ac:dyDescent="0.25">
      <c r="A6328" t="s">
        <v>6397</v>
      </c>
      <c r="B6328" t="s">
        <v>22</v>
      </c>
      <c r="C6328" t="s">
        <v>23</v>
      </c>
      <c r="D6328" t="str">
        <f>HYPERLINK("http://service.sap.com/sap/support/notes/1437099","1437099")</f>
        <v>1437099</v>
      </c>
      <c r="E6328">
        <v>2</v>
      </c>
      <c r="F6328" t="s">
        <v>6279</v>
      </c>
    </row>
    <row r="6329" spans="1:6" x14ac:dyDescent="0.25">
      <c r="A6329" t="s">
        <v>6397</v>
      </c>
      <c r="B6329" t="s">
        <v>22</v>
      </c>
      <c r="C6329" t="s">
        <v>23</v>
      </c>
      <c r="D6329" t="str">
        <f>HYPERLINK("http://service.sap.com/sap/support/notes/1493568","1493568")</f>
        <v>1493568</v>
      </c>
      <c r="E6329">
        <v>1</v>
      </c>
      <c r="F6329" t="s">
        <v>6280</v>
      </c>
    </row>
    <row r="6330" spans="1:6" x14ac:dyDescent="0.25">
      <c r="A6330" t="s">
        <v>6397</v>
      </c>
      <c r="B6330" t="s">
        <v>22</v>
      </c>
      <c r="C6330" t="s">
        <v>23</v>
      </c>
      <c r="D6330" t="str">
        <f>HYPERLINK("http://service.sap.com/sap/support/notes/1494578","1494578")</f>
        <v>1494578</v>
      </c>
      <c r="E6330">
        <v>2</v>
      </c>
      <c r="F6330" t="s">
        <v>6281</v>
      </c>
    </row>
    <row r="6331" spans="1:6" x14ac:dyDescent="0.25">
      <c r="A6331" t="s">
        <v>6397</v>
      </c>
      <c r="B6331" t="s">
        <v>22</v>
      </c>
      <c r="C6331" t="s">
        <v>23</v>
      </c>
      <c r="D6331" t="str">
        <f>HYPERLINK("http://service.sap.com/sap/support/notes/1495681","1495681")</f>
        <v>1495681</v>
      </c>
      <c r="E6331">
        <v>3</v>
      </c>
      <c r="F6331" t="s">
        <v>6282</v>
      </c>
    </row>
    <row r="6332" spans="1:6" x14ac:dyDescent="0.25">
      <c r="A6332" t="s">
        <v>6397</v>
      </c>
      <c r="B6332" t="s">
        <v>22</v>
      </c>
      <c r="C6332" t="s">
        <v>23</v>
      </c>
      <c r="D6332" t="str">
        <f>HYPERLINK("http://service.sap.com/sap/support/notes/1499436","1499436")</f>
        <v>1499436</v>
      </c>
      <c r="E6332">
        <v>1</v>
      </c>
      <c r="F6332" t="s">
        <v>6283</v>
      </c>
    </row>
    <row r="6333" spans="1:6" x14ac:dyDescent="0.25">
      <c r="A6333" t="s">
        <v>6397</v>
      </c>
      <c r="B6333" t="s">
        <v>24</v>
      </c>
      <c r="C6333" t="s">
        <v>25</v>
      </c>
      <c r="D6333" t="str">
        <f>HYPERLINK("http://service.sap.com/sap/support/notes/1458263","1458263")</f>
        <v>1458263</v>
      </c>
      <c r="E6333">
        <v>2</v>
      </c>
      <c r="F6333" t="s">
        <v>6284</v>
      </c>
    </row>
    <row r="6334" spans="1:6" x14ac:dyDescent="0.25">
      <c r="A6334" t="s">
        <v>6397</v>
      </c>
      <c r="B6334" t="s">
        <v>24</v>
      </c>
      <c r="C6334" t="s">
        <v>25</v>
      </c>
      <c r="D6334" t="str">
        <f>HYPERLINK("http://service.sap.com/sap/support/notes/1459058","1459058")</f>
        <v>1459058</v>
      </c>
      <c r="E6334">
        <v>4</v>
      </c>
      <c r="F6334" t="s">
        <v>5834</v>
      </c>
    </row>
    <row r="6335" spans="1:6" x14ac:dyDescent="0.25">
      <c r="A6335" t="s">
        <v>6397</v>
      </c>
      <c r="B6335" t="s">
        <v>24</v>
      </c>
      <c r="C6335" t="s">
        <v>25</v>
      </c>
      <c r="D6335" t="str">
        <f>HYPERLINK("http://service.sap.com/sap/support/notes/1482909","1482909")</f>
        <v>1482909</v>
      </c>
      <c r="E6335">
        <v>4</v>
      </c>
      <c r="F6335" t="s">
        <v>5877</v>
      </c>
    </row>
    <row r="6336" spans="1:6" x14ac:dyDescent="0.25">
      <c r="A6336" t="s">
        <v>6397</v>
      </c>
      <c r="B6336" t="s">
        <v>24</v>
      </c>
      <c r="C6336" t="s">
        <v>25</v>
      </c>
      <c r="D6336" t="str">
        <f>HYPERLINK("http://service.sap.com/sap/support/notes/1490132","1490132")</f>
        <v>1490132</v>
      </c>
      <c r="E6336">
        <v>1</v>
      </c>
      <c r="F6336" t="s">
        <v>6285</v>
      </c>
    </row>
    <row r="6337" spans="1:6" x14ac:dyDescent="0.25">
      <c r="A6337" t="s">
        <v>6397</v>
      </c>
      <c r="B6337" t="s">
        <v>24</v>
      </c>
      <c r="C6337" t="s">
        <v>25</v>
      </c>
      <c r="D6337" t="str">
        <f>HYPERLINK("http://service.sap.com/sap/support/notes/1490206","1490206")</f>
        <v>1490206</v>
      </c>
      <c r="E6337">
        <v>1</v>
      </c>
      <c r="F6337" t="s">
        <v>6286</v>
      </c>
    </row>
    <row r="6338" spans="1:6" x14ac:dyDescent="0.25">
      <c r="A6338" t="s">
        <v>6397</v>
      </c>
      <c r="B6338" t="s">
        <v>24</v>
      </c>
      <c r="C6338" t="s">
        <v>25</v>
      </c>
      <c r="D6338" t="str">
        <f>HYPERLINK("http://service.sap.com/sap/support/notes/1492519","1492519")</f>
        <v>1492519</v>
      </c>
      <c r="E6338">
        <v>1</v>
      </c>
      <c r="F6338" t="s">
        <v>6287</v>
      </c>
    </row>
    <row r="6339" spans="1:6" x14ac:dyDescent="0.25">
      <c r="A6339" t="s">
        <v>6397</v>
      </c>
      <c r="B6339" t="s">
        <v>24</v>
      </c>
      <c r="C6339" t="s">
        <v>25</v>
      </c>
      <c r="D6339" t="str">
        <f>HYPERLINK("http://service.sap.com/sap/support/notes/1492594","1492594")</f>
        <v>1492594</v>
      </c>
      <c r="E6339">
        <v>3</v>
      </c>
      <c r="F6339" t="s">
        <v>6288</v>
      </c>
    </row>
    <row r="6340" spans="1:6" x14ac:dyDescent="0.25">
      <c r="A6340" t="s">
        <v>6397</v>
      </c>
      <c r="B6340" t="s">
        <v>24</v>
      </c>
      <c r="C6340" t="s">
        <v>25</v>
      </c>
      <c r="D6340" t="str">
        <f>HYPERLINK("http://service.sap.com/sap/support/notes/1492621","1492621")</f>
        <v>1492621</v>
      </c>
      <c r="E6340">
        <v>1</v>
      </c>
      <c r="F6340" t="s">
        <v>6289</v>
      </c>
    </row>
    <row r="6341" spans="1:6" x14ac:dyDescent="0.25">
      <c r="A6341" t="s">
        <v>6397</v>
      </c>
      <c r="B6341" t="s">
        <v>24</v>
      </c>
      <c r="C6341" t="s">
        <v>25</v>
      </c>
      <c r="D6341" t="str">
        <f>HYPERLINK("http://service.sap.com/sap/support/notes/1493073","1493073")</f>
        <v>1493073</v>
      </c>
      <c r="E6341">
        <v>1</v>
      </c>
      <c r="F6341" t="s">
        <v>6290</v>
      </c>
    </row>
    <row r="6342" spans="1:6" x14ac:dyDescent="0.25">
      <c r="A6342" t="s">
        <v>6397</v>
      </c>
      <c r="B6342" t="s">
        <v>24</v>
      </c>
      <c r="C6342" t="s">
        <v>25</v>
      </c>
      <c r="D6342" t="str">
        <f>HYPERLINK("http://service.sap.com/sap/support/notes/1493461","1493461")</f>
        <v>1493461</v>
      </c>
      <c r="E6342">
        <v>1</v>
      </c>
      <c r="F6342" t="s">
        <v>6291</v>
      </c>
    </row>
    <row r="6343" spans="1:6" x14ac:dyDescent="0.25">
      <c r="A6343" t="s">
        <v>6397</v>
      </c>
      <c r="B6343" t="s">
        <v>24</v>
      </c>
      <c r="C6343" t="s">
        <v>25</v>
      </c>
      <c r="D6343" t="str">
        <f>HYPERLINK("http://service.sap.com/sap/support/notes/1494660","1494660")</f>
        <v>1494660</v>
      </c>
      <c r="E6343">
        <v>1</v>
      </c>
      <c r="F6343" t="s">
        <v>6292</v>
      </c>
    </row>
    <row r="6344" spans="1:6" x14ac:dyDescent="0.25">
      <c r="A6344" t="s">
        <v>6397</v>
      </c>
      <c r="B6344" t="s">
        <v>24</v>
      </c>
      <c r="C6344" t="s">
        <v>25</v>
      </c>
      <c r="D6344" t="str">
        <f>HYPERLINK("http://service.sap.com/sap/support/notes/1494866","1494866")</f>
        <v>1494866</v>
      </c>
      <c r="E6344">
        <v>1</v>
      </c>
      <c r="F6344" t="s">
        <v>6293</v>
      </c>
    </row>
    <row r="6345" spans="1:6" x14ac:dyDescent="0.25">
      <c r="A6345" t="s">
        <v>6397</v>
      </c>
      <c r="B6345" t="s">
        <v>24</v>
      </c>
      <c r="C6345" t="s">
        <v>25</v>
      </c>
      <c r="D6345" t="str">
        <f>HYPERLINK("http://service.sap.com/sap/support/notes/1495453","1495453")</f>
        <v>1495453</v>
      </c>
      <c r="E6345">
        <v>1</v>
      </c>
      <c r="F6345" t="s">
        <v>6294</v>
      </c>
    </row>
    <row r="6346" spans="1:6" x14ac:dyDescent="0.25">
      <c r="A6346" t="s">
        <v>6397</v>
      </c>
      <c r="B6346" t="s">
        <v>24</v>
      </c>
      <c r="C6346" t="s">
        <v>25</v>
      </c>
      <c r="D6346" t="str">
        <f>HYPERLINK("http://service.sap.com/sap/support/notes/1495655","1495655")</f>
        <v>1495655</v>
      </c>
      <c r="E6346">
        <v>1</v>
      </c>
      <c r="F6346" t="s">
        <v>6295</v>
      </c>
    </row>
    <row r="6347" spans="1:6" x14ac:dyDescent="0.25">
      <c r="A6347" t="s">
        <v>6397</v>
      </c>
      <c r="B6347" t="s">
        <v>24</v>
      </c>
      <c r="C6347" t="s">
        <v>25</v>
      </c>
      <c r="D6347" t="str">
        <f>HYPERLINK("http://service.sap.com/sap/support/notes/1495691","1495691")</f>
        <v>1495691</v>
      </c>
      <c r="E6347">
        <v>1</v>
      </c>
      <c r="F6347" t="s">
        <v>6296</v>
      </c>
    </row>
    <row r="6348" spans="1:6" x14ac:dyDescent="0.25">
      <c r="A6348" t="s">
        <v>6397</v>
      </c>
      <c r="B6348" t="s">
        <v>24</v>
      </c>
      <c r="C6348" t="s">
        <v>25</v>
      </c>
      <c r="D6348" t="str">
        <f>HYPERLINK("http://service.sap.com/sap/support/notes/1496021","1496021")</f>
        <v>1496021</v>
      </c>
      <c r="E6348">
        <v>1</v>
      </c>
      <c r="F6348" t="s">
        <v>6297</v>
      </c>
    </row>
    <row r="6349" spans="1:6" x14ac:dyDescent="0.25">
      <c r="A6349" t="s">
        <v>6397</v>
      </c>
      <c r="B6349" t="s">
        <v>24</v>
      </c>
      <c r="C6349" t="s">
        <v>25</v>
      </c>
      <c r="D6349" t="str">
        <f>HYPERLINK("http://service.sap.com/sap/support/notes/1497299","1497299")</f>
        <v>1497299</v>
      </c>
      <c r="E6349">
        <v>2</v>
      </c>
      <c r="F6349" t="s">
        <v>6298</v>
      </c>
    </row>
    <row r="6350" spans="1:6" x14ac:dyDescent="0.25">
      <c r="A6350" t="s">
        <v>6397</v>
      </c>
      <c r="B6350" t="s">
        <v>24</v>
      </c>
      <c r="C6350" t="s">
        <v>25</v>
      </c>
      <c r="D6350" t="str">
        <f>HYPERLINK("http://service.sap.com/sap/support/notes/1500716","1500716")</f>
        <v>1500716</v>
      </c>
      <c r="E6350">
        <v>2</v>
      </c>
      <c r="F6350" t="s">
        <v>6299</v>
      </c>
    </row>
    <row r="6351" spans="1:6" x14ac:dyDescent="0.25">
      <c r="A6351" t="s">
        <v>6397</v>
      </c>
      <c r="B6351" t="s">
        <v>4074</v>
      </c>
      <c r="C6351" t="s">
        <v>4075</v>
      </c>
      <c r="D6351" t="str">
        <f>HYPERLINK("http://service.sap.com/sap/support/notes/1489313","1489313")</f>
        <v>1489313</v>
      </c>
      <c r="E6351">
        <v>1</v>
      </c>
      <c r="F6351" t="s">
        <v>6300</v>
      </c>
    </row>
    <row r="6352" spans="1:6" x14ac:dyDescent="0.25">
      <c r="A6352" t="s">
        <v>6397</v>
      </c>
      <c r="B6352" t="s">
        <v>4074</v>
      </c>
      <c r="C6352" t="s">
        <v>4075</v>
      </c>
      <c r="D6352" t="str">
        <f>HYPERLINK("http://service.sap.com/sap/support/notes/1492917","1492917")</f>
        <v>1492917</v>
      </c>
      <c r="E6352">
        <v>1</v>
      </c>
      <c r="F6352" t="s">
        <v>6301</v>
      </c>
    </row>
    <row r="6353" spans="1:6" x14ac:dyDescent="0.25">
      <c r="A6353" t="s">
        <v>6397</v>
      </c>
      <c r="B6353" t="s">
        <v>4074</v>
      </c>
      <c r="C6353" t="s">
        <v>4075</v>
      </c>
      <c r="D6353" t="str">
        <f>HYPERLINK("http://service.sap.com/sap/support/notes/1493904","1493904")</f>
        <v>1493904</v>
      </c>
      <c r="E6353">
        <v>1</v>
      </c>
      <c r="F6353" t="s">
        <v>6302</v>
      </c>
    </row>
    <row r="6354" spans="1:6" x14ac:dyDescent="0.25">
      <c r="A6354" t="s">
        <v>6397</v>
      </c>
      <c r="B6354" t="s">
        <v>4074</v>
      </c>
      <c r="C6354" t="s">
        <v>4075</v>
      </c>
      <c r="D6354" t="str">
        <f>HYPERLINK("http://service.sap.com/sap/support/notes/1495929","1495929")</f>
        <v>1495929</v>
      </c>
      <c r="E6354">
        <v>1</v>
      </c>
      <c r="F6354" t="s">
        <v>6303</v>
      </c>
    </row>
    <row r="6355" spans="1:6" x14ac:dyDescent="0.25">
      <c r="A6355" t="s">
        <v>6397</v>
      </c>
      <c r="B6355" t="s">
        <v>4074</v>
      </c>
      <c r="C6355" t="s">
        <v>4075</v>
      </c>
      <c r="D6355" t="str">
        <f>HYPERLINK("http://service.sap.com/sap/support/notes/1496385","1496385")</f>
        <v>1496385</v>
      </c>
      <c r="E6355">
        <v>2</v>
      </c>
      <c r="F6355" t="s">
        <v>6304</v>
      </c>
    </row>
    <row r="6356" spans="1:6" x14ac:dyDescent="0.25">
      <c r="A6356" t="s">
        <v>6397</v>
      </c>
      <c r="B6356" t="s">
        <v>4074</v>
      </c>
      <c r="C6356" t="s">
        <v>4075</v>
      </c>
      <c r="D6356" t="str">
        <f>HYPERLINK("http://service.sap.com/sap/support/notes/1498257","1498257")</f>
        <v>1498257</v>
      </c>
      <c r="E6356">
        <v>1</v>
      </c>
      <c r="F6356" t="s">
        <v>6305</v>
      </c>
    </row>
    <row r="6357" spans="1:6" x14ac:dyDescent="0.25">
      <c r="A6357" t="s">
        <v>6397</v>
      </c>
      <c r="B6357" t="s">
        <v>4074</v>
      </c>
      <c r="C6357" t="s">
        <v>4075</v>
      </c>
      <c r="D6357" t="str">
        <f>HYPERLINK("http://service.sap.com/sap/support/notes/1498537","1498537")</f>
        <v>1498537</v>
      </c>
      <c r="E6357">
        <v>1</v>
      </c>
      <c r="F6357" t="s">
        <v>6306</v>
      </c>
    </row>
    <row r="6358" spans="1:6" x14ac:dyDescent="0.25">
      <c r="A6358" t="s">
        <v>6397</v>
      </c>
      <c r="B6358" t="s">
        <v>5589</v>
      </c>
      <c r="C6358" t="s">
        <v>5590</v>
      </c>
      <c r="D6358" t="str">
        <f>HYPERLINK("http://service.sap.com/sap/support/notes/1492711","1492711")</f>
        <v>1492711</v>
      </c>
      <c r="E6358">
        <v>1</v>
      </c>
      <c r="F6358" t="s">
        <v>6307</v>
      </c>
    </row>
    <row r="6359" spans="1:6" x14ac:dyDescent="0.25">
      <c r="A6359" t="s">
        <v>6397</v>
      </c>
      <c r="B6359" t="s">
        <v>4081</v>
      </c>
      <c r="C6359" t="s">
        <v>4082</v>
      </c>
      <c r="D6359" t="str">
        <f>HYPERLINK("http://service.sap.com/sap/support/notes/1436432","1436432")</f>
        <v>1436432</v>
      </c>
      <c r="E6359">
        <v>2</v>
      </c>
      <c r="F6359" t="s">
        <v>6308</v>
      </c>
    </row>
    <row r="6360" spans="1:6" x14ac:dyDescent="0.25">
      <c r="A6360" t="s">
        <v>6397</v>
      </c>
      <c r="B6360" t="s">
        <v>4081</v>
      </c>
      <c r="C6360" t="s">
        <v>4082</v>
      </c>
      <c r="D6360" t="str">
        <f>HYPERLINK("http://service.sap.com/sap/support/notes/1489871","1489871")</f>
        <v>1489871</v>
      </c>
      <c r="E6360">
        <v>1</v>
      </c>
      <c r="F6360" t="s">
        <v>5933</v>
      </c>
    </row>
    <row r="6361" spans="1:6" x14ac:dyDescent="0.25">
      <c r="A6361" t="s">
        <v>6397</v>
      </c>
      <c r="B6361" t="s">
        <v>4081</v>
      </c>
      <c r="C6361" t="s">
        <v>4082</v>
      </c>
      <c r="D6361" t="str">
        <f>HYPERLINK("http://service.sap.com/sap/support/notes/1491912","1491912")</f>
        <v>1491912</v>
      </c>
      <c r="E6361">
        <v>1</v>
      </c>
      <c r="F6361" t="s">
        <v>6309</v>
      </c>
    </row>
    <row r="6362" spans="1:6" x14ac:dyDescent="0.25">
      <c r="A6362" t="s">
        <v>6397</v>
      </c>
      <c r="B6362" t="s">
        <v>4081</v>
      </c>
      <c r="C6362" t="s">
        <v>4082</v>
      </c>
      <c r="D6362" t="str">
        <f>HYPERLINK("http://service.sap.com/sap/support/notes/1494011","1494011")</f>
        <v>1494011</v>
      </c>
      <c r="E6362">
        <v>1</v>
      </c>
      <c r="F6362" t="s">
        <v>6310</v>
      </c>
    </row>
    <row r="6363" spans="1:6" x14ac:dyDescent="0.25">
      <c r="A6363" t="s">
        <v>6397</v>
      </c>
      <c r="B6363" t="s">
        <v>5934</v>
      </c>
      <c r="C6363" t="s">
        <v>5935</v>
      </c>
      <c r="D6363" t="str">
        <f>HYPERLINK("http://service.sap.com/sap/support/notes/1493232","1493232")</f>
        <v>1493232</v>
      </c>
      <c r="E6363">
        <v>2</v>
      </c>
      <c r="F6363" t="s">
        <v>6311</v>
      </c>
    </row>
    <row r="6364" spans="1:6" x14ac:dyDescent="0.25">
      <c r="A6364" t="s">
        <v>6397</v>
      </c>
      <c r="B6364" t="s">
        <v>27</v>
      </c>
      <c r="C6364" t="s">
        <v>13</v>
      </c>
    </row>
    <row r="6365" spans="1:6" x14ac:dyDescent="0.25">
      <c r="A6365" t="s">
        <v>6397</v>
      </c>
      <c r="B6365" t="s">
        <v>4091</v>
      </c>
      <c r="C6365" t="s">
        <v>4092</v>
      </c>
      <c r="D6365" t="str">
        <f>HYPERLINK("http://service.sap.com/sap/support/notes/1358667","1358667")</f>
        <v>1358667</v>
      </c>
      <c r="E6365">
        <v>4</v>
      </c>
      <c r="F6365" t="s">
        <v>5941</v>
      </c>
    </row>
    <row r="6366" spans="1:6" x14ac:dyDescent="0.25">
      <c r="A6366" t="s">
        <v>6397</v>
      </c>
      <c r="B6366" t="s">
        <v>4091</v>
      </c>
      <c r="C6366" t="s">
        <v>4092</v>
      </c>
      <c r="D6366" t="str">
        <f>HYPERLINK("http://service.sap.com/sap/support/notes/1448163","1448163")</f>
        <v>1448163</v>
      </c>
      <c r="E6366">
        <v>1</v>
      </c>
      <c r="F6366" t="s">
        <v>6312</v>
      </c>
    </row>
    <row r="6367" spans="1:6" x14ac:dyDescent="0.25">
      <c r="A6367" t="s">
        <v>6397</v>
      </c>
      <c r="B6367" t="s">
        <v>4091</v>
      </c>
      <c r="C6367" t="s">
        <v>4092</v>
      </c>
      <c r="D6367" t="str">
        <f>HYPERLINK("http://service.sap.com/sap/support/notes/1485956","1485956")</f>
        <v>1485956</v>
      </c>
      <c r="E6367">
        <v>2</v>
      </c>
      <c r="F6367" t="s">
        <v>6313</v>
      </c>
    </row>
    <row r="6368" spans="1:6" x14ac:dyDescent="0.25">
      <c r="A6368" t="s">
        <v>6397</v>
      </c>
      <c r="B6368" t="s">
        <v>4091</v>
      </c>
      <c r="C6368" t="s">
        <v>4092</v>
      </c>
      <c r="D6368" t="str">
        <f>HYPERLINK("http://service.sap.com/sap/support/notes/1492511","1492511")</f>
        <v>1492511</v>
      </c>
      <c r="E6368">
        <v>1</v>
      </c>
      <c r="F6368" t="s">
        <v>6314</v>
      </c>
    </row>
    <row r="6369" spans="1:6" x14ac:dyDescent="0.25">
      <c r="A6369" t="s">
        <v>6397</v>
      </c>
      <c r="B6369" t="s">
        <v>4091</v>
      </c>
      <c r="C6369" t="s">
        <v>4092</v>
      </c>
      <c r="D6369" t="str">
        <f>HYPERLINK("http://service.sap.com/sap/support/notes/1493278","1493278")</f>
        <v>1493278</v>
      </c>
      <c r="E6369">
        <v>1</v>
      </c>
      <c r="F6369" t="s">
        <v>6315</v>
      </c>
    </row>
    <row r="6370" spans="1:6" x14ac:dyDescent="0.25">
      <c r="A6370" t="s">
        <v>6397</v>
      </c>
      <c r="B6370" t="s">
        <v>4091</v>
      </c>
      <c r="C6370" t="s">
        <v>4092</v>
      </c>
      <c r="D6370" t="str">
        <f>HYPERLINK("http://service.sap.com/sap/support/notes/1493414","1493414")</f>
        <v>1493414</v>
      </c>
      <c r="E6370">
        <v>2</v>
      </c>
      <c r="F6370" t="s">
        <v>6316</v>
      </c>
    </row>
    <row r="6371" spans="1:6" x14ac:dyDescent="0.25">
      <c r="A6371" t="s">
        <v>6397</v>
      </c>
      <c r="B6371" t="s">
        <v>4091</v>
      </c>
      <c r="C6371" t="s">
        <v>4092</v>
      </c>
      <c r="D6371" t="str">
        <f>HYPERLINK("http://service.sap.com/sap/support/notes/1493799","1493799")</f>
        <v>1493799</v>
      </c>
      <c r="E6371">
        <v>1</v>
      </c>
      <c r="F6371" t="s">
        <v>6317</v>
      </c>
    </row>
    <row r="6372" spans="1:6" x14ac:dyDescent="0.25">
      <c r="A6372" t="s">
        <v>6397</v>
      </c>
      <c r="B6372" t="s">
        <v>4091</v>
      </c>
      <c r="C6372" t="s">
        <v>4092</v>
      </c>
      <c r="D6372" t="str">
        <f>HYPERLINK("http://service.sap.com/sap/support/notes/1494119","1494119")</f>
        <v>1494119</v>
      </c>
      <c r="E6372">
        <v>4</v>
      </c>
      <c r="F6372" t="s">
        <v>6318</v>
      </c>
    </row>
    <row r="6373" spans="1:6" x14ac:dyDescent="0.25">
      <c r="A6373" t="s">
        <v>6397</v>
      </c>
      <c r="B6373" t="s">
        <v>4091</v>
      </c>
      <c r="C6373" t="s">
        <v>4092</v>
      </c>
      <c r="D6373" t="str">
        <f>HYPERLINK("http://service.sap.com/sap/support/notes/1495415","1495415")</f>
        <v>1495415</v>
      </c>
      <c r="E6373">
        <v>2</v>
      </c>
      <c r="F6373" t="s">
        <v>6319</v>
      </c>
    </row>
    <row r="6374" spans="1:6" x14ac:dyDescent="0.25">
      <c r="A6374" t="s">
        <v>6397</v>
      </c>
      <c r="B6374" t="s">
        <v>4091</v>
      </c>
      <c r="C6374" t="s">
        <v>4092</v>
      </c>
      <c r="D6374" t="str">
        <f>HYPERLINK("http://service.sap.com/sap/support/notes/1500802","1500802")</f>
        <v>1500802</v>
      </c>
      <c r="E6374">
        <v>1</v>
      </c>
      <c r="F6374" t="s">
        <v>6320</v>
      </c>
    </row>
    <row r="6375" spans="1:6" x14ac:dyDescent="0.25">
      <c r="A6375" t="s">
        <v>6397</v>
      </c>
      <c r="B6375" t="s">
        <v>2161</v>
      </c>
      <c r="C6375" t="s">
        <v>2162</v>
      </c>
      <c r="D6375" t="str">
        <f>HYPERLINK("http://service.sap.com/sap/support/notes/1485062","1485062")</f>
        <v>1485062</v>
      </c>
      <c r="E6375">
        <v>3</v>
      </c>
      <c r="F6375" t="s">
        <v>6321</v>
      </c>
    </row>
    <row r="6376" spans="1:6" x14ac:dyDescent="0.25">
      <c r="A6376" t="s">
        <v>6397</v>
      </c>
      <c r="B6376" t="s">
        <v>2161</v>
      </c>
      <c r="C6376" t="s">
        <v>2162</v>
      </c>
      <c r="D6376" t="str">
        <f>HYPERLINK("http://service.sap.com/sap/support/notes/1491838","1491838")</f>
        <v>1491838</v>
      </c>
      <c r="E6376">
        <v>2</v>
      </c>
      <c r="F6376" t="s">
        <v>6322</v>
      </c>
    </row>
    <row r="6377" spans="1:6" x14ac:dyDescent="0.25">
      <c r="A6377" t="s">
        <v>6397</v>
      </c>
      <c r="B6377" t="s">
        <v>2161</v>
      </c>
      <c r="C6377" t="s">
        <v>2162</v>
      </c>
      <c r="D6377" t="str">
        <f>HYPERLINK("http://service.sap.com/sap/support/notes/1494611","1494611")</f>
        <v>1494611</v>
      </c>
      <c r="E6377">
        <v>2</v>
      </c>
      <c r="F6377" t="s">
        <v>6323</v>
      </c>
    </row>
    <row r="6378" spans="1:6" x14ac:dyDescent="0.25">
      <c r="A6378" t="s">
        <v>6397</v>
      </c>
      <c r="B6378" t="s">
        <v>2161</v>
      </c>
      <c r="C6378" t="s">
        <v>2162</v>
      </c>
      <c r="D6378" t="str">
        <f>HYPERLINK("http://service.sap.com/sap/support/notes/1495088","1495088")</f>
        <v>1495088</v>
      </c>
      <c r="E6378">
        <v>2</v>
      </c>
      <c r="F6378" t="s">
        <v>6324</v>
      </c>
    </row>
    <row r="6379" spans="1:6" x14ac:dyDescent="0.25">
      <c r="A6379" t="s">
        <v>6397</v>
      </c>
      <c r="B6379" t="s">
        <v>2161</v>
      </c>
      <c r="C6379" t="s">
        <v>2162</v>
      </c>
      <c r="D6379" t="str">
        <f>HYPERLINK("http://service.sap.com/sap/support/notes/1495439","1495439")</f>
        <v>1495439</v>
      </c>
      <c r="E6379">
        <v>1</v>
      </c>
      <c r="F6379" t="s">
        <v>6325</v>
      </c>
    </row>
    <row r="6380" spans="1:6" x14ac:dyDescent="0.25">
      <c r="A6380" t="s">
        <v>6397</v>
      </c>
      <c r="B6380" t="s">
        <v>2161</v>
      </c>
      <c r="C6380" t="s">
        <v>2162</v>
      </c>
      <c r="D6380" t="str">
        <f>HYPERLINK("http://service.sap.com/sap/support/notes/1497460","1497460")</f>
        <v>1497460</v>
      </c>
      <c r="E6380">
        <v>1</v>
      </c>
      <c r="F6380" t="s">
        <v>6326</v>
      </c>
    </row>
    <row r="6381" spans="1:6" x14ac:dyDescent="0.25">
      <c r="A6381" t="s">
        <v>6397</v>
      </c>
      <c r="B6381" t="s">
        <v>4105</v>
      </c>
      <c r="C6381" t="s">
        <v>4106</v>
      </c>
      <c r="D6381" t="str">
        <f>HYPERLINK("http://service.sap.com/sap/support/notes/1441532","1441532")</f>
        <v>1441532</v>
      </c>
      <c r="E6381">
        <v>2</v>
      </c>
      <c r="F6381" t="s">
        <v>5635</v>
      </c>
    </row>
    <row r="6382" spans="1:6" x14ac:dyDescent="0.25">
      <c r="A6382" t="s">
        <v>6397</v>
      </c>
      <c r="B6382" t="s">
        <v>4105</v>
      </c>
      <c r="C6382" t="s">
        <v>4106</v>
      </c>
      <c r="D6382" t="str">
        <f>HYPERLINK("http://service.sap.com/sap/support/notes/1484172","1484172")</f>
        <v>1484172</v>
      </c>
      <c r="E6382">
        <v>2</v>
      </c>
      <c r="F6382" t="s">
        <v>6006</v>
      </c>
    </row>
    <row r="6383" spans="1:6" x14ac:dyDescent="0.25">
      <c r="A6383" t="s">
        <v>6397</v>
      </c>
      <c r="B6383" t="s">
        <v>4105</v>
      </c>
      <c r="C6383" t="s">
        <v>4106</v>
      </c>
      <c r="D6383" t="str">
        <f>HYPERLINK("http://service.sap.com/sap/support/notes/1488311","1488311")</f>
        <v>1488311</v>
      </c>
      <c r="E6383">
        <v>1</v>
      </c>
      <c r="F6383" t="s">
        <v>6327</v>
      </c>
    </row>
    <row r="6384" spans="1:6" x14ac:dyDescent="0.25">
      <c r="A6384" t="s">
        <v>6397</v>
      </c>
      <c r="B6384" t="s">
        <v>4105</v>
      </c>
      <c r="C6384" t="s">
        <v>4106</v>
      </c>
      <c r="D6384" t="str">
        <f>HYPERLINK("http://service.sap.com/sap/support/notes/1492907","1492907")</f>
        <v>1492907</v>
      </c>
      <c r="E6384">
        <v>1</v>
      </c>
      <c r="F6384" t="s">
        <v>6328</v>
      </c>
    </row>
    <row r="6385" spans="1:6" x14ac:dyDescent="0.25">
      <c r="A6385" t="s">
        <v>6397</v>
      </c>
      <c r="B6385" t="s">
        <v>4112</v>
      </c>
      <c r="C6385" t="s">
        <v>4113</v>
      </c>
      <c r="D6385" t="str">
        <f>HYPERLINK("http://service.sap.com/sap/support/notes/1488095","1488095")</f>
        <v>1488095</v>
      </c>
      <c r="E6385">
        <v>2</v>
      </c>
      <c r="F6385" t="s">
        <v>6329</v>
      </c>
    </row>
    <row r="6386" spans="1:6" x14ac:dyDescent="0.25">
      <c r="A6386" t="s">
        <v>6397</v>
      </c>
      <c r="B6386" t="s">
        <v>4112</v>
      </c>
      <c r="C6386" t="s">
        <v>4113</v>
      </c>
      <c r="D6386" t="str">
        <f>HYPERLINK("http://service.sap.com/sap/support/notes/1489937","1489937")</f>
        <v>1489937</v>
      </c>
      <c r="E6386">
        <v>1</v>
      </c>
      <c r="F6386" t="s">
        <v>6330</v>
      </c>
    </row>
    <row r="6387" spans="1:6" x14ac:dyDescent="0.25">
      <c r="A6387" t="s">
        <v>6397</v>
      </c>
      <c r="B6387" t="s">
        <v>4112</v>
      </c>
      <c r="C6387" t="s">
        <v>4113</v>
      </c>
      <c r="D6387" t="str">
        <f>HYPERLINK("http://service.sap.com/sap/support/notes/1490385","1490385")</f>
        <v>1490385</v>
      </c>
      <c r="E6387">
        <v>2</v>
      </c>
      <c r="F6387" t="s">
        <v>6331</v>
      </c>
    </row>
    <row r="6388" spans="1:6" x14ac:dyDescent="0.25">
      <c r="A6388" t="s">
        <v>6397</v>
      </c>
      <c r="B6388" t="s">
        <v>5648</v>
      </c>
      <c r="C6388" t="s">
        <v>5649</v>
      </c>
    </row>
    <row r="6389" spans="1:6" x14ac:dyDescent="0.25">
      <c r="A6389" t="s">
        <v>6397</v>
      </c>
      <c r="B6389" t="s">
        <v>6024</v>
      </c>
      <c r="C6389" t="s">
        <v>6025</v>
      </c>
      <c r="D6389" t="str">
        <f>HYPERLINK("http://service.sap.com/sap/support/notes/1490240","1490240")</f>
        <v>1490240</v>
      </c>
      <c r="E6389">
        <v>1</v>
      </c>
      <c r="F6389" t="s">
        <v>6026</v>
      </c>
    </row>
    <row r="6390" spans="1:6" x14ac:dyDescent="0.25">
      <c r="A6390" t="s">
        <v>6397</v>
      </c>
      <c r="B6390" t="s">
        <v>6024</v>
      </c>
      <c r="C6390" t="s">
        <v>6025</v>
      </c>
      <c r="D6390" t="str">
        <f>HYPERLINK("http://service.sap.com/sap/support/notes/1491890","1491890")</f>
        <v>1491890</v>
      </c>
      <c r="E6390">
        <v>1</v>
      </c>
      <c r="F6390" t="s">
        <v>6027</v>
      </c>
    </row>
    <row r="6391" spans="1:6" x14ac:dyDescent="0.25">
      <c r="A6391" t="s">
        <v>6397</v>
      </c>
      <c r="B6391" t="s">
        <v>5650</v>
      </c>
      <c r="C6391" t="s">
        <v>5651</v>
      </c>
    </row>
    <row r="6392" spans="1:6" x14ac:dyDescent="0.25">
      <c r="A6392" t="s">
        <v>6397</v>
      </c>
      <c r="B6392" t="s">
        <v>5652</v>
      </c>
      <c r="C6392" t="s">
        <v>5653</v>
      </c>
      <c r="D6392" t="str">
        <f>HYPERLINK("http://service.sap.com/sap/support/notes/1466376","1466376")</f>
        <v>1466376</v>
      </c>
      <c r="E6392">
        <v>2</v>
      </c>
      <c r="F6392" t="s">
        <v>6032</v>
      </c>
    </row>
    <row r="6393" spans="1:6" x14ac:dyDescent="0.25">
      <c r="A6393" t="s">
        <v>6397</v>
      </c>
      <c r="B6393" t="s">
        <v>5652</v>
      </c>
      <c r="C6393" t="s">
        <v>5653</v>
      </c>
      <c r="D6393" t="str">
        <f>HYPERLINK("http://service.sap.com/sap/support/notes/1492262","1492262")</f>
        <v>1492262</v>
      </c>
      <c r="E6393">
        <v>1</v>
      </c>
      <c r="F6393" t="s">
        <v>6036</v>
      </c>
    </row>
    <row r="6394" spans="1:6" x14ac:dyDescent="0.25">
      <c r="A6394" t="s">
        <v>6397</v>
      </c>
      <c r="B6394" t="s">
        <v>5656</v>
      </c>
      <c r="C6394" t="s">
        <v>5657</v>
      </c>
      <c r="D6394" t="str">
        <f>HYPERLINK("http://service.sap.com/sap/support/notes/1493873","1493873")</f>
        <v>1493873</v>
      </c>
      <c r="E6394">
        <v>2</v>
      </c>
      <c r="F6394" t="s">
        <v>6332</v>
      </c>
    </row>
    <row r="6395" spans="1:6" x14ac:dyDescent="0.25">
      <c r="A6395" t="s">
        <v>6397</v>
      </c>
      <c r="B6395" t="s">
        <v>38</v>
      </c>
      <c r="C6395" t="s">
        <v>39</v>
      </c>
    </row>
    <row r="6396" spans="1:6" x14ac:dyDescent="0.25">
      <c r="A6396" t="s">
        <v>6397</v>
      </c>
      <c r="B6396" t="s">
        <v>3433</v>
      </c>
      <c r="C6396" t="s">
        <v>3434</v>
      </c>
      <c r="D6396" t="str">
        <f>HYPERLINK("http://service.sap.com/sap/support/notes/1498759","1498759")</f>
        <v>1498759</v>
      </c>
      <c r="E6396">
        <v>1</v>
      </c>
      <c r="F6396" t="s">
        <v>6333</v>
      </c>
    </row>
    <row r="6397" spans="1:6" x14ac:dyDescent="0.25">
      <c r="A6397" t="s">
        <v>6397</v>
      </c>
      <c r="B6397" t="s">
        <v>57</v>
      </c>
      <c r="C6397" t="s">
        <v>58</v>
      </c>
    </row>
    <row r="6398" spans="1:6" x14ac:dyDescent="0.25">
      <c r="A6398" t="s">
        <v>6397</v>
      </c>
      <c r="B6398" t="s">
        <v>59</v>
      </c>
      <c r="C6398" t="s">
        <v>60</v>
      </c>
      <c r="D6398" t="str">
        <f>HYPERLINK("http://service.sap.com/sap/support/notes/1498137","1498137")</f>
        <v>1498137</v>
      </c>
      <c r="E6398">
        <v>1</v>
      </c>
      <c r="F6398" t="s">
        <v>6334</v>
      </c>
    </row>
    <row r="6399" spans="1:6" x14ac:dyDescent="0.25">
      <c r="A6399" t="s">
        <v>6397</v>
      </c>
      <c r="B6399" t="s">
        <v>89</v>
      </c>
      <c r="C6399" t="s">
        <v>90</v>
      </c>
      <c r="D6399" t="str">
        <f>HYPERLINK("http://service.sap.com/sap/support/notes/1487998","1487998")</f>
        <v>1487998</v>
      </c>
      <c r="E6399">
        <v>2</v>
      </c>
      <c r="F6399" t="s">
        <v>6335</v>
      </c>
    </row>
    <row r="6400" spans="1:6" x14ac:dyDescent="0.25">
      <c r="A6400" t="s">
        <v>6397</v>
      </c>
      <c r="B6400" t="s">
        <v>6336</v>
      </c>
      <c r="C6400" t="s">
        <v>432</v>
      </c>
      <c r="D6400" t="str">
        <f>HYPERLINK("http://service.sap.com/sap/support/notes/1230410","1230410")</f>
        <v>1230410</v>
      </c>
      <c r="E6400">
        <v>5</v>
      </c>
      <c r="F6400" t="s">
        <v>6337</v>
      </c>
    </row>
    <row r="6401" spans="1:6" x14ac:dyDescent="0.25">
      <c r="A6401" t="s">
        <v>6397</v>
      </c>
      <c r="B6401" t="s">
        <v>92</v>
      </c>
      <c r="C6401" t="s">
        <v>93</v>
      </c>
      <c r="D6401" t="str">
        <f>HYPERLINK("http://service.sap.com/sap/support/notes/1486993","1486993")</f>
        <v>1486993</v>
      </c>
      <c r="E6401">
        <v>4</v>
      </c>
      <c r="F6401" t="s">
        <v>6079</v>
      </c>
    </row>
    <row r="6402" spans="1:6" x14ac:dyDescent="0.25">
      <c r="A6402" t="s">
        <v>6397</v>
      </c>
      <c r="B6402" t="s">
        <v>92</v>
      </c>
      <c r="C6402" t="s">
        <v>93</v>
      </c>
      <c r="D6402" t="str">
        <f>HYPERLINK("http://service.sap.com/sap/support/notes/1494968","1494968")</f>
        <v>1494968</v>
      </c>
      <c r="E6402">
        <v>1</v>
      </c>
      <c r="F6402" t="s">
        <v>6338</v>
      </c>
    </row>
    <row r="6403" spans="1:6" x14ac:dyDescent="0.25">
      <c r="A6403" t="s">
        <v>6397</v>
      </c>
      <c r="B6403" t="s">
        <v>92</v>
      </c>
      <c r="C6403" t="s">
        <v>93</v>
      </c>
      <c r="D6403" t="str">
        <f>HYPERLINK("http://service.sap.com/sap/support/notes/1495568","1495568")</f>
        <v>1495568</v>
      </c>
      <c r="E6403">
        <v>1</v>
      </c>
      <c r="F6403" t="s">
        <v>6339</v>
      </c>
    </row>
    <row r="6404" spans="1:6" x14ac:dyDescent="0.25">
      <c r="A6404" t="s">
        <v>6397</v>
      </c>
      <c r="B6404" t="s">
        <v>107</v>
      </c>
      <c r="C6404" t="s">
        <v>108</v>
      </c>
    </row>
    <row r="6405" spans="1:6" x14ac:dyDescent="0.25">
      <c r="A6405" t="s">
        <v>6397</v>
      </c>
      <c r="B6405" t="s">
        <v>6092</v>
      </c>
      <c r="C6405" t="s">
        <v>6093</v>
      </c>
      <c r="D6405" t="str">
        <f>HYPERLINK("http://service.sap.com/sap/support/notes/1470486","1470486")</f>
        <v>1470486</v>
      </c>
      <c r="E6405">
        <v>1</v>
      </c>
      <c r="F6405" t="s">
        <v>6340</v>
      </c>
    </row>
    <row r="6406" spans="1:6" x14ac:dyDescent="0.25">
      <c r="A6406" t="s">
        <v>6397</v>
      </c>
      <c r="B6406" t="s">
        <v>724</v>
      </c>
      <c r="C6406" t="s">
        <v>725</v>
      </c>
      <c r="D6406" t="str">
        <f>HYPERLINK("http://service.sap.com/sap/support/notes/1486258","1486258")</f>
        <v>1486258</v>
      </c>
      <c r="E6406">
        <v>2</v>
      </c>
      <c r="F6406" t="s">
        <v>6341</v>
      </c>
    </row>
    <row r="6407" spans="1:6" x14ac:dyDescent="0.25">
      <c r="A6407" t="s">
        <v>6397</v>
      </c>
      <c r="B6407" t="s">
        <v>724</v>
      </c>
      <c r="C6407" t="s">
        <v>725</v>
      </c>
      <c r="D6407" t="str">
        <f>HYPERLINK("http://service.sap.com/sap/support/notes/1500388","1500388")</f>
        <v>1500388</v>
      </c>
      <c r="E6407">
        <v>2</v>
      </c>
      <c r="F6407" t="s">
        <v>6342</v>
      </c>
    </row>
    <row r="6408" spans="1:6" x14ac:dyDescent="0.25">
      <c r="A6408" t="s">
        <v>6397</v>
      </c>
      <c r="B6408" t="s">
        <v>790</v>
      </c>
      <c r="C6408" t="s">
        <v>4125</v>
      </c>
    </row>
    <row r="6409" spans="1:6" x14ac:dyDescent="0.25">
      <c r="A6409" t="s">
        <v>6397</v>
      </c>
      <c r="B6409" t="s">
        <v>791</v>
      </c>
      <c r="C6409" t="s">
        <v>4126</v>
      </c>
      <c r="D6409" t="str">
        <f>HYPERLINK("http://service.sap.com/sap/support/notes/1494370","1494370")</f>
        <v>1494370</v>
      </c>
      <c r="E6409">
        <v>2</v>
      </c>
      <c r="F6409" t="s">
        <v>6343</v>
      </c>
    </row>
    <row r="6410" spans="1:6" x14ac:dyDescent="0.25">
      <c r="A6410" t="s">
        <v>6397</v>
      </c>
      <c r="B6410" t="s">
        <v>791</v>
      </c>
      <c r="C6410" t="s">
        <v>4126</v>
      </c>
      <c r="D6410" t="str">
        <f>HYPERLINK("http://service.sap.com/sap/support/notes/1496573","1496573")</f>
        <v>1496573</v>
      </c>
      <c r="E6410">
        <v>2</v>
      </c>
      <c r="F6410" t="s">
        <v>6344</v>
      </c>
    </row>
    <row r="6411" spans="1:6" x14ac:dyDescent="0.25">
      <c r="A6411" t="s">
        <v>6397</v>
      </c>
      <c r="B6411" t="s">
        <v>810</v>
      </c>
      <c r="C6411" t="s">
        <v>4131</v>
      </c>
    </row>
    <row r="6412" spans="1:6" x14ac:dyDescent="0.25">
      <c r="A6412" t="s">
        <v>6397</v>
      </c>
      <c r="B6412" t="s">
        <v>811</v>
      </c>
      <c r="C6412" t="s">
        <v>4132</v>
      </c>
      <c r="D6412" t="str">
        <f>HYPERLINK("http://service.sap.com/sap/support/notes/1475014","1475014")</f>
        <v>1475014</v>
      </c>
      <c r="E6412">
        <v>10</v>
      </c>
      <c r="F6412" t="s">
        <v>6345</v>
      </c>
    </row>
    <row r="6413" spans="1:6" x14ac:dyDescent="0.25">
      <c r="A6413" t="s">
        <v>6397</v>
      </c>
      <c r="B6413" t="s">
        <v>811</v>
      </c>
      <c r="C6413" t="s">
        <v>4132</v>
      </c>
      <c r="D6413" t="str">
        <f>HYPERLINK("http://service.sap.com/sap/support/notes/1479336","1479336")</f>
        <v>1479336</v>
      </c>
      <c r="E6413">
        <v>13</v>
      </c>
      <c r="F6413" t="s">
        <v>6346</v>
      </c>
    </row>
    <row r="6414" spans="1:6" x14ac:dyDescent="0.25">
      <c r="A6414" t="s">
        <v>6397</v>
      </c>
      <c r="B6414" t="s">
        <v>4135</v>
      </c>
      <c r="C6414" t="s">
        <v>4136</v>
      </c>
      <c r="D6414" t="str">
        <f>HYPERLINK("http://service.sap.com/sap/support/notes/1480975","1480975")</f>
        <v>1480975</v>
      </c>
      <c r="E6414">
        <v>2</v>
      </c>
      <c r="F6414" t="s">
        <v>6347</v>
      </c>
    </row>
    <row r="6415" spans="1:6" x14ac:dyDescent="0.25">
      <c r="A6415" t="s">
        <v>6397</v>
      </c>
      <c r="B6415" t="s">
        <v>4135</v>
      </c>
      <c r="C6415" t="s">
        <v>4136</v>
      </c>
      <c r="D6415" t="str">
        <f>HYPERLINK("http://service.sap.com/sap/support/notes/1485635","1485635")</f>
        <v>1485635</v>
      </c>
      <c r="E6415">
        <v>5</v>
      </c>
      <c r="F6415" t="s">
        <v>6348</v>
      </c>
    </row>
    <row r="6416" spans="1:6" x14ac:dyDescent="0.25">
      <c r="A6416" t="s">
        <v>6397</v>
      </c>
      <c r="B6416" t="s">
        <v>4135</v>
      </c>
      <c r="C6416" t="s">
        <v>4136</v>
      </c>
      <c r="D6416" t="str">
        <f>HYPERLINK("http://service.sap.com/sap/support/notes/1489603","1489603")</f>
        <v>1489603</v>
      </c>
      <c r="E6416">
        <v>3</v>
      </c>
      <c r="F6416" t="s">
        <v>6349</v>
      </c>
    </row>
    <row r="6417" spans="1:6" x14ac:dyDescent="0.25">
      <c r="A6417" t="s">
        <v>6397</v>
      </c>
      <c r="B6417" t="s">
        <v>4144</v>
      </c>
      <c r="C6417" t="s">
        <v>4145</v>
      </c>
      <c r="D6417" t="str">
        <f>HYPERLINK("http://service.sap.com/sap/support/notes/1294164","1294164")</f>
        <v>1294164</v>
      </c>
      <c r="E6417">
        <v>1</v>
      </c>
      <c r="F6417" t="s">
        <v>6135</v>
      </c>
    </row>
    <row r="6418" spans="1:6" x14ac:dyDescent="0.25">
      <c r="A6418" t="s">
        <v>6397</v>
      </c>
      <c r="B6418" t="s">
        <v>4144</v>
      </c>
      <c r="C6418" t="s">
        <v>4145</v>
      </c>
      <c r="D6418" t="str">
        <f>HYPERLINK("http://service.sap.com/sap/support/notes/1386433","1386433")</f>
        <v>1386433</v>
      </c>
      <c r="E6418">
        <v>6</v>
      </c>
      <c r="F6418" t="s">
        <v>6350</v>
      </c>
    </row>
    <row r="6419" spans="1:6" x14ac:dyDescent="0.25">
      <c r="A6419" t="s">
        <v>6397</v>
      </c>
      <c r="B6419" t="s">
        <v>4144</v>
      </c>
      <c r="C6419" t="s">
        <v>4145</v>
      </c>
      <c r="D6419" t="str">
        <f>HYPERLINK("http://service.sap.com/sap/support/notes/1441976","1441976")</f>
        <v>1441976</v>
      </c>
      <c r="E6419">
        <v>2</v>
      </c>
      <c r="F6419" t="s">
        <v>5698</v>
      </c>
    </row>
    <row r="6420" spans="1:6" x14ac:dyDescent="0.25">
      <c r="A6420" t="s">
        <v>6397</v>
      </c>
      <c r="B6420" t="s">
        <v>4144</v>
      </c>
      <c r="C6420" t="s">
        <v>4145</v>
      </c>
      <c r="D6420" t="str">
        <f>HYPERLINK("http://service.sap.com/sap/support/notes/1495571","1495571")</f>
        <v>1495571</v>
      </c>
      <c r="E6420">
        <v>1</v>
      </c>
      <c r="F6420" t="s">
        <v>6351</v>
      </c>
    </row>
    <row r="6421" spans="1:6" x14ac:dyDescent="0.25">
      <c r="A6421" t="s">
        <v>6397</v>
      </c>
      <c r="B6421" t="s">
        <v>4144</v>
      </c>
      <c r="C6421" t="s">
        <v>4145</v>
      </c>
      <c r="D6421" t="str">
        <f>HYPERLINK("http://service.sap.com/sap/support/notes/1495727","1495727")</f>
        <v>1495727</v>
      </c>
      <c r="E6421">
        <v>2</v>
      </c>
      <c r="F6421" t="s">
        <v>6352</v>
      </c>
    </row>
    <row r="6422" spans="1:6" x14ac:dyDescent="0.25">
      <c r="A6422" t="s">
        <v>6397</v>
      </c>
      <c r="B6422" t="s">
        <v>4144</v>
      </c>
      <c r="C6422" t="s">
        <v>4145</v>
      </c>
      <c r="D6422" t="str">
        <f>HYPERLINK("http://service.sap.com/sap/support/notes/1495729","1495729")</f>
        <v>1495729</v>
      </c>
      <c r="E6422">
        <v>2</v>
      </c>
      <c r="F6422" t="s">
        <v>6353</v>
      </c>
    </row>
    <row r="6423" spans="1:6" x14ac:dyDescent="0.25">
      <c r="A6423" t="s">
        <v>6397</v>
      </c>
      <c r="B6423" t="s">
        <v>4144</v>
      </c>
      <c r="C6423" t="s">
        <v>4145</v>
      </c>
      <c r="D6423" t="str">
        <f>HYPERLINK("http://service.sap.com/sap/support/notes/1497947","1497947")</f>
        <v>1497947</v>
      </c>
      <c r="E6423">
        <v>2</v>
      </c>
      <c r="F6423" t="s">
        <v>6354</v>
      </c>
    </row>
    <row r="6424" spans="1:6" x14ac:dyDescent="0.25">
      <c r="A6424" t="s">
        <v>6397</v>
      </c>
      <c r="B6424" t="s">
        <v>4144</v>
      </c>
      <c r="C6424" t="s">
        <v>4145</v>
      </c>
      <c r="D6424" t="str">
        <f>HYPERLINK("http://service.sap.com/sap/support/notes/1499170","1499170")</f>
        <v>1499170</v>
      </c>
      <c r="E6424">
        <v>1</v>
      </c>
      <c r="F6424" t="s">
        <v>6355</v>
      </c>
    </row>
    <row r="6425" spans="1:6" x14ac:dyDescent="0.25">
      <c r="A6425" t="s">
        <v>6397</v>
      </c>
      <c r="B6425" t="s">
        <v>4144</v>
      </c>
      <c r="C6425" t="s">
        <v>4145</v>
      </c>
      <c r="D6425" t="str">
        <f>HYPERLINK("http://service.sap.com/sap/support/notes/1499748","1499748")</f>
        <v>1499748</v>
      </c>
      <c r="E6425">
        <v>1</v>
      </c>
      <c r="F6425" t="s">
        <v>6356</v>
      </c>
    </row>
    <row r="6426" spans="1:6" x14ac:dyDescent="0.25">
      <c r="A6426" t="s">
        <v>6397</v>
      </c>
      <c r="B6426" t="s">
        <v>126</v>
      </c>
      <c r="C6426" t="s">
        <v>127</v>
      </c>
    </row>
    <row r="6427" spans="1:6" x14ac:dyDescent="0.25">
      <c r="A6427" t="s">
        <v>6397</v>
      </c>
      <c r="B6427" t="s">
        <v>824</v>
      </c>
      <c r="C6427" t="s">
        <v>1777</v>
      </c>
    </row>
    <row r="6428" spans="1:6" x14ac:dyDescent="0.25">
      <c r="A6428" t="s">
        <v>6397</v>
      </c>
      <c r="B6428" t="s">
        <v>4413</v>
      </c>
      <c r="C6428" t="s">
        <v>4414</v>
      </c>
      <c r="D6428" t="str">
        <f>HYPERLINK("http://service.sap.com/sap/support/notes/1290744","1290744")</f>
        <v>1290744</v>
      </c>
      <c r="E6428">
        <v>4</v>
      </c>
      <c r="F6428" t="s">
        <v>6357</v>
      </c>
    </row>
    <row r="6429" spans="1:6" x14ac:dyDescent="0.25">
      <c r="A6429" t="s">
        <v>6397</v>
      </c>
      <c r="B6429" t="s">
        <v>4416</v>
      </c>
      <c r="C6429" t="s">
        <v>4417</v>
      </c>
      <c r="D6429" t="str">
        <f>HYPERLINK("http://service.sap.com/sap/support/notes/1494640","1494640")</f>
        <v>1494640</v>
      </c>
      <c r="E6429">
        <v>1</v>
      </c>
      <c r="F6429" t="s">
        <v>6358</v>
      </c>
    </row>
    <row r="6430" spans="1:6" x14ac:dyDescent="0.25">
      <c r="A6430" t="s">
        <v>6397</v>
      </c>
      <c r="B6430" t="s">
        <v>4157</v>
      </c>
      <c r="C6430" t="s">
        <v>4158</v>
      </c>
      <c r="D6430" t="str">
        <f>HYPERLINK("http://service.sap.com/sap/support/notes/1490568","1490568")</f>
        <v>1490568</v>
      </c>
      <c r="E6430">
        <v>2</v>
      </c>
      <c r="F6430" t="s">
        <v>6359</v>
      </c>
    </row>
    <row r="6431" spans="1:6" x14ac:dyDescent="0.25">
      <c r="A6431" t="s">
        <v>6397</v>
      </c>
      <c r="B6431" t="s">
        <v>825</v>
      </c>
      <c r="C6431" t="s">
        <v>1778</v>
      </c>
      <c r="D6431" t="str">
        <f>HYPERLINK("http://service.sap.com/sap/support/notes/1458560","1458560")</f>
        <v>1458560</v>
      </c>
      <c r="E6431">
        <v>1</v>
      </c>
      <c r="F6431" t="s">
        <v>6360</v>
      </c>
    </row>
    <row r="6432" spans="1:6" x14ac:dyDescent="0.25">
      <c r="A6432" t="s">
        <v>6397</v>
      </c>
      <c r="B6432" t="s">
        <v>825</v>
      </c>
      <c r="C6432" t="s">
        <v>1778</v>
      </c>
      <c r="D6432" t="str">
        <f>HYPERLINK("http://service.sap.com/sap/support/notes/1479804","1479804")</f>
        <v>1479804</v>
      </c>
      <c r="E6432">
        <v>2</v>
      </c>
      <c r="F6432" t="s">
        <v>6361</v>
      </c>
    </row>
    <row r="6433" spans="1:6" x14ac:dyDescent="0.25">
      <c r="A6433" t="s">
        <v>6397</v>
      </c>
      <c r="B6433" t="s">
        <v>825</v>
      </c>
      <c r="C6433" t="s">
        <v>1778</v>
      </c>
      <c r="D6433" t="str">
        <f>HYPERLINK("http://service.sap.com/sap/support/notes/1481654","1481654")</f>
        <v>1481654</v>
      </c>
      <c r="E6433">
        <v>2</v>
      </c>
      <c r="F6433" t="s">
        <v>6362</v>
      </c>
    </row>
    <row r="6434" spans="1:6" x14ac:dyDescent="0.25">
      <c r="A6434" t="s">
        <v>6397</v>
      </c>
      <c r="B6434" t="s">
        <v>825</v>
      </c>
      <c r="C6434" t="s">
        <v>1778</v>
      </c>
      <c r="D6434" t="str">
        <f>HYPERLINK("http://service.sap.com/sap/support/notes/1483779","1483779")</f>
        <v>1483779</v>
      </c>
      <c r="E6434">
        <v>2</v>
      </c>
      <c r="F6434" t="s">
        <v>6363</v>
      </c>
    </row>
    <row r="6435" spans="1:6" x14ac:dyDescent="0.25">
      <c r="A6435" t="s">
        <v>6397</v>
      </c>
      <c r="B6435" t="s">
        <v>825</v>
      </c>
      <c r="C6435" t="s">
        <v>1778</v>
      </c>
      <c r="D6435" t="str">
        <f>HYPERLINK("http://service.sap.com/sap/support/notes/1485590","1485590")</f>
        <v>1485590</v>
      </c>
      <c r="E6435">
        <v>2</v>
      </c>
      <c r="F6435" t="s">
        <v>6180</v>
      </c>
    </row>
    <row r="6436" spans="1:6" x14ac:dyDescent="0.25">
      <c r="A6436" t="s">
        <v>6397</v>
      </c>
      <c r="B6436" t="s">
        <v>825</v>
      </c>
      <c r="C6436" t="s">
        <v>1778</v>
      </c>
      <c r="D6436" t="str">
        <f>HYPERLINK("http://service.sap.com/sap/support/notes/1487612","1487612")</f>
        <v>1487612</v>
      </c>
      <c r="E6436">
        <v>5</v>
      </c>
      <c r="F6436" t="s">
        <v>6364</v>
      </c>
    </row>
    <row r="6437" spans="1:6" x14ac:dyDescent="0.25">
      <c r="A6437" t="s">
        <v>6397</v>
      </c>
      <c r="B6437" t="s">
        <v>825</v>
      </c>
      <c r="C6437" t="s">
        <v>1778</v>
      </c>
      <c r="D6437" t="str">
        <f>HYPERLINK("http://service.sap.com/sap/support/notes/1492820","1492820")</f>
        <v>1492820</v>
      </c>
      <c r="E6437">
        <v>1</v>
      </c>
      <c r="F6437" t="s">
        <v>6365</v>
      </c>
    </row>
    <row r="6438" spans="1:6" x14ac:dyDescent="0.25">
      <c r="A6438" t="s">
        <v>6397</v>
      </c>
      <c r="B6438" t="s">
        <v>825</v>
      </c>
      <c r="C6438" t="s">
        <v>1778</v>
      </c>
      <c r="D6438" t="str">
        <f>HYPERLINK("http://service.sap.com/sap/support/notes/1496680","1496680")</f>
        <v>1496680</v>
      </c>
      <c r="E6438">
        <v>2</v>
      </c>
      <c r="F6438" t="s">
        <v>6366</v>
      </c>
    </row>
    <row r="6439" spans="1:6" x14ac:dyDescent="0.25">
      <c r="A6439" t="s">
        <v>6397</v>
      </c>
      <c r="B6439" t="s">
        <v>825</v>
      </c>
      <c r="C6439" t="s">
        <v>1778</v>
      </c>
      <c r="D6439" t="str">
        <f>HYPERLINK("http://service.sap.com/sap/support/notes/1501137","1501137")</f>
        <v>1501137</v>
      </c>
      <c r="E6439">
        <v>1</v>
      </c>
      <c r="F6439" t="s">
        <v>6367</v>
      </c>
    </row>
    <row r="6440" spans="1:6" x14ac:dyDescent="0.25">
      <c r="A6440" t="s">
        <v>6397</v>
      </c>
      <c r="B6440" t="s">
        <v>6368</v>
      </c>
      <c r="C6440" t="s">
        <v>1784</v>
      </c>
      <c r="D6440" t="str">
        <f>HYPERLINK("http://service.sap.com/sap/support/notes/1487848","1487848")</f>
        <v>1487848</v>
      </c>
      <c r="E6440">
        <v>1</v>
      </c>
      <c r="F6440" t="s">
        <v>6369</v>
      </c>
    </row>
    <row r="6441" spans="1:6" x14ac:dyDescent="0.25">
      <c r="A6441" t="s">
        <v>6397</v>
      </c>
      <c r="B6441" t="s">
        <v>4441</v>
      </c>
      <c r="C6441" t="s">
        <v>4442</v>
      </c>
      <c r="D6441" t="str">
        <f>HYPERLINK("http://service.sap.com/sap/support/notes/1460806","1460806")</f>
        <v>1460806</v>
      </c>
      <c r="E6441">
        <v>1</v>
      </c>
      <c r="F6441" t="s">
        <v>6370</v>
      </c>
    </row>
    <row r="6442" spans="1:6" x14ac:dyDescent="0.25">
      <c r="A6442" t="s">
        <v>6397</v>
      </c>
      <c r="B6442" t="s">
        <v>1783</v>
      </c>
      <c r="C6442" t="s">
        <v>1784</v>
      </c>
      <c r="D6442" t="str">
        <f>HYPERLINK("http://service.sap.com/sap/support/notes/1492278","1492278")</f>
        <v>1492278</v>
      </c>
      <c r="E6442">
        <v>2</v>
      </c>
      <c r="F6442" t="s">
        <v>1781</v>
      </c>
    </row>
    <row r="6443" spans="1:6" x14ac:dyDescent="0.25">
      <c r="A6443" t="s">
        <v>6397</v>
      </c>
      <c r="B6443" t="s">
        <v>831</v>
      </c>
      <c r="C6443" t="s">
        <v>2598</v>
      </c>
    </row>
    <row r="6444" spans="1:6" x14ac:dyDescent="0.25">
      <c r="A6444" t="s">
        <v>6397</v>
      </c>
      <c r="B6444" t="s">
        <v>832</v>
      </c>
      <c r="C6444" t="s">
        <v>6371</v>
      </c>
      <c r="D6444" t="str">
        <f>HYPERLINK("http://service.sap.com/sap/support/notes/1499360","1499360")</f>
        <v>1499360</v>
      </c>
      <c r="E6444">
        <v>1</v>
      </c>
      <c r="F6444" t="s">
        <v>6372</v>
      </c>
    </row>
    <row r="6445" spans="1:6" x14ac:dyDescent="0.25">
      <c r="A6445" t="s">
        <v>6397</v>
      </c>
      <c r="B6445" t="s">
        <v>835</v>
      </c>
      <c r="C6445" t="s">
        <v>836</v>
      </c>
    </row>
    <row r="6446" spans="1:6" x14ac:dyDescent="0.25">
      <c r="A6446" t="s">
        <v>6397</v>
      </c>
      <c r="B6446" t="s">
        <v>6373</v>
      </c>
      <c r="C6446" t="s">
        <v>6374</v>
      </c>
      <c r="D6446" t="str">
        <f>HYPERLINK("http://service.sap.com/sap/support/notes/1498810","1498810")</f>
        <v>1498810</v>
      </c>
      <c r="E6446">
        <v>1</v>
      </c>
      <c r="F6446" t="s">
        <v>6375</v>
      </c>
    </row>
    <row r="6447" spans="1:6" x14ac:dyDescent="0.25">
      <c r="A6447" t="s">
        <v>6397</v>
      </c>
      <c r="B6447" t="s">
        <v>849</v>
      </c>
      <c r="C6447" t="s">
        <v>4450</v>
      </c>
    </row>
    <row r="6448" spans="1:6" x14ac:dyDescent="0.25">
      <c r="A6448" t="s">
        <v>6397</v>
      </c>
      <c r="B6448" t="s">
        <v>867</v>
      </c>
      <c r="C6448" t="s">
        <v>4451</v>
      </c>
    </row>
    <row r="6449" spans="1:6" x14ac:dyDescent="0.25">
      <c r="A6449" t="s">
        <v>6397</v>
      </c>
      <c r="B6449" t="s">
        <v>868</v>
      </c>
      <c r="C6449" t="s">
        <v>6376</v>
      </c>
      <c r="D6449" t="str">
        <f>HYPERLINK("http://service.sap.com/sap/support/notes/1496980","1496980")</f>
        <v>1496980</v>
      </c>
      <c r="E6449">
        <v>2</v>
      </c>
      <c r="F6449" t="s">
        <v>6377</v>
      </c>
    </row>
    <row r="6450" spans="1:6" x14ac:dyDescent="0.25">
      <c r="A6450" t="s">
        <v>6397</v>
      </c>
      <c r="B6450" t="s">
        <v>4452</v>
      </c>
      <c r="C6450" t="s">
        <v>4048</v>
      </c>
      <c r="D6450" t="str">
        <f>HYPERLINK("http://service.sap.com/sap/support/notes/1470905","1470905")</f>
        <v>1470905</v>
      </c>
      <c r="E6450">
        <v>3</v>
      </c>
      <c r="F6450" t="s">
        <v>6378</v>
      </c>
    </row>
    <row r="6451" spans="1:6" x14ac:dyDescent="0.25">
      <c r="A6451" t="s">
        <v>6397</v>
      </c>
      <c r="B6451" t="s">
        <v>131</v>
      </c>
      <c r="C6451" t="s">
        <v>132</v>
      </c>
    </row>
    <row r="6452" spans="1:6" x14ac:dyDescent="0.25">
      <c r="A6452" t="s">
        <v>6397</v>
      </c>
      <c r="B6452" t="s">
        <v>133</v>
      </c>
      <c r="C6452" t="s">
        <v>134</v>
      </c>
      <c r="D6452" t="str">
        <f>HYPERLINK("http://service.sap.com/sap/support/notes/1443263","1443263")</f>
        <v>1443263</v>
      </c>
      <c r="E6452">
        <v>2</v>
      </c>
      <c r="F6452" t="s">
        <v>6379</v>
      </c>
    </row>
    <row r="6453" spans="1:6" x14ac:dyDescent="0.25">
      <c r="A6453" t="s">
        <v>6397</v>
      </c>
      <c r="B6453" t="s">
        <v>155</v>
      </c>
      <c r="C6453" t="s">
        <v>156</v>
      </c>
    </row>
    <row r="6454" spans="1:6" x14ac:dyDescent="0.25">
      <c r="A6454" t="s">
        <v>6397</v>
      </c>
      <c r="B6454" t="s">
        <v>168</v>
      </c>
      <c r="C6454" t="s">
        <v>169</v>
      </c>
      <c r="D6454" t="str">
        <f>HYPERLINK("http://service.sap.com/sap/support/notes/1461784","1461784")</f>
        <v>1461784</v>
      </c>
      <c r="E6454">
        <v>5</v>
      </c>
      <c r="F6454" t="s">
        <v>6380</v>
      </c>
    </row>
    <row r="6455" spans="1:6" x14ac:dyDescent="0.25">
      <c r="A6455" t="s">
        <v>6397</v>
      </c>
      <c r="B6455" t="s">
        <v>201</v>
      </c>
      <c r="C6455" t="s">
        <v>202</v>
      </c>
    </row>
    <row r="6456" spans="1:6" x14ac:dyDescent="0.25">
      <c r="A6456" t="s">
        <v>6397</v>
      </c>
      <c r="B6456" t="s">
        <v>964</v>
      </c>
      <c r="C6456" t="s">
        <v>299</v>
      </c>
      <c r="D6456" t="str">
        <f>HYPERLINK("http://service.sap.com/sap/support/notes/1498914","1498914")</f>
        <v>1498914</v>
      </c>
      <c r="E6456">
        <v>1</v>
      </c>
      <c r="F6456" t="s">
        <v>6381</v>
      </c>
    </row>
    <row r="6457" spans="1:6" x14ac:dyDescent="0.25">
      <c r="A6457" t="s">
        <v>6397</v>
      </c>
      <c r="B6457" t="s">
        <v>207</v>
      </c>
      <c r="C6457" t="s">
        <v>208</v>
      </c>
      <c r="D6457" t="str">
        <f>HYPERLINK("http://service.sap.com/sap/support/notes/1133224","1133224")</f>
        <v>1133224</v>
      </c>
      <c r="E6457">
        <v>2</v>
      </c>
      <c r="F6457" t="s">
        <v>6382</v>
      </c>
    </row>
    <row r="6458" spans="1:6" x14ac:dyDescent="0.25">
      <c r="A6458" t="s">
        <v>6397</v>
      </c>
      <c r="B6458" t="s">
        <v>226</v>
      </c>
      <c r="C6458" t="s">
        <v>52</v>
      </c>
    </row>
    <row r="6459" spans="1:6" x14ac:dyDescent="0.25">
      <c r="A6459" t="s">
        <v>6397</v>
      </c>
      <c r="B6459" t="s">
        <v>235</v>
      </c>
      <c r="C6459" t="s">
        <v>236</v>
      </c>
    </row>
    <row r="6460" spans="1:6" x14ac:dyDescent="0.25">
      <c r="A6460" t="s">
        <v>6397</v>
      </c>
      <c r="B6460" t="s">
        <v>237</v>
      </c>
      <c r="C6460" t="s">
        <v>238</v>
      </c>
      <c r="D6460" t="str">
        <f>HYPERLINK("http://service.sap.com/sap/support/notes/1494311","1494311")</f>
        <v>1494311</v>
      </c>
      <c r="E6460">
        <v>2</v>
      </c>
      <c r="F6460" t="s">
        <v>6383</v>
      </c>
    </row>
    <row r="6461" spans="1:6" x14ac:dyDescent="0.25">
      <c r="A6461" t="s">
        <v>6397</v>
      </c>
      <c r="B6461" t="s">
        <v>246</v>
      </c>
      <c r="C6461" t="s">
        <v>247</v>
      </c>
      <c r="D6461" t="str">
        <f>HYPERLINK("http://service.sap.com/sap/support/notes/1493861","1493861")</f>
        <v>1493861</v>
      </c>
      <c r="E6461">
        <v>1</v>
      </c>
      <c r="F6461" t="s">
        <v>6384</v>
      </c>
    </row>
    <row r="6462" spans="1:6" x14ac:dyDescent="0.25">
      <c r="A6462" t="s">
        <v>6397</v>
      </c>
      <c r="B6462" t="s">
        <v>273</v>
      </c>
      <c r="C6462" t="s">
        <v>153</v>
      </c>
    </row>
    <row r="6463" spans="1:6" x14ac:dyDescent="0.25">
      <c r="A6463" t="s">
        <v>6397</v>
      </c>
      <c r="B6463" t="s">
        <v>284</v>
      </c>
      <c r="C6463" t="s">
        <v>285</v>
      </c>
      <c r="D6463" t="str">
        <f>HYPERLINK("http://service.sap.com/sap/support/notes/1492218","1492218")</f>
        <v>1492218</v>
      </c>
      <c r="E6463">
        <v>1</v>
      </c>
      <c r="F6463" t="s">
        <v>6385</v>
      </c>
    </row>
    <row r="6464" spans="1:6" x14ac:dyDescent="0.25">
      <c r="A6464" t="s">
        <v>6397</v>
      </c>
      <c r="B6464" t="s">
        <v>343</v>
      </c>
      <c r="C6464" t="s">
        <v>344</v>
      </c>
      <c r="D6464" t="str">
        <f>HYPERLINK("http://service.sap.com/sap/support/notes/1129168","1129168")</f>
        <v>1129168</v>
      </c>
      <c r="E6464">
        <v>1</v>
      </c>
      <c r="F6464" t="s">
        <v>345</v>
      </c>
    </row>
    <row r="6465" spans="1:6" x14ac:dyDescent="0.25">
      <c r="A6465" t="s">
        <v>6397</v>
      </c>
      <c r="B6465" t="s">
        <v>353</v>
      </c>
      <c r="C6465" t="s">
        <v>354</v>
      </c>
      <c r="D6465" t="str">
        <f>HYPERLINK("http://service.sap.com/sap/support/notes/1499295","1499295")</f>
        <v>1499295</v>
      </c>
      <c r="E6465">
        <v>1</v>
      </c>
      <c r="F6465" t="s">
        <v>6386</v>
      </c>
    </row>
    <row r="6466" spans="1:6" x14ac:dyDescent="0.25">
      <c r="A6466" t="s">
        <v>6397</v>
      </c>
      <c r="B6466" t="s">
        <v>363</v>
      </c>
      <c r="C6466" t="s">
        <v>74</v>
      </c>
    </row>
    <row r="6467" spans="1:6" x14ac:dyDescent="0.25">
      <c r="A6467" t="s">
        <v>6397</v>
      </c>
      <c r="B6467" t="s">
        <v>371</v>
      </c>
      <c r="C6467" t="s">
        <v>372</v>
      </c>
      <c r="D6467" t="str">
        <f>HYPERLINK("http://service.sap.com/sap/support/notes/960678","960678")</f>
        <v>960678</v>
      </c>
      <c r="E6467">
        <v>1</v>
      </c>
      <c r="F6467" t="s">
        <v>6387</v>
      </c>
    </row>
    <row r="6468" spans="1:6" x14ac:dyDescent="0.25">
      <c r="A6468" t="s">
        <v>6397</v>
      </c>
      <c r="B6468" t="s">
        <v>371</v>
      </c>
      <c r="C6468" t="s">
        <v>372</v>
      </c>
      <c r="D6468" t="str">
        <f>HYPERLINK("http://service.sap.com/sap/support/notes/1378818","1378818")</f>
        <v>1378818</v>
      </c>
      <c r="E6468">
        <v>1</v>
      </c>
      <c r="F6468" t="s">
        <v>5758</v>
      </c>
    </row>
    <row r="6469" spans="1:6" x14ac:dyDescent="0.25">
      <c r="A6469" t="s">
        <v>6397</v>
      </c>
      <c r="B6469" t="s">
        <v>371</v>
      </c>
      <c r="C6469" t="s">
        <v>372</v>
      </c>
      <c r="D6469" t="str">
        <f>HYPERLINK("http://service.sap.com/sap/support/notes/1490654","1490654")</f>
        <v>1490654</v>
      </c>
      <c r="E6469">
        <v>1</v>
      </c>
      <c r="F6469" t="s">
        <v>6388</v>
      </c>
    </row>
    <row r="6470" spans="1:6" x14ac:dyDescent="0.25">
      <c r="A6470" t="s">
        <v>6397</v>
      </c>
      <c r="B6470" t="s">
        <v>371</v>
      </c>
      <c r="C6470" t="s">
        <v>372</v>
      </c>
      <c r="D6470" t="str">
        <f>HYPERLINK("http://service.sap.com/sap/support/notes/1495076","1495076")</f>
        <v>1495076</v>
      </c>
      <c r="E6470">
        <v>1</v>
      </c>
      <c r="F6470" t="s">
        <v>6389</v>
      </c>
    </row>
    <row r="6471" spans="1:6" x14ac:dyDescent="0.25">
      <c r="A6471" t="s">
        <v>6397</v>
      </c>
      <c r="B6471" t="s">
        <v>371</v>
      </c>
      <c r="C6471" t="s">
        <v>372</v>
      </c>
      <c r="D6471" t="str">
        <f>HYPERLINK("http://service.sap.com/sap/support/notes/1500660","1500660")</f>
        <v>1500660</v>
      </c>
      <c r="E6471">
        <v>1</v>
      </c>
      <c r="F6471" t="s">
        <v>6390</v>
      </c>
    </row>
    <row r="6472" spans="1:6" x14ac:dyDescent="0.25">
      <c r="A6472" t="s">
        <v>6397</v>
      </c>
      <c r="B6472" t="s">
        <v>499</v>
      </c>
      <c r="C6472" t="s">
        <v>108</v>
      </c>
    </row>
    <row r="6473" spans="1:6" x14ac:dyDescent="0.25">
      <c r="A6473" t="s">
        <v>6397</v>
      </c>
      <c r="B6473" t="s">
        <v>525</v>
      </c>
      <c r="C6473" t="s">
        <v>526</v>
      </c>
      <c r="D6473" t="str">
        <f>HYPERLINK("http://service.sap.com/sap/support/notes/1475423","1475423")</f>
        <v>1475423</v>
      </c>
      <c r="E6473">
        <v>2</v>
      </c>
      <c r="F6473" t="s">
        <v>6391</v>
      </c>
    </row>
    <row r="6474" spans="1:6" x14ac:dyDescent="0.25">
      <c r="A6474" t="s">
        <v>6397</v>
      </c>
      <c r="B6474" t="s">
        <v>531</v>
      </c>
      <c r="C6474" t="s">
        <v>532</v>
      </c>
    </row>
    <row r="6475" spans="1:6" x14ac:dyDescent="0.25">
      <c r="A6475" t="s">
        <v>6397</v>
      </c>
      <c r="B6475" t="s">
        <v>1342</v>
      </c>
      <c r="C6475" t="s">
        <v>1343</v>
      </c>
    </row>
    <row r="6476" spans="1:6" x14ac:dyDescent="0.25">
      <c r="A6476" t="s">
        <v>6397</v>
      </c>
      <c r="B6476" t="s">
        <v>6392</v>
      </c>
      <c r="C6476" t="s">
        <v>6393</v>
      </c>
      <c r="D6476" t="str">
        <f>HYPERLINK("http://service.sap.com/sap/support/notes/1480383","1480383")</f>
        <v>1480383</v>
      </c>
      <c r="E6476">
        <v>5</v>
      </c>
      <c r="F6476" t="s">
        <v>6394</v>
      </c>
    </row>
    <row r="6477" spans="1:6" x14ac:dyDescent="0.25">
      <c r="A6477" t="s">
        <v>6397</v>
      </c>
      <c r="B6477" t="s">
        <v>4309</v>
      </c>
      <c r="C6477" t="s">
        <v>4310</v>
      </c>
      <c r="D6477" t="str">
        <f>HYPERLINK("http://service.sap.com/sap/support/notes/1490752","1490752")</f>
        <v>1490752</v>
      </c>
      <c r="E6477">
        <v>1</v>
      </c>
      <c r="F6477" t="s">
        <v>6395</v>
      </c>
    </row>
    <row r="6478" spans="1:6" x14ac:dyDescent="0.25">
      <c r="A6478" t="s">
        <v>6397</v>
      </c>
      <c r="B6478" t="s">
        <v>1368</v>
      </c>
      <c r="C6478" t="s">
        <v>1369</v>
      </c>
      <c r="D6478" t="str">
        <f>HYPERLINK("http://service.sap.com/sap/support/notes/1482415","1482415")</f>
        <v>1482415</v>
      </c>
      <c r="E6478">
        <v>4</v>
      </c>
      <c r="F6478" t="s">
        <v>1372</v>
      </c>
    </row>
    <row r="6479" spans="1:6" x14ac:dyDescent="0.25">
      <c r="A6479" t="s">
        <v>6397</v>
      </c>
      <c r="B6479" t="s">
        <v>543</v>
      </c>
      <c r="C6479" t="s">
        <v>544</v>
      </c>
    </row>
    <row r="6480" spans="1:6" x14ac:dyDescent="0.25">
      <c r="A6480" t="s">
        <v>6397</v>
      </c>
      <c r="B6480" t="s">
        <v>545</v>
      </c>
      <c r="C6480" t="s">
        <v>546</v>
      </c>
    </row>
    <row r="6481" spans="1:6" x14ac:dyDescent="0.25">
      <c r="A6481" t="s">
        <v>6397</v>
      </c>
      <c r="B6481" t="s">
        <v>6271</v>
      </c>
      <c r="C6481" t="s">
        <v>6272</v>
      </c>
    </row>
    <row r="6482" spans="1:6" x14ac:dyDescent="0.25">
      <c r="A6482" t="s">
        <v>6397</v>
      </c>
      <c r="B6482" t="s">
        <v>6273</v>
      </c>
      <c r="C6482" t="s">
        <v>6274</v>
      </c>
      <c r="D6482" t="str">
        <f>HYPERLINK("http://service.sap.com/sap/support/notes/1477993","1477993")</f>
        <v>1477993</v>
      </c>
      <c r="E6482">
        <v>1</v>
      </c>
      <c r="F6482" t="s">
        <v>6275</v>
      </c>
    </row>
    <row r="6483" spans="1:6" x14ac:dyDescent="0.25">
      <c r="A6483" t="s">
        <v>6397</v>
      </c>
      <c r="B6483" t="s">
        <v>6273</v>
      </c>
      <c r="C6483" t="s">
        <v>6274</v>
      </c>
      <c r="D6483" t="str">
        <f>HYPERLINK("http://service.sap.com/sap/support/notes/1495234","1495234")</f>
        <v>1495234</v>
      </c>
      <c r="E6483">
        <v>1</v>
      </c>
      <c r="F6483" t="s">
        <v>6396</v>
      </c>
    </row>
    <row r="6484" spans="1:6" x14ac:dyDescent="0.25">
      <c r="A6484" t="s">
        <v>6543</v>
      </c>
      <c r="B6484" t="s">
        <v>573</v>
      </c>
      <c r="C6484" t="s">
        <v>4037</v>
      </c>
    </row>
    <row r="6485" spans="1:6" x14ac:dyDescent="0.25">
      <c r="A6485" t="s">
        <v>6543</v>
      </c>
      <c r="B6485" t="s">
        <v>4043</v>
      </c>
      <c r="C6485" t="s">
        <v>4044</v>
      </c>
      <c r="D6485" t="str">
        <f>HYPERLINK("http://service.sap.com/sap/support/notes/1503146","1503146")</f>
        <v>1503146</v>
      </c>
      <c r="E6485">
        <v>2</v>
      </c>
      <c r="F6485" t="s">
        <v>6398</v>
      </c>
    </row>
    <row r="6486" spans="1:6" x14ac:dyDescent="0.25">
      <c r="A6486" t="s">
        <v>6543</v>
      </c>
      <c r="B6486" t="s">
        <v>585</v>
      </c>
      <c r="C6486" t="s">
        <v>1443</v>
      </c>
    </row>
    <row r="6487" spans="1:6" x14ac:dyDescent="0.25">
      <c r="A6487" t="s">
        <v>6543</v>
      </c>
      <c r="B6487" t="s">
        <v>586</v>
      </c>
      <c r="C6487" t="s">
        <v>1444</v>
      </c>
    </row>
    <row r="6488" spans="1:6" x14ac:dyDescent="0.25">
      <c r="A6488" t="s">
        <v>6543</v>
      </c>
      <c r="B6488" t="s">
        <v>587</v>
      </c>
      <c r="C6488" t="s">
        <v>1445</v>
      </c>
    </row>
    <row r="6489" spans="1:6" x14ac:dyDescent="0.25">
      <c r="A6489" t="s">
        <v>6543</v>
      </c>
      <c r="B6489" t="s">
        <v>6399</v>
      </c>
      <c r="C6489" t="s">
        <v>6400</v>
      </c>
      <c r="D6489" t="str">
        <f>HYPERLINK("http://service.sap.com/sap/support/notes/1504732","1504732")</f>
        <v>1504732</v>
      </c>
      <c r="E6489">
        <v>2</v>
      </c>
      <c r="F6489" t="s">
        <v>6401</v>
      </c>
    </row>
    <row r="6490" spans="1:6" x14ac:dyDescent="0.25">
      <c r="A6490" t="s">
        <v>6543</v>
      </c>
      <c r="B6490" t="s">
        <v>588</v>
      </c>
      <c r="C6490" t="s">
        <v>1446</v>
      </c>
      <c r="D6490" t="str">
        <f>HYPERLINK("http://service.sap.com/sap/support/notes/1488244","1488244")</f>
        <v>1488244</v>
      </c>
      <c r="E6490">
        <v>1</v>
      </c>
      <c r="F6490" t="s">
        <v>6402</v>
      </c>
    </row>
    <row r="6491" spans="1:6" x14ac:dyDescent="0.25">
      <c r="A6491" t="s">
        <v>6543</v>
      </c>
      <c r="B6491" t="s">
        <v>588</v>
      </c>
      <c r="C6491" t="s">
        <v>1446</v>
      </c>
      <c r="D6491" t="str">
        <f>HYPERLINK("http://service.sap.com/sap/support/notes/1508688","1508688")</f>
        <v>1508688</v>
      </c>
      <c r="E6491">
        <v>1</v>
      </c>
      <c r="F6491" t="s">
        <v>6403</v>
      </c>
    </row>
    <row r="6492" spans="1:6" x14ac:dyDescent="0.25">
      <c r="A6492" t="s">
        <v>6543</v>
      </c>
      <c r="B6492" t="s">
        <v>20</v>
      </c>
      <c r="C6492" t="s">
        <v>21</v>
      </c>
    </row>
    <row r="6493" spans="1:6" x14ac:dyDescent="0.25">
      <c r="A6493" t="s">
        <v>6543</v>
      </c>
      <c r="B6493" t="s">
        <v>22</v>
      </c>
      <c r="C6493" t="s">
        <v>23</v>
      </c>
      <c r="D6493" t="str">
        <f>HYPERLINK("http://service.sap.com/sap/support/notes/967007","967007")</f>
        <v>967007</v>
      </c>
      <c r="E6493">
        <v>2</v>
      </c>
      <c r="F6493" t="s">
        <v>209</v>
      </c>
    </row>
    <row r="6494" spans="1:6" x14ac:dyDescent="0.25">
      <c r="A6494" t="s">
        <v>6543</v>
      </c>
      <c r="B6494" t="s">
        <v>22</v>
      </c>
      <c r="C6494" t="s">
        <v>23</v>
      </c>
      <c r="D6494" t="str">
        <f>HYPERLINK("http://service.sap.com/sap/support/notes/1227620","1227620")</f>
        <v>1227620</v>
      </c>
      <c r="E6494">
        <v>3</v>
      </c>
      <c r="F6494" t="s">
        <v>6404</v>
      </c>
    </row>
    <row r="6495" spans="1:6" x14ac:dyDescent="0.25">
      <c r="A6495" t="s">
        <v>6543</v>
      </c>
      <c r="B6495" t="s">
        <v>22</v>
      </c>
      <c r="C6495" t="s">
        <v>23</v>
      </c>
      <c r="D6495" t="str">
        <f>HYPERLINK("http://service.sap.com/sap/support/notes/1506427","1506427")</f>
        <v>1506427</v>
      </c>
      <c r="E6495">
        <v>1</v>
      </c>
      <c r="F6495" t="s">
        <v>6405</v>
      </c>
    </row>
    <row r="6496" spans="1:6" x14ac:dyDescent="0.25">
      <c r="A6496" t="s">
        <v>6543</v>
      </c>
      <c r="B6496" t="s">
        <v>22</v>
      </c>
      <c r="C6496" t="s">
        <v>23</v>
      </c>
      <c r="D6496" t="str">
        <f>HYPERLINK("http://service.sap.com/sap/support/notes/1508388","1508388")</f>
        <v>1508388</v>
      </c>
      <c r="E6496">
        <v>2</v>
      </c>
      <c r="F6496" t="s">
        <v>6406</v>
      </c>
    </row>
    <row r="6497" spans="1:6" x14ac:dyDescent="0.25">
      <c r="A6497" t="s">
        <v>6543</v>
      </c>
      <c r="B6497" t="s">
        <v>24</v>
      </c>
      <c r="C6497" t="s">
        <v>25</v>
      </c>
      <c r="D6497" t="str">
        <f>HYPERLINK("http://service.sap.com/sap/support/notes/1232334","1232334")</f>
        <v>1232334</v>
      </c>
      <c r="E6497">
        <v>3</v>
      </c>
      <c r="F6497" t="s">
        <v>6407</v>
      </c>
    </row>
    <row r="6498" spans="1:6" x14ac:dyDescent="0.25">
      <c r="A6498" t="s">
        <v>6543</v>
      </c>
      <c r="B6498" t="s">
        <v>24</v>
      </c>
      <c r="C6498" t="s">
        <v>25</v>
      </c>
      <c r="D6498" t="str">
        <f>HYPERLINK("http://service.sap.com/sap/support/notes/1284280","1284280")</f>
        <v>1284280</v>
      </c>
      <c r="E6498">
        <v>3</v>
      </c>
      <c r="F6498" t="s">
        <v>26</v>
      </c>
    </row>
    <row r="6499" spans="1:6" x14ac:dyDescent="0.25">
      <c r="A6499" t="s">
        <v>6543</v>
      </c>
      <c r="B6499" t="s">
        <v>24</v>
      </c>
      <c r="C6499" t="s">
        <v>25</v>
      </c>
      <c r="D6499" t="str">
        <f>HYPERLINK("http://service.sap.com/sap/support/notes/1391970","1391970")</f>
        <v>1391970</v>
      </c>
      <c r="E6499">
        <v>3</v>
      </c>
      <c r="F6499" t="s">
        <v>5547</v>
      </c>
    </row>
    <row r="6500" spans="1:6" x14ac:dyDescent="0.25">
      <c r="A6500" t="s">
        <v>6543</v>
      </c>
      <c r="B6500" t="s">
        <v>24</v>
      </c>
      <c r="C6500" t="s">
        <v>25</v>
      </c>
      <c r="D6500" t="str">
        <f>HYPERLINK("http://service.sap.com/sap/support/notes/1474753","1474753")</f>
        <v>1474753</v>
      </c>
      <c r="E6500">
        <v>4</v>
      </c>
      <c r="F6500" t="s">
        <v>6408</v>
      </c>
    </row>
    <row r="6501" spans="1:6" x14ac:dyDescent="0.25">
      <c r="A6501" t="s">
        <v>6543</v>
      </c>
      <c r="B6501" t="s">
        <v>24</v>
      </c>
      <c r="C6501" t="s">
        <v>25</v>
      </c>
      <c r="D6501" t="str">
        <f>HYPERLINK("http://service.sap.com/sap/support/notes/1486876","1486876")</f>
        <v>1486876</v>
      </c>
      <c r="E6501">
        <v>2</v>
      </c>
      <c r="F6501" t="s">
        <v>5888</v>
      </c>
    </row>
    <row r="6502" spans="1:6" x14ac:dyDescent="0.25">
      <c r="A6502" t="s">
        <v>6543</v>
      </c>
      <c r="B6502" t="s">
        <v>24</v>
      </c>
      <c r="C6502" t="s">
        <v>25</v>
      </c>
      <c r="D6502" t="str">
        <f>HYPERLINK("http://service.sap.com/sap/support/notes/1496433","1496433")</f>
        <v>1496433</v>
      </c>
      <c r="E6502">
        <v>1</v>
      </c>
      <c r="F6502" t="s">
        <v>6409</v>
      </c>
    </row>
    <row r="6503" spans="1:6" x14ac:dyDescent="0.25">
      <c r="A6503" t="s">
        <v>6543</v>
      </c>
      <c r="B6503" t="s">
        <v>24</v>
      </c>
      <c r="C6503" t="s">
        <v>25</v>
      </c>
      <c r="D6503" t="str">
        <f>HYPERLINK("http://service.sap.com/sap/support/notes/1499419","1499419")</f>
        <v>1499419</v>
      </c>
      <c r="E6503">
        <v>2</v>
      </c>
      <c r="F6503" t="s">
        <v>6410</v>
      </c>
    </row>
    <row r="6504" spans="1:6" x14ac:dyDescent="0.25">
      <c r="A6504" t="s">
        <v>6543</v>
      </c>
      <c r="B6504" t="s">
        <v>24</v>
      </c>
      <c r="C6504" t="s">
        <v>25</v>
      </c>
      <c r="D6504" t="str">
        <f>HYPERLINK("http://service.sap.com/sap/support/notes/1499615","1499615")</f>
        <v>1499615</v>
      </c>
      <c r="E6504">
        <v>1</v>
      </c>
      <c r="F6504" t="s">
        <v>6411</v>
      </c>
    </row>
    <row r="6505" spans="1:6" x14ac:dyDescent="0.25">
      <c r="A6505" t="s">
        <v>6543</v>
      </c>
      <c r="B6505" t="s">
        <v>24</v>
      </c>
      <c r="C6505" t="s">
        <v>25</v>
      </c>
      <c r="D6505" t="str">
        <f>HYPERLINK("http://service.sap.com/sap/support/notes/1500937","1500937")</f>
        <v>1500937</v>
      </c>
      <c r="E6505">
        <v>4</v>
      </c>
      <c r="F6505" t="s">
        <v>6412</v>
      </c>
    </row>
    <row r="6506" spans="1:6" x14ac:dyDescent="0.25">
      <c r="A6506" t="s">
        <v>6543</v>
      </c>
      <c r="B6506" t="s">
        <v>24</v>
      </c>
      <c r="C6506" t="s">
        <v>25</v>
      </c>
      <c r="D6506" t="str">
        <f>HYPERLINK("http://service.sap.com/sap/support/notes/1502212","1502212")</f>
        <v>1502212</v>
      </c>
      <c r="E6506">
        <v>2</v>
      </c>
      <c r="F6506" t="s">
        <v>6413</v>
      </c>
    </row>
    <row r="6507" spans="1:6" x14ac:dyDescent="0.25">
      <c r="A6507" t="s">
        <v>6543</v>
      </c>
      <c r="B6507" t="s">
        <v>24</v>
      </c>
      <c r="C6507" t="s">
        <v>25</v>
      </c>
      <c r="D6507" t="str">
        <f>HYPERLINK("http://service.sap.com/sap/support/notes/1503451","1503451")</f>
        <v>1503451</v>
      </c>
      <c r="E6507">
        <v>2</v>
      </c>
      <c r="F6507" t="s">
        <v>6414</v>
      </c>
    </row>
    <row r="6508" spans="1:6" x14ac:dyDescent="0.25">
      <c r="A6508" t="s">
        <v>6543</v>
      </c>
      <c r="B6508" t="s">
        <v>24</v>
      </c>
      <c r="C6508" t="s">
        <v>25</v>
      </c>
      <c r="D6508" t="str">
        <f>HYPERLINK("http://service.sap.com/sap/support/notes/1504060","1504060")</f>
        <v>1504060</v>
      </c>
      <c r="E6508">
        <v>2</v>
      </c>
      <c r="F6508" t="s">
        <v>6415</v>
      </c>
    </row>
    <row r="6509" spans="1:6" x14ac:dyDescent="0.25">
      <c r="A6509" t="s">
        <v>6543</v>
      </c>
      <c r="B6509" t="s">
        <v>24</v>
      </c>
      <c r="C6509" t="s">
        <v>25</v>
      </c>
      <c r="D6509" t="str">
        <f>HYPERLINK("http://service.sap.com/sap/support/notes/1504095","1504095")</f>
        <v>1504095</v>
      </c>
      <c r="E6509">
        <v>1</v>
      </c>
      <c r="F6509" t="s">
        <v>6416</v>
      </c>
    </row>
    <row r="6510" spans="1:6" x14ac:dyDescent="0.25">
      <c r="A6510" t="s">
        <v>6543</v>
      </c>
      <c r="B6510" t="s">
        <v>24</v>
      </c>
      <c r="C6510" t="s">
        <v>25</v>
      </c>
      <c r="D6510" t="str">
        <f>HYPERLINK("http://service.sap.com/sap/support/notes/1504597","1504597")</f>
        <v>1504597</v>
      </c>
      <c r="E6510">
        <v>2</v>
      </c>
      <c r="F6510" t="s">
        <v>6417</v>
      </c>
    </row>
    <row r="6511" spans="1:6" x14ac:dyDescent="0.25">
      <c r="A6511" t="s">
        <v>6543</v>
      </c>
      <c r="B6511" t="s">
        <v>24</v>
      </c>
      <c r="C6511" t="s">
        <v>25</v>
      </c>
      <c r="D6511" t="str">
        <f>HYPERLINK("http://service.sap.com/sap/support/notes/1505900","1505900")</f>
        <v>1505900</v>
      </c>
      <c r="E6511">
        <v>1</v>
      </c>
      <c r="F6511" t="s">
        <v>6418</v>
      </c>
    </row>
    <row r="6512" spans="1:6" x14ac:dyDescent="0.25">
      <c r="A6512" t="s">
        <v>6543</v>
      </c>
      <c r="B6512" t="s">
        <v>24</v>
      </c>
      <c r="C6512" t="s">
        <v>25</v>
      </c>
      <c r="D6512" t="str">
        <f>HYPERLINK("http://service.sap.com/sap/support/notes/1506301","1506301")</f>
        <v>1506301</v>
      </c>
      <c r="E6512">
        <v>1</v>
      </c>
      <c r="F6512" t="s">
        <v>6419</v>
      </c>
    </row>
    <row r="6513" spans="1:6" x14ac:dyDescent="0.25">
      <c r="A6513" t="s">
        <v>6543</v>
      </c>
      <c r="B6513" t="s">
        <v>24</v>
      </c>
      <c r="C6513" t="s">
        <v>25</v>
      </c>
      <c r="D6513" t="str">
        <f>HYPERLINK("http://service.sap.com/sap/support/notes/1506430","1506430")</f>
        <v>1506430</v>
      </c>
      <c r="E6513">
        <v>2</v>
      </c>
      <c r="F6513" t="s">
        <v>6420</v>
      </c>
    </row>
    <row r="6514" spans="1:6" x14ac:dyDescent="0.25">
      <c r="A6514" t="s">
        <v>6543</v>
      </c>
      <c r="B6514" t="s">
        <v>24</v>
      </c>
      <c r="C6514" t="s">
        <v>25</v>
      </c>
      <c r="D6514" t="str">
        <f>HYPERLINK("http://service.sap.com/sap/support/notes/1506728","1506728")</f>
        <v>1506728</v>
      </c>
      <c r="E6514">
        <v>1</v>
      </c>
      <c r="F6514" t="s">
        <v>6421</v>
      </c>
    </row>
    <row r="6515" spans="1:6" x14ac:dyDescent="0.25">
      <c r="A6515" t="s">
        <v>6543</v>
      </c>
      <c r="B6515" t="s">
        <v>24</v>
      </c>
      <c r="C6515" t="s">
        <v>25</v>
      </c>
      <c r="D6515" t="str">
        <f>HYPERLINK("http://service.sap.com/sap/support/notes/1506868","1506868")</f>
        <v>1506868</v>
      </c>
      <c r="E6515">
        <v>2</v>
      </c>
      <c r="F6515" t="s">
        <v>6422</v>
      </c>
    </row>
    <row r="6516" spans="1:6" x14ac:dyDescent="0.25">
      <c r="A6516" t="s">
        <v>6543</v>
      </c>
      <c r="B6516" t="s">
        <v>24</v>
      </c>
      <c r="C6516" t="s">
        <v>25</v>
      </c>
      <c r="D6516" t="str">
        <f>HYPERLINK("http://service.sap.com/sap/support/notes/1506922","1506922")</f>
        <v>1506922</v>
      </c>
      <c r="E6516">
        <v>1</v>
      </c>
      <c r="F6516" t="s">
        <v>6423</v>
      </c>
    </row>
    <row r="6517" spans="1:6" x14ac:dyDescent="0.25">
      <c r="A6517" t="s">
        <v>6543</v>
      </c>
      <c r="B6517" t="s">
        <v>24</v>
      </c>
      <c r="C6517" t="s">
        <v>25</v>
      </c>
      <c r="D6517" t="str">
        <f>HYPERLINK("http://service.sap.com/sap/support/notes/1506950","1506950")</f>
        <v>1506950</v>
      </c>
      <c r="E6517">
        <v>1</v>
      </c>
      <c r="F6517" t="s">
        <v>6424</v>
      </c>
    </row>
    <row r="6518" spans="1:6" x14ac:dyDescent="0.25">
      <c r="A6518" t="s">
        <v>6543</v>
      </c>
      <c r="B6518" t="s">
        <v>24</v>
      </c>
      <c r="C6518" t="s">
        <v>25</v>
      </c>
      <c r="D6518" t="str">
        <f>HYPERLINK("http://service.sap.com/sap/support/notes/1507662","1507662")</f>
        <v>1507662</v>
      </c>
      <c r="E6518">
        <v>1</v>
      </c>
      <c r="F6518" t="s">
        <v>6425</v>
      </c>
    </row>
    <row r="6519" spans="1:6" x14ac:dyDescent="0.25">
      <c r="A6519" t="s">
        <v>6543</v>
      </c>
      <c r="B6519" t="s">
        <v>24</v>
      </c>
      <c r="C6519" t="s">
        <v>25</v>
      </c>
      <c r="D6519" t="str">
        <f>HYPERLINK("http://service.sap.com/sap/support/notes/1507919","1507919")</f>
        <v>1507919</v>
      </c>
      <c r="E6519">
        <v>2</v>
      </c>
      <c r="F6519" t="s">
        <v>6426</v>
      </c>
    </row>
    <row r="6520" spans="1:6" x14ac:dyDescent="0.25">
      <c r="A6520" t="s">
        <v>6543</v>
      </c>
      <c r="B6520" t="s">
        <v>24</v>
      </c>
      <c r="C6520" t="s">
        <v>25</v>
      </c>
      <c r="D6520" t="str">
        <f>HYPERLINK("http://service.sap.com/sap/support/notes/1508150","1508150")</f>
        <v>1508150</v>
      </c>
      <c r="E6520">
        <v>2</v>
      </c>
      <c r="F6520" t="s">
        <v>6427</v>
      </c>
    </row>
    <row r="6521" spans="1:6" x14ac:dyDescent="0.25">
      <c r="A6521" t="s">
        <v>6543</v>
      </c>
      <c r="B6521" t="s">
        <v>24</v>
      </c>
      <c r="C6521" t="s">
        <v>25</v>
      </c>
      <c r="D6521" t="str">
        <f>HYPERLINK("http://service.sap.com/sap/support/notes/1509366","1509366")</f>
        <v>1509366</v>
      </c>
      <c r="E6521">
        <v>1</v>
      </c>
      <c r="F6521" t="s">
        <v>6428</v>
      </c>
    </row>
    <row r="6522" spans="1:6" x14ac:dyDescent="0.25">
      <c r="A6522" t="s">
        <v>6543</v>
      </c>
      <c r="B6522" t="s">
        <v>24</v>
      </c>
      <c r="C6522" t="s">
        <v>25</v>
      </c>
      <c r="D6522" t="str">
        <f>HYPERLINK("http://service.sap.com/sap/support/notes/1509481","1509481")</f>
        <v>1509481</v>
      </c>
      <c r="E6522">
        <v>1</v>
      </c>
      <c r="F6522" t="s">
        <v>6429</v>
      </c>
    </row>
    <row r="6523" spans="1:6" x14ac:dyDescent="0.25">
      <c r="A6523" t="s">
        <v>6543</v>
      </c>
      <c r="B6523" t="s">
        <v>24</v>
      </c>
      <c r="C6523" t="s">
        <v>25</v>
      </c>
      <c r="D6523" t="str">
        <f>HYPERLINK("http://service.sap.com/sap/support/notes/1509854","1509854")</f>
        <v>1509854</v>
      </c>
      <c r="E6523">
        <v>2</v>
      </c>
      <c r="F6523" t="s">
        <v>6430</v>
      </c>
    </row>
    <row r="6524" spans="1:6" x14ac:dyDescent="0.25">
      <c r="A6524" t="s">
        <v>6543</v>
      </c>
      <c r="B6524" t="s">
        <v>24</v>
      </c>
      <c r="C6524" t="s">
        <v>25</v>
      </c>
      <c r="D6524" t="str">
        <f>HYPERLINK("http://service.sap.com/sap/support/notes/1510291","1510291")</f>
        <v>1510291</v>
      </c>
      <c r="E6524">
        <v>1</v>
      </c>
      <c r="F6524" t="s">
        <v>6431</v>
      </c>
    </row>
    <row r="6525" spans="1:6" x14ac:dyDescent="0.25">
      <c r="A6525" t="s">
        <v>6543</v>
      </c>
      <c r="B6525" t="s">
        <v>24</v>
      </c>
      <c r="C6525" t="s">
        <v>25</v>
      </c>
      <c r="D6525" t="str">
        <f>HYPERLINK("http://service.sap.com/sap/support/notes/1510417","1510417")</f>
        <v>1510417</v>
      </c>
      <c r="E6525">
        <v>2</v>
      </c>
      <c r="F6525" t="s">
        <v>6432</v>
      </c>
    </row>
    <row r="6526" spans="1:6" x14ac:dyDescent="0.25">
      <c r="A6526" t="s">
        <v>6543</v>
      </c>
      <c r="B6526" t="s">
        <v>24</v>
      </c>
      <c r="C6526" t="s">
        <v>25</v>
      </c>
      <c r="D6526" t="str">
        <f>HYPERLINK("http://service.sap.com/sap/support/notes/1510494","1510494")</f>
        <v>1510494</v>
      </c>
      <c r="E6526">
        <v>1</v>
      </c>
      <c r="F6526" t="s">
        <v>6433</v>
      </c>
    </row>
    <row r="6527" spans="1:6" x14ac:dyDescent="0.25">
      <c r="A6527" t="s">
        <v>6543</v>
      </c>
      <c r="B6527" t="s">
        <v>24</v>
      </c>
      <c r="C6527" t="s">
        <v>25</v>
      </c>
      <c r="D6527" t="str">
        <f>HYPERLINK("http://service.sap.com/sap/support/notes/1510789","1510789")</f>
        <v>1510789</v>
      </c>
      <c r="E6527">
        <v>3</v>
      </c>
      <c r="F6527" t="s">
        <v>6434</v>
      </c>
    </row>
    <row r="6528" spans="1:6" x14ac:dyDescent="0.25">
      <c r="A6528" t="s">
        <v>6543</v>
      </c>
      <c r="B6528" t="s">
        <v>24</v>
      </c>
      <c r="C6528" t="s">
        <v>25</v>
      </c>
      <c r="D6528" t="str">
        <f>HYPERLINK("http://service.sap.com/sap/support/notes/1511162","1511162")</f>
        <v>1511162</v>
      </c>
      <c r="E6528">
        <v>1</v>
      </c>
      <c r="F6528" t="s">
        <v>6435</v>
      </c>
    </row>
    <row r="6529" spans="1:6" x14ac:dyDescent="0.25">
      <c r="A6529" t="s">
        <v>6543</v>
      </c>
      <c r="B6529" t="s">
        <v>24</v>
      </c>
      <c r="C6529" t="s">
        <v>25</v>
      </c>
      <c r="D6529" t="str">
        <f>HYPERLINK("http://service.sap.com/sap/support/notes/1511540","1511540")</f>
        <v>1511540</v>
      </c>
      <c r="E6529">
        <v>2</v>
      </c>
      <c r="F6529" t="s">
        <v>6436</v>
      </c>
    </row>
    <row r="6530" spans="1:6" x14ac:dyDescent="0.25">
      <c r="A6530" t="s">
        <v>6543</v>
      </c>
      <c r="B6530" t="s">
        <v>24</v>
      </c>
      <c r="C6530" t="s">
        <v>25</v>
      </c>
      <c r="D6530" t="str">
        <f>HYPERLINK("http://service.sap.com/sap/support/notes/1511775","1511775")</f>
        <v>1511775</v>
      </c>
      <c r="E6530">
        <v>1</v>
      </c>
      <c r="F6530" t="s">
        <v>6437</v>
      </c>
    </row>
    <row r="6531" spans="1:6" x14ac:dyDescent="0.25">
      <c r="A6531" t="s">
        <v>6543</v>
      </c>
      <c r="B6531" t="s">
        <v>24</v>
      </c>
      <c r="C6531" t="s">
        <v>25</v>
      </c>
      <c r="D6531" t="str">
        <f>HYPERLINK("http://service.sap.com/sap/support/notes/1512181","1512181")</f>
        <v>1512181</v>
      </c>
      <c r="E6531">
        <v>1</v>
      </c>
      <c r="F6531" t="s">
        <v>6438</v>
      </c>
    </row>
    <row r="6532" spans="1:6" x14ac:dyDescent="0.25">
      <c r="A6532" t="s">
        <v>6543</v>
      </c>
      <c r="B6532" t="s">
        <v>4074</v>
      </c>
      <c r="C6532" t="s">
        <v>4075</v>
      </c>
      <c r="D6532" t="str">
        <f>HYPERLINK("http://service.sap.com/sap/support/notes/1458107","1458107")</f>
        <v>1458107</v>
      </c>
      <c r="E6532">
        <v>1</v>
      </c>
      <c r="F6532" t="s">
        <v>6439</v>
      </c>
    </row>
    <row r="6533" spans="1:6" x14ac:dyDescent="0.25">
      <c r="A6533" t="s">
        <v>6543</v>
      </c>
      <c r="B6533" t="s">
        <v>4074</v>
      </c>
      <c r="C6533" t="s">
        <v>4075</v>
      </c>
      <c r="D6533" t="str">
        <f>HYPERLINK("http://service.sap.com/sap/support/notes/1480384","1480384")</f>
        <v>1480384</v>
      </c>
      <c r="E6533">
        <v>3</v>
      </c>
      <c r="F6533" t="s">
        <v>6440</v>
      </c>
    </row>
    <row r="6534" spans="1:6" x14ac:dyDescent="0.25">
      <c r="A6534" t="s">
        <v>6543</v>
      </c>
      <c r="B6534" t="s">
        <v>4074</v>
      </c>
      <c r="C6534" t="s">
        <v>4075</v>
      </c>
      <c r="D6534" t="str">
        <f>HYPERLINK("http://service.sap.com/sap/support/notes/1496920","1496920")</f>
        <v>1496920</v>
      </c>
      <c r="E6534">
        <v>1</v>
      </c>
      <c r="F6534" t="s">
        <v>6441</v>
      </c>
    </row>
    <row r="6535" spans="1:6" x14ac:dyDescent="0.25">
      <c r="A6535" t="s">
        <v>6543</v>
      </c>
      <c r="B6535" t="s">
        <v>4074</v>
      </c>
      <c r="C6535" t="s">
        <v>4075</v>
      </c>
      <c r="D6535" t="str">
        <f>HYPERLINK("http://service.sap.com/sap/support/notes/1506712","1506712")</f>
        <v>1506712</v>
      </c>
      <c r="E6535">
        <v>1</v>
      </c>
      <c r="F6535" t="s">
        <v>6442</v>
      </c>
    </row>
    <row r="6536" spans="1:6" x14ac:dyDescent="0.25">
      <c r="A6536" t="s">
        <v>6543</v>
      </c>
      <c r="B6536" t="s">
        <v>4074</v>
      </c>
      <c r="C6536" t="s">
        <v>4075</v>
      </c>
      <c r="D6536" t="str">
        <f>HYPERLINK("http://service.sap.com/sap/support/notes/1507403","1507403")</f>
        <v>1507403</v>
      </c>
      <c r="E6536">
        <v>1</v>
      </c>
      <c r="F6536" t="s">
        <v>6443</v>
      </c>
    </row>
    <row r="6537" spans="1:6" x14ac:dyDescent="0.25">
      <c r="A6537" t="s">
        <v>6543</v>
      </c>
      <c r="B6537" t="s">
        <v>4074</v>
      </c>
      <c r="C6537" t="s">
        <v>4075</v>
      </c>
      <c r="D6537" t="str">
        <f>HYPERLINK("http://service.sap.com/sap/support/notes/1507631","1507631")</f>
        <v>1507631</v>
      </c>
      <c r="E6537">
        <v>2</v>
      </c>
      <c r="F6537" t="s">
        <v>6444</v>
      </c>
    </row>
    <row r="6538" spans="1:6" x14ac:dyDescent="0.25">
      <c r="A6538" t="s">
        <v>6543</v>
      </c>
      <c r="B6538" t="s">
        <v>4074</v>
      </c>
      <c r="C6538" t="s">
        <v>4075</v>
      </c>
      <c r="D6538" t="str">
        <f>HYPERLINK("http://service.sap.com/sap/support/notes/1508428","1508428")</f>
        <v>1508428</v>
      </c>
      <c r="E6538">
        <v>1</v>
      </c>
      <c r="F6538" t="s">
        <v>6445</v>
      </c>
    </row>
    <row r="6539" spans="1:6" x14ac:dyDescent="0.25">
      <c r="A6539" t="s">
        <v>6543</v>
      </c>
      <c r="B6539" t="s">
        <v>4074</v>
      </c>
      <c r="C6539" t="s">
        <v>4075</v>
      </c>
      <c r="D6539" t="str">
        <f>HYPERLINK("http://service.sap.com/sap/support/notes/1509044","1509044")</f>
        <v>1509044</v>
      </c>
      <c r="E6539">
        <v>1</v>
      </c>
      <c r="F6539" t="s">
        <v>6446</v>
      </c>
    </row>
    <row r="6540" spans="1:6" x14ac:dyDescent="0.25">
      <c r="A6540" t="s">
        <v>6543</v>
      </c>
      <c r="B6540" t="s">
        <v>4074</v>
      </c>
      <c r="C6540" t="s">
        <v>4075</v>
      </c>
      <c r="D6540" t="str">
        <f>HYPERLINK("http://service.sap.com/sap/support/notes/1509714","1509714")</f>
        <v>1509714</v>
      </c>
      <c r="E6540">
        <v>1</v>
      </c>
      <c r="F6540" t="s">
        <v>6447</v>
      </c>
    </row>
    <row r="6541" spans="1:6" x14ac:dyDescent="0.25">
      <c r="A6541" t="s">
        <v>6543</v>
      </c>
      <c r="B6541" t="s">
        <v>4074</v>
      </c>
      <c r="C6541" t="s">
        <v>4075</v>
      </c>
      <c r="D6541" t="str">
        <f>HYPERLINK("http://service.sap.com/sap/support/notes/1509934","1509934")</f>
        <v>1509934</v>
      </c>
      <c r="E6541">
        <v>1</v>
      </c>
      <c r="F6541" t="s">
        <v>6448</v>
      </c>
    </row>
    <row r="6542" spans="1:6" x14ac:dyDescent="0.25">
      <c r="A6542" t="s">
        <v>6543</v>
      </c>
      <c r="B6542" t="s">
        <v>4081</v>
      </c>
      <c r="C6542" t="s">
        <v>4082</v>
      </c>
      <c r="D6542" t="str">
        <f>HYPERLINK("http://service.sap.com/sap/support/notes/1417781","1417781")</f>
        <v>1417781</v>
      </c>
      <c r="E6542">
        <v>2</v>
      </c>
      <c r="F6542" t="s">
        <v>5592</v>
      </c>
    </row>
    <row r="6543" spans="1:6" x14ac:dyDescent="0.25">
      <c r="A6543" t="s">
        <v>6543</v>
      </c>
      <c r="B6543" t="s">
        <v>4081</v>
      </c>
      <c r="C6543" t="s">
        <v>4082</v>
      </c>
      <c r="D6543" t="str">
        <f>HYPERLINK("http://service.sap.com/sap/support/notes/1503092","1503092")</f>
        <v>1503092</v>
      </c>
      <c r="E6543">
        <v>1</v>
      </c>
      <c r="F6543" t="s">
        <v>6449</v>
      </c>
    </row>
    <row r="6544" spans="1:6" x14ac:dyDescent="0.25">
      <c r="A6544" t="s">
        <v>6543</v>
      </c>
      <c r="B6544" t="s">
        <v>4081</v>
      </c>
      <c r="C6544" t="s">
        <v>4082</v>
      </c>
      <c r="D6544" t="str">
        <f>HYPERLINK("http://service.sap.com/sap/support/notes/1503170","1503170")</f>
        <v>1503170</v>
      </c>
      <c r="E6544">
        <v>1</v>
      </c>
      <c r="F6544" t="s">
        <v>6450</v>
      </c>
    </row>
    <row r="6545" spans="1:6" x14ac:dyDescent="0.25">
      <c r="A6545" t="s">
        <v>6543</v>
      </c>
      <c r="B6545" t="s">
        <v>4081</v>
      </c>
      <c r="C6545" t="s">
        <v>4082</v>
      </c>
      <c r="D6545" t="str">
        <f>HYPERLINK("http://service.sap.com/sap/support/notes/1503560","1503560")</f>
        <v>1503560</v>
      </c>
      <c r="E6545">
        <v>1</v>
      </c>
      <c r="F6545" t="s">
        <v>6451</v>
      </c>
    </row>
    <row r="6546" spans="1:6" x14ac:dyDescent="0.25">
      <c r="A6546" t="s">
        <v>6543</v>
      </c>
      <c r="B6546" t="s">
        <v>4081</v>
      </c>
      <c r="C6546" t="s">
        <v>4082</v>
      </c>
      <c r="D6546" t="str">
        <f>HYPERLINK("http://service.sap.com/sap/support/notes/1503671","1503671")</f>
        <v>1503671</v>
      </c>
      <c r="E6546">
        <v>1</v>
      </c>
      <c r="F6546" t="s">
        <v>6452</v>
      </c>
    </row>
    <row r="6547" spans="1:6" x14ac:dyDescent="0.25">
      <c r="A6547" t="s">
        <v>6543</v>
      </c>
      <c r="B6547" t="s">
        <v>4081</v>
      </c>
      <c r="C6547" t="s">
        <v>4082</v>
      </c>
      <c r="D6547" t="str">
        <f>HYPERLINK("http://service.sap.com/sap/support/notes/1504578","1504578")</f>
        <v>1504578</v>
      </c>
      <c r="E6547">
        <v>1</v>
      </c>
      <c r="F6547" t="s">
        <v>6453</v>
      </c>
    </row>
    <row r="6548" spans="1:6" x14ac:dyDescent="0.25">
      <c r="A6548" t="s">
        <v>6543</v>
      </c>
      <c r="B6548" t="s">
        <v>4081</v>
      </c>
      <c r="C6548" t="s">
        <v>4082</v>
      </c>
      <c r="D6548" t="str">
        <f>HYPERLINK("http://service.sap.com/sap/support/notes/1504623","1504623")</f>
        <v>1504623</v>
      </c>
      <c r="E6548">
        <v>1</v>
      </c>
      <c r="F6548" t="s">
        <v>6454</v>
      </c>
    </row>
    <row r="6549" spans="1:6" x14ac:dyDescent="0.25">
      <c r="A6549" t="s">
        <v>6543</v>
      </c>
      <c r="B6549" t="s">
        <v>4081</v>
      </c>
      <c r="C6549" t="s">
        <v>4082</v>
      </c>
      <c r="D6549" t="str">
        <f>HYPERLINK("http://service.sap.com/sap/support/notes/1505516","1505516")</f>
        <v>1505516</v>
      </c>
      <c r="E6549">
        <v>1</v>
      </c>
      <c r="F6549" t="s">
        <v>6455</v>
      </c>
    </row>
    <row r="6550" spans="1:6" x14ac:dyDescent="0.25">
      <c r="A6550" t="s">
        <v>6543</v>
      </c>
      <c r="B6550" t="s">
        <v>4081</v>
      </c>
      <c r="C6550" t="s">
        <v>4082</v>
      </c>
      <c r="D6550" t="str">
        <f>HYPERLINK("http://service.sap.com/sap/support/notes/1507427","1507427")</f>
        <v>1507427</v>
      </c>
      <c r="E6550">
        <v>1</v>
      </c>
      <c r="F6550" t="s">
        <v>6456</v>
      </c>
    </row>
    <row r="6551" spans="1:6" x14ac:dyDescent="0.25">
      <c r="A6551" t="s">
        <v>6543</v>
      </c>
      <c r="B6551" t="s">
        <v>4081</v>
      </c>
      <c r="C6551" t="s">
        <v>4082</v>
      </c>
      <c r="D6551" t="str">
        <f>HYPERLINK("http://service.sap.com/sap/support/notes/1509282","1509282")</f>
        <v>1509282</v>
      </c>
      <c r="E6551">
        <v>1</v>
      </c>
      <c r="F6551" t="s">
        <v>6457</v>
      </c>
    </row>
    <row r="6552" spans="1:6" x14ac:dyDescent="0.25">
      <c r="A6552" t="s">
        <v>6543</v>
      </c>
      <c r="B6552" t="s">
        <v>4081</v>
      </c>
      <c r="C6552" t="s">
        <v>4082</v>
      </c>
      <c r="D6552" t="str">
        <f>HYPERLINK("http://service.sap.com/sap/support/notes/1510208","1510208")</f>
        <v>1510208</v>
      </c>
      <c r="E6552">
        <v>1</v>
      </c>
      <c r="F6552" t="s">
        <v>6458</v>
      </c>
    </row>
    <row r="6553" spans="1:6" x14ac:dyDescent="0.25">
      <c r="A6553" t="s">
        <v>6543</v>
      </c>
      <c r="B6553" t="s">
        <v>4356</v>
      </c>
      <c r="C6553" t="s">
        <v>4357</v>
      </c>
      <c r="D6553" t="str">
        <f>HYPERLINK("http://service.sap.com/sap/support/notes/1508863","1508863")</f>
        <v>1508863</v>
      </c>
      <c r="E6553">
        <v>2</v>
      </c>
      <c r="F6553" t="s">
        <v>6459</v>
      </c>
    </row>
    <row r="6554" spans="1:6" x14ac:dyDescent="0.25">
      <c r="A6554" t="s">
        <v>6543</v>
      </c>
      <c r="B6554" t="s">
        <v>4088</v>
      </c>
      <c r="C6554" t="s">
        <v>4089</v>
      </c>
      <c r="D6554" t="str">
        <f>HYPERLINK("http://service.sap.com/sap/support/notes/1504520","1504520")</f>
        <v>1504520</v>
      </c>
      <c r="E6554">
        <v>3</v>
      </c>
      <c r="F6554" t="s">
        <v>6460</v>
      </c>
    </row>
    <row r="6555" spans="1:6" x14ac:dyDescent="0.25">
      <c r="A6555" t="s">
        <v>6543</v>
      </c>
      <c r="B6555" t="s">
        <v>27</v>
      </c>
      <c r="C6555" t="s">
        <v>13</v>
      </c>
    </row>
    <row r="6556" spans="1:6" x14ac:dyDescent="0.25">
      <c r="A6556" t="s">
        <v>6543</v>
      </c>
      <c r="B6556" t="s">
        <v>4091</v>
      </c>
      <c r="C6556" t="s">
        <v>4092</v>
      </c>
      <c r="D6556" t="str">
        <f>HYPERLINK("http://service.sap.com/sap/support/notes/1485956","1485956")</f>
        <v>1485956</v>
      </c>
      <c r="E6556">
        <v>3</v>
      </c>
      <c r="F6556" t="s">
        <v>6313</v>
      </c>
    </row>
    <row r="6557" spans="1:6" x14ac:dyDescent="0.25">
      <c r="A6557" t="s">
        <v>6543</v>
      </c>
      <c r="B6557" t="s">
        <v>4091</v>
      </c>
      <c r="C6557" t="s">
        <v>4092</v>
      </c>
      <c r="D6557" t="str">
        <f>HYPERLINK("http://service.sap.com/sap/support/notes/1492060","1492060")</f>
        <v>1492060</v>
      </c>
      <c r="E6557">
        <v>6</v>
      </c>
      <c r="F6557" t="s">
        <v>6461</v>
      </c>
    </row>
    <row r="6558" spans="1:6" x14ac:dyDescent="0.25">
      <c r="A6558" t="s">
        <v>6543</v>
      </c>
      <c r="B6558" t="s">
        <v>4091</v>
      </c>
      <c r="C6558" t="s">
        <v>4092</v>
      </c>
      <c r="D6558" t="str">
        <f>HYPERLINK("http://service.sap.com/sap/support/notes/1493414","1493414")</f>
        <v>1493414</v>
      </c>
      <c r="E6558">
        <v>2</v>
      </c>
      <c r="F6558" t="s">
        <v>6316</v>
      </c>
    </row>
    <row r="6559" spans="1:6" x14ac:dyDescent="0.25">
      <c r="A6559" t="s">
        <v>6543</v>
      </c>
      <c r="B6559" t="s">
        <v>4091</v>
      </c>
      <c r="C6559" t="s">
        <v>4092</v>
      </c>
      <c r="D6559" t="str">
        <f>HYPERLINK("http://service.sap.com/sap/support/notes/1494644","1494644")</f>
        <v>1494644</v>
      </c>
      <c r="E6559">
        <v>1</v>
      </c>
      <c r="F6559" t="s">
        <v>6462</v>
      </c>
    </row>
    <row r="6560" spans="1:6" x14ac:dyDescent="0.25">
      <c r="A6560" t="s">
        <v>6543</v>
      </c>
      <c r="B6560" t="s">
        <v>4091</v>
      </c>
      <c r="C6560" t="s">
        <v>4092</v>
      </c>
      <c r="D6560" t="str">
        <f>HYPERLINK("http://service.sap.com/sap/support/notes/1502066","1502066")</f>
        <v>1502066</v>
      </c>
      <c r="E6560">
        <v>4</v>
      </c>
      <c r="F6560" t="s">
        <v>6463</v>
      </c>
    </row>
    <row r="6561" spans="1:6" x14ac:dyDescent="0.25">
      <c r="A6561" t="s">
        <v>6543</v>
      </c>
      <c r="B6561" t="s">
        <v>4091</v>
      </c>
      <c r="C6561" t="s">
        <v>4092</v>
      </c>
      <c r="D6561" t="str">
        <f>HYPERLINK("http://service.sap.com/sap/support/notes/1502097","1502097")</f>
        <v>1502097</v>
      </c>
      <c r="E6561">
        <v>1</v>
      </c>
      <c r="F6561" t="s">
        <v>6464</v>
      </c>
    </row>
    <row r="6562" spans="1:6" x14ac:dyDescent="0.25">
      <c r="A6562" t="s">
        <v>6543</v>
      </c>
      <c r="B6562" t="s">
        <v>4091</v>
      </c>
      <c r="C6562" t="s">
        <v>4092</v>
      </c>
      <c r="D6562" t="str">
        <f>HYPERLINK("http://service.sap.com/sap/support/notes/1503428","1503428")</f>
        <v>1503428</v>
      </c>
      <c r="E6562">
        <v>1</v>
      </c>
      <c r="F6562" t="s">
        <v>6465</v>
      </c>
    </row>
    <row r="6563" spans="1:6" x14ac:dyDescent="0.25">
      <c r="A6563" t="s">
        <v>6543</v>
      </c>
      <c r="B6563" t="s">
        <v>4091</v>
      </c>
      <c r="C6563" t="s">
        <v>4092</v>
      </c>
      <c r="D6563" t="str">
        <f>HYPERLINK("http://service.sap.com/sap/support/notes/1511998","1511998")</f>
        <v>1511998</v>
      </c>
      <c r="E6563">
        <v>1</v>
      </c>
      <c r="F6563" t="s">
        <v>6466</v>
      </c>
    </row>
    <row r="6564" spans="1:6" x14ac:dyDescent="0.25">
      <c r="A6564" t="s">
        <v>6543</v>
      </c>
      <c r="B6564" t="s">
        <v>2161</v>
      </c>
      <c r="C6564" t="s">
        <v>2162</v>
      </c>
      <c r="D6564" t="str">
        <f>HYPERLINK("http://service.sap.com/sap/support/notes/1498581","1498581")</f>
        <v>1498581</v>
      </c>
      <c r="E6564">
        <v>2</v>
      </c>
      <c r="F6564" t="s">
        <v>6467</v>
      </c>
    </row>
    <row r="6565" spans="1:6" x14ac:dyDescent="0.25">
      <c r="A6565" t="s">
        <v>6543</v>
      </c>
      <c r="B6565" t="s">
        <v>2161</v>
      </c>
      <c r="C6565" t="s">
        <v>2162</v>
      </c>
      <c r="D6565" t="str">
        <f>HYPERLINK("http://service.sap.com/sap/support/notes/1499391","1499391")</f>
        <v>1499391</v>
      </c>
      <c r="E6565">
        <v>1</v>
      </c>
      <c r="F6565" t="s">
        <v>6468</v>
      </c>
    </row>
    <row r="6566" spans="1:6" x14ac:dyDescent="0.25">
      <c r="A6566" t="s">
        <v>6543</v>
      </c>
      <c r="B6566" t="s">
        <v>2161</v>
      </c>
      <c r="C6566" t="s">
        <v>2162</v>
      </c>
      <c r="D6566" t="str">
        <f>HYPERLINK("http://service.sap.com/sap/support/notes/1501828","1501828")</f>
        <v>1501828</v>
      </c>
      <c r="E6566">
        <v>4</v>
      </c>
      <c r="F6566" t="s">
        <v>6469</v>
      </c>
    </row>
    <row r="6567" spans="1:6" x14ac:dyDescent="0.25">
      <c r="A6567" t="s">
        <v>6543</v>
      </c>
      <c r="B6567" t="s">
        <v>2161</v>
      </c>
      <c r="C6567" t="s">
        <v>2162</v>
      </c>
      <c r="D6567" t="str">
        <f>HYPERLINK("http://service.sap.com/sap/support/notes/1506658","1506658")</f>
        <v>1506658</v>
      </c>
      <c r="E6567">
        <v>2</v>
      </c>
      <c r="F6567" t="s">
        <v>6470</v>
      </c>
    </row>
    <row r="6568" spans="1:6" x14ac:dyDescent="0.25">
      <c r="A6568" t="s">
        <v>6543</v>
      </c>
      <c r="B6568" t="s">
        <v>2161</v>
      </c>
      <c r="C6568" t="s">
        <v>2162</v>
      </c>
      <c r="D6568" t="str">
        <f>HYPERLINK("http://service.sap.com/sap/support/notes/1506888","1506888")</f>
        <v>1506888</v>
      </c>
      <c r="E6568">
        <v>2</v>
      </c>
      <c r="F6568" t="s">
        <v>6471</v>
      </c>
    </row>
    <row r="6569" spans="1:6" x14ac:dyDescent="0.25">
      <c r="A6569" t="s">
        <v>6543</v>
      </c>
      <c r="B6569" t="s">
        <v>2161</v>
      </c>
      <c r="C6569" t="s">
        <v>2162</v>
      </c>
      <c r="D6569" t="str">
        <f>HYPERLINK("http://service.sap.com/sap/support/notes/1509323","1509323")</f>
        <v>1509323</v>
      </c>
      <c r="E6569">
        <v>3</v>
      </c>
      <c r="F6569" t="s">
        <v>6472</v>
      </c>
    </row>
    <row r="6570" spans="1:6" x14ac:dyDescent="0.25">
      <c r="A6570" t="s">
        <v>6543</v>
      </c>
      <c r="B6570" t="s">
        <v>2161</v>
      </c>
      <c r="C6570" t="s">
        <v>2162</v>
      </c>
      <c r="D6570" t="str">
        <f>HYPERLINK("http://service.sap.com/sap/support/notes/1511245","1511245")</f>
        <v>1511245</v>
      </c>
      <c r="E6570">
        <v>1</v>
      </c>
      <c r="F6570" t="s">
        <v>6473</v>
      </c>
    </row>
    <row r="6571" spans="1:6" x14ac:dyDescent="0.25">
      <c r="A6571" t="s">
        <v>6543</v>
      </c>
      <c r="B6571" t="s">
        <v>2161</v>
      </c>
      <c r="C6571" t="s">
        <v>2162</v>
      </c>
      <c r="D6571" t="str">
        <f>HYPERLINK("http://service.sap.com/sap/support/notes/1511769","1511769")</f>
        <v>1511769</v>
      </c>
      <c r="E6571">
        <v>1</v>
      </c>
      <c r="F6571" t="s">
        <v>6474</v>
      </c>
    </row>
    <row r="6572" spans="1:6" x14ac:dyDescent="0.25">
      <c r="A6572" t="s">
        <v>6543</v>
      </c>
      <c r="B6572" t="s">
        <v>4105</v>
      </c>
      <c r="C6572" t="s">
        <v>4106</v>
      </c>
      <c r="D6572" t="str">
        <f>HYPERLINK("http://service.sap.com/sap/support/notes/1460383","1460383")</f>
        <v>1460383</v>
      </c>
      <c r="E6572">
        <v>2</v>
      </c>
      <c r="F6572" t="s">
        <v>5989</v>
      </c>
    </row>
    <row r="6573" spans="1:6" x14ac:dyDescent="0.25">
      <c r="A6573" t="s">
        <v>6543</v>
      </c>
      <c r="B6573" t="s">
        <v>4105</v>
      </c>
      <c r="C6573" t="s">
        <v>4106</v>
      </c>
      <c r="D6573" t="str">
        <f>HYPERLINK("http://service.sap.com/sap/support/notes/1504128","1504128")</f>
        <v>1504128</v>
      </c>
      <c r="E6573">
        <v>1</v>
      </c>
      <c r="F6573" t="s">
        <v>6475</v>
      </c>
    </row>
    <row r="6574" spans="1:6" x14ac:dyDescent="0.25">
      <c r="A6574" t="s">
        <v>6543</v>
      </c>
      <c r="B6574" t="s">
        <v>4105</v>
      </c>
      <c r="C6574" t="s">
        <v>4106</v>
      </c>
      <c r="D6574" t="str">
        <f>HYPERLINK("http://service.sap.com/sap/support/notes/1509507","1509507")</f>
        <v>1509507</v>
      </c>
      <c r="E6574">
        <v>1</v>
      </c>
      <c r="F6574" t="s">
        <v>6476</v>
      </c>
    </row>
    <row r="6575" spans="1:6" x14ac:dyDescent="0.25">
      <c r="A6575" t="s">
        <v>6543</v>
      </c>
      <c r="B6575" t="s">
        <v>4112</v>
      </c>
      <c r="C6575" t="s">
        <v>4113</v>
      </c>
      <c r="D6575" t="str">
        <f>HYPERLINK("http://service.sap.com/sap/support/notes/1500685","1500685")</f>
        <v>1500685</v>
      </c>
      <c r="E6575">
        <v>1</v>
      </c>
      <c r="F6575" t="s">
        <v>6477</v>
      </c>
    </row>
    <row r="6576" spans="1:6" x14ac:dyDescent="0.25">
      <c r="A6576" t="s">
        <v>6543</v>
      </c>
      <c r="B6576" t="s">
        <v>4112</v>
      </c>
      <c r="C6576" t="s">
        <v>4113</v>
      </c>
      <c r="D6576" t="str">
        <f>HYPERLINK("http://service.sap.com/sap/support/notes/1501749","1501749")</f>
        <v>1501749</v>
      </c>
      <c r="E6576">
        <v>1</v>
      </c>
      <c r="F6576" t="s">
        <v>6478</v>
      </c>
    </row>
    <row r="6577" spans="1:6" x14ac:dyDescent="0.25">
      <c r="A6577" t="s">
        <v>6543</v>
      </c>
      <c r="B6577" t="s">
        <v>4112</v>
      </c>
      <c r="C6577" t="s">
        <v>4113</v>
      </c>
      <c r="D6577" t="str">
        <f>HYPERLINK("http://service.sap.com/sap/support/notes/1502340","1502340")</f>
        <v>1502340</v>
      </c>
      <c r="E6577">
        <v>1</v>
      </c>
      <c r="F6577" t="s">
        <v>6479</v>
      </c>
    </row>
    <row r="6578" spans="1:6" x14ac:dyDescent="0.25">
      <c r="A6578" t="s">
        <v>6543</v>
      </c>
      <c r="B6578" t="s">
        <v>4112</v>
      </c>
      <c r="C6578" t="s">
        <v>4113</v>
      </c>
      <c r="D6578" t="str">
        <f>HYPERLINK("http://service.sap.com/sap/support/notes/1502341","1502341")</f>
        <v>1502341</v>
      </c>
      <c r="E6578">
        <v>1</v>
      </c>
      <c r="F6578" t="s">
        <v>6480</v>
      </c>
    </row>
    <row r="6579" spans="1:6" x14ac:dyDescent="0.25">
      <c r="A6579" t="s">
        <v>6543</v>
      </c>
      <c r="B6579" t="s">
        <v>5648</v>
      </c>
      <c r="C6579" t="s">
        <v>5649</v>
      </c>
    </row>
    <row r="6580" spans="1:6" x14ac:dyDescent="0.25">
      <c r="A6580" t="s">
        <v>6543</v>
      </c>
      <c r="B6580" t="s">
        <v>5650</v>
      </c>
      <c r="C6580" t="s">
        <v>5651</v>
      </c>
      <c r="D6580" t="str">
        <f>HYPERLINK("http://service.sap.com/sap/support/notes/1032966","1032966")</f>
        <v>1032966</v>
      </c>
      <c r="E6580">
        <v>3</v>
      </c>
      <c r="F6580" t="s">
        <v>6481</v>
      </c>
    </row>
    <row r="6581" spans="1:6" x14ac:dyDescent="0.25">
      <c r="A6581" t="s">
        <v>6543</v>
      </c>
      <c r="B6581" t="s">
        <v>5650</v>
      </c>
      <c r="C6581" t="s">
        <v>5651</v>
      </c>
      <c r="D6581" t="str">
        <f>HYPERLINK("http://service.sap.com/sap/support/notes/1497029","1497029")</f>
        <v>1497029</v>
      </c>
      <c r="E6581">
        <v>1</v>
      </c>
      <c r="F6581" t="s">
        <v>6482</v>
      </c>
    </row>
    <row r="6582" spans="1:6" x14ac:dyDescent="0.25">
      <c r="A6582" t="s">
        <v>6543</v>
      </c>
      <c r="B6582" t="s">
        <v>5650</v>
      </c>
      <c r="C6582" t="s">
        <v>5651</v>
      </c>
      <c r="D6582" t="str">
        <f>HYPERLINK("http://service.sap.com/sap/support/notes/1503910","1503910")</f>
        <v>1503910</v>
      </c>
      <c r="E6582">
        <v>1</v>
      </c>
      <c r="F6582" t="s">
        <v>6483</v>
      </c>
    </row>
    <row r="6583" spans="1:6" x14ac:dyDescent="0.25">
      <c r="A6583" t="s">
        <v>6543</v>
      </c>
      <c r="B6583" t="s">
        <v>5650</v>
      </c>
      <c r="C6583" t="s">
        <v>5651</v>
      </c>
      <c r="D6583" t="str">
        <f>HYPERLINK("http://service.sap.com/sap/support/notes/1504263","1504263")</f>
        <v>1504263</v>
      </c>
      <c r="E6583">
        <v>1</v>
      </c>
      <c r="F6583" t="s">
        <v>6484</v>
      </c>
    </row>
    <row r="6584" spans="1:6" x14ac:dyDescent="0.25">
      <c r="A6584" t="s">
        <v>6543</v>
      </c>
      <c r="B6584" t="s">
        <v>5652</v>
      </c>
      <c r="C6584" t="s">
        <v>5653</v>
      </c>
      <c r="D6584" t="str">
        <f>HYPERLINK("http://service.sap.com/sap/support/notes/1481049","1481049")</f>
        <v>1481049</v>
      </c>
      <c r="E6584">
        <v>1</v>
      </c>
      <c r="F6584" t="s">
        <v>6035</v>
      </c>
    </row>
    <row r="6585" spans="1:6" x14ac:dyDescent="0.25">
      <c r="A6585" t="s">
        <v>6543</v>
      </c>
      <c r="B6585" t="s">
        <v>5652</v>
      </c>
      <c r="C6585" t="s">
        <v>5653</v>
      </c>
      <c r="D6585" t="str">
        <f>HYPERLINK("http://service.sap.com/sap/support/notes/1492262","1492262")</f>
        <v>1492262</v>
      </c>
      <c r="E6585">
        <v>1</v>
      </c>
      <c r="F6585" t="s">
        <v>6036</v>
      </c>
    </row>
    <row r="6586" spans="1:6" x14ac:dyDescent="0.25">
      <c r="A6586" t="s">
        <v>6543</v>
      </c>
      <c r="B6586" t="s">
        <v>5652</v>
      </c>
      <c r="C6586" t="s">
        <v>5653</v>
      </c>
      <c r="D6586" t="str">
        <f>HYPERLINK("http://service.sap.com/sap/support/notes/1499807","1499807")</f>
        <v>1499807</v>
      </c>
      <c r="E6586">
        <v>1</v>
      </c>
      <c r="F6586" t="s">
        <v>6485</v>
      </c>
    </row>
    <row r="6587" spans="1:6" x14ac:dyDescent="0.25">
      <c r="A6587" t="s">
        <v>6543</v>
      </c>
      <c r="B6587" t="s">
        <v>5652</v>
      </c>
      <c r="C6587" t="s">
        <v>5653</v>
      </c>
      <c r="D6587" t="str">
        <f>HYPERLINK("http://service.sap.com/sap/support/notes/1511602","1511602")</f>
        <v>1511602</v>
      </c>
      <c r="E6587">
        <v>1</v>
      </c>
      <c r="F6587" t="s">
        <v>6486</v>
      </c>
    </row>
    <row r="6588" spans="1:6" x14ac:dyDescent="0.25">
      <c r="A6588" t="s">
        <v>6543</v>
      </c>
      <c r="B6588" t="s">
        <v>38</v>
      </c>
      <c r="C6588" t="s">
        <v>39</v>
      </c>
    </row>
    <row r="6589" spans="1:6" x14ac:dyDescent="0.25">
      <c r="A6589" t="s">
        <v>6543</v>
      </c>
      <c r="B6589" t="s">
        <v>6039</v>
      </c>
      <c r="C6589" t="s">
        <v>202</v>
      </c>
      <c r="D6589" t="str">
        <f>HYPERLINK("http://service.sap.com/sap/support/notes/1510645","1510645")</f>
        <v>1510645</v>
      </c>
      <c r="E6589">
        <v>1</v>
      </c>
      <c r="F6589" t="s">
        <v>6487</v>
      </c>
    </row>
    <row r="6590" spans="1:6" x14ac:dyDescent="0.25">
      <c r="A6590" t="s">
        <v>6543</v>
      </c>
      <c r="B6590" t="s">
        <v>694</v>
      </c>
      <c r="C6590" t="s">
        <v>695</v>
      </c>
      <c r="D6590" t="str">
        <f>HYPERLINK("http://service.sap.com/sap/support/notes/1508711","1508711")</f>
        <v>1508711</v>
      </c>
      <c r="E6590">
        <v>1</v>
      </c>
      <c r="F6590" t="s">
        <v>6488</v>
      </c>
    </row>
    <row r="6591" spans="1:6" x14ac:dyDescent="0.25">
      <c r="A6591" t="s">
        <v>6543</v>
      </c>
      <c r="B6591" t="s">
        <v>76</v>
      </c>
      <c r="C6591" t="s">
        <v>77</v>
      </c>
      <c r="D6591" t="str">
        <f>HYPERLINK("http://service.sap.com/sap/support/notes/1489992","1489992")</f>
        <v>1489992</v>
      </c>
      <c r="E6591">
        <v>1</v>
      </c>
      <c r="F6591" t="s">
        <v>6489</v>
      </c>
    </row>
    <row r="6592" spans="1:6" x14ac:dyDescent="0.25">
      <c r="A6592" t="s">
        <v>6543</v>
      </c>
      <c r="B6592" t="s">
        <v>79</v>
      </c>
      <c r="C6592" t="s">
        <v>80</v>
      </c>
      <c r="D6592" t="str">
        <f>HYPERLINK("http://service.sap.com/sap/support/notes/1487535","1487535")</f>
        <v>1487535</v>
      </c>
      <c r="E6592">
        <v>2</v>
      </c>
      <c r="F6592" t="s">
        <v>6054</v>
      </c>
    </row>
    <row r="6593" spans="1:6" x14ac:dyDescent="0.25">
      <c r="A6593" t="s">
        <v>6543</v>
      </c>
      <c r="B6593" t="s">
        <v>89</v>
      </c>
      <c r="C6593" t="s">
        <v>90</v>
      </c>
      <c r="D6593" t="str">
        <f>HYPERLINK("http://service.sap.com/sap/support/notes/1507786","1507786")</f>
        <v>1507786</v>
      </c>
      <c r="E6593">
        <v>1</v>
      </c>
      <c r="F6593" t="s">
        <v>6490</v>
      </c>
    </row>
    <row r="6594" spans="1:6" x14ac:dyDescent="0.25">
      <c r="A6594" t="s">
        <v>6543</v>
      </c>
      <c r="B6594" t="s">
        <v>6336</v>
      </c>
      <c r="C6594" t="s">
        <v>432</v>
      </c>
      <c r="D6594" t="str">
        <f>HYPERLINK("http://service.sap.com/sap/support/notes/1505047","1505047")</f>
        <v>1505047</v>
      </c>
      <c r="E6594">
        <v>1</v>
      </c>
      <c r="F6594" t="s">
        <v>6491</v>
      </c>
    </row>
    <row r="6595" spans="1:6" x14ac:dyDescent="0.25">
      <c r="A6595" t="s">
        <v>6543</v>
      </c>
      <c r="B6595" t="s">
        <v>92</v>
      </c>
      <c r="C6595" t="s">
        <v>93</v>
      </c>
      <c r="D6595" t="str">
        <f>HYPERLINK("http://service.sap.com/sap/support/notes/960754","960754")</f>
        <v>960754</v>
      </c>
      <c r="E6595">
        <v>8</v>
      </c>
      <c r="F6595" t="s">
        <v>1463</v>
      </c>
    </row>
    <row r="6596" spans="1:6" x14ac:dyDescent="0.25">
      <c r="A6596" t="s">
        <v>6543</v>
      </c>
      <c r="B6596" t="s">
        <v>92</v>
      </c>
      <c r="C6596" t="s">
        <v>93</v>
      </c>
      <c r="D6596" t="str">
        <f>HYPERLINK("http://service.sap.com/sap/support/notes/1116407","1116407")</f>
        <v>1116407</v>
      </c>
      <c r="E6596">
        <v>59</v>
      </c>
      <c r="F6596" t="s">
        <v>6492</v>
      </c>
    </row>
    <row r="6597" spans="1:6" x14ac:dyDescent="0.25">
      <c r="A6597" t="s">
        <v>6543</v>
      </c>
      <c r="B6597" t="s">
        <v>92</v>
      </c>
      <c r="C6597" t="s">
        <v>93</v>
      </c>
      <c r="D6597" t="str">
        <f>HYPERLINK("http://service.sap.com/sap/support/notes/1503193","1503193")</f>
        <v>1503193</v>
      </c>
      <c r="E6597">
        <v>1</v>
      </c>
      <c r="F6597" t="s">
        <v>6493</v>
      </c>
    </row>
    <row r="6598" spans="1:6" x14ac:dyDescent="0.25">
      <c r="A6598" t="s">
        <v>6543</v>
      </c>
      <c r="B6598" t="s">
        <v>92</v>
      </c>
      <c r="C6598" t="s">
        <v>93</v>
      </c>
      <c r="D6598" t="str">
        <f>HYPERLINK("http://service.sap.com/sap/support/notes/1504751","1504751")</f>
        <v>1504751</v>
      </c>
      <c r="E6598">
        <v>1</v>
      </c>
      <c r="F6598" t="s">
        <v>6494</v>
      </c>
    </row>
    <row r="6599" spans="1:6" x14ac:dyDescent="0.25">
      <c r="A6599" t="s">
        <v>6543</v>
      </c>
      <c r="B6599" t="s">
        <v>107</v>
      </c>
      <c r="C6599" t="s">
        <v>108</v>
      </c>
      <c r="D6599" t="str">
        <f>HYPERLINK("http://service.sap.com/sap/support/notes/1454155","1454155")</f>
        <v>1454155</v>
      </c>
      <c r="E6599">
        <v>1</v>
      </c>
      <c r="F6599" t="s">
        <v>6495</v>
      </c>
    </row>
    <row r="6600" spans="1:6" x14ac:dyDescent="0.25">
      <c r="A6600" t="s">
        <v>6543</v>
      </c>
      <c r="B6600" t="s">
        <v>6092</v>
      </c>
      <c r="C6600" t="s">
        <v>6093</v>
      </c>
      <c r="D6600" t="str">
        <f>HYPERLINK("http://service.sap.com/sap/support/notes/1508590","1508590")</f>
        <v>1508590</v>
      </c>
      <c r="E6600">
        <v>1</v>
      </c>
      <c r="F6600" t="s">
        <v>6496</v>
      </c>
    </row>
    <row r="6601" spans="1:6" x14ac:dyDescent="0.25">
      <c r="A6601" t="s">
        <v>6543</v>
      </c>
      <c r="B6601" t="s">
        <v>6092</v>
      </c>
      <c r="C6601" t="s">
        <v>6093</v>
      </c>
      <c r="D6601" t="str">
        <f>HYPERLINK("http://service.sap.com/sap/support/notes/1510699","1510699")</f>
        <v>1510699</v>
      </c>
      <c r="E6601">
        <v>1</v>
      </c>
      <c r="F6601" t="s">
        <v>6496</v>
      </c>
    </row>
    <row r="6602" spans="1:6" x14ac:dyDescent="0.25">
      <c r="A6602" t="s">
        <v>6543</v>
      </c>
      <c r="B6602" t="s">
        <v>810</v>
      </c>
      <c r="C6602" t="s">
        <v>4131</v>
      </c>
    </row>
    <row r="6603" spans="1:6" x14ac:dyDescent="0.25">
      <c r="A6603" t="s">
        <v>6543</v>
      </c>
      <c r="B6603" t="s">
        <v>811</v>
      </c>
      <c r="C6603" t="s">
        <v>4132</v>
      </c>
      <c r="D6603" t="str">
        <f>HYPERLINK("http://service.sap.com/sap/support/notes/1479677","1479677")</f>
        <v>1479677</v>
      </c>
      <c r="E6603">
        <v>4</v>
      </c>
      <c r="F6603" t="s">
        <v>6122</v>
      </c>
    </row>
    <row r="6604" spans="1:6" x14ac:dyDescent="0.25">
      <c r="A6604" t="s">
        <v>6543</v>
      </c>
      <c r="B6604" t="s">
        <v>811</v>
      </c>
      <c r="C6604" t="s">
        <v>4132</v>
      </c>
      <c r="D6604" t="str">
        <f>HYPERLINK("http://service.sap.com/sap/support/notes/1501860","1501860")</f>
        <v>1501860</v>
      </c>
      <c r="E6604">
        <v>1</v>
      </c>
      <c r="F6604" t="s">
        <v>6497</v>
      </c>
    </row>
    <row r="6605" spans="1:6" x14ac:dyDescent="0.25">
      <c r="A6605" t="s">
        <v>6543</v>
      </c>
      <c r="B6605" t="s">
        <v>811</v>
      </c>
      <c r="C6605" t="s">
        <v>4132</v>
      </c>
      <c r="D6605" t="str">
        <f>HYPERLINK("http://service.sap.com/sap/support/notes/1504056","1504056")</f>
        <v>1504056</v>
      </c>
      <c r="E6605">
        <v>1</v>
      </c>
      <c r="F6605" t="s">
        <v>6498</v>
      </c>
    </row>
    <row r="6606" spans="1:6" x14ac:dyDescent="0.25">
      <c r="A6606" t="s">
        <v>6543</v>
      </c>
      <c r="B6606" t="s">
        <v>4144</v>
      </c>
      <c r="C6606" t="s">
        <v>4145</v>
      </c>
      <c r="D6606" t="str">
        <f>HYPERLINK("http://service.sap.com/sap/support/notes/1487559","1487559")</f>
        <v>1487559</v>
      </c>
      <c r="E6606">
        <v>1</v>
      </c>
      <c r="F6606" t="s">
        <v>6499</v>
      </c>
    </row>
    <row r="6607" spans="1:6" x14ac:dyDescent="0.25">
      <c r="A6607" t="s">
        <v>6543</v>
      </c>
      <c r="B6607" t="s">
        <v>4144</v>
      </c>
      <c r="C6607" t="s">
        <v>4145</v>
      </c>
      <c r="D6607" t="str">
        <f>HYPERLINK("http://service.sap.com/sap/support/notes/1495679","1495679")</f>
        <v>1495679</v>
      </c>
      <c r="E6607">
        <v>1</v>
      </c>
      <c r="F6607" t="s">
        <v>6500</v>
      </c>
    </row>
    <row r="6608" spans="1:6" x14ac:dyDescent="0.25">
      <c r="A6608" t="s">
        <v>6543</v>
      </c>
      <c r="B6608" t="s">
        <v>4144</v>
      </c>
      <c r="C6608" t="s">
        <v>4145</v>
      </c>
      <c r="D6608" t="str">
        <f>HYPERLINK("http://service.sap.com/sap/support/notes/1502997","1502997")</f>
        <v>1502997</v>
      </c>
      <c r="E6608">
        <v>1</v>
      </c>
      <c r="F6608" t="s">
        <v>6501</v>
      </c>
    </row>
    <row r="6609" spans="1:6" x14ac:dyDescent="0.25">
      <c r="A6609" t="s">
        <v>6543</v>
      </c>
      <c r="B6609" t="s">
        <v>4144</v>
      </c>
      <c r="C6609" t="s">
        <v>4145</v>
      </c>
      <c r="D6609" t="str">
        <f>HYPERLINK("http://service.sap.com/sap/support/notes/1507612","1507612")</f>
        <v>1507612</v>
      </c>
      <c r="E6609">
        <v>1</v>
      </c>
      <c r="F6609" t="s">
        <v>6502</v>
      </c>
    </row>
    <row r="6610" spans="1:6" x14ac:dyDescent="0.25">
      <c r="A6610" t="s">
        <v>6543</v>
      </c>
      <c r="B6610" t="s">
        <v>4144</v>
      </c>
      <c r="C6610" t="s">
        <v>4145</v>
      </c>
      <c r="D6610" t="str">
        <f>HYPERLINK("http://service.sap.com/sap/support/notes/1509815","1509815")</f>
        <v>1509815</v>
      </c>
      <c r="E6610">
        <v>1</v>
      </c>
      <c r="F6610" t="s">
        <v>6503</v>
      </c>
    </row>
    <row r="6611" spans="1:6" x14ac:dyDescent="0.25">
      <c r="A6611" t="s">
        <v>6543</v>
      </c>
      <c r="B6611" t="s">
        <v>126</v>
      </c>
      <c r="C6611" t="s">
        <v>127</v>
      </c>
    </row>
    <row r="6612" spans="1:6" x14ac:dyDescent="0.25">
      <c r="A6612" t="s">
        <v>6543</v>
      </c>
      <c r="B6612" t="s">
        <v>824</v>
      </c>
      <c r="C6612" t="s">
        <v>1777</v>
      </c>
    </row>
    <row r="6613" spans="1:6" x14ac:dyDescent="0.25">
      <c r="A6613" t="s">
        <v>6543</v>
      </c>
      <c r="B6613" t="s">
        <v>4157</v>
      </c>
      <c r="C6613" t="s">
        <v>4158</v>
      </c>
      <c r="D6613" t="str">
        <f>HYPERLINK("http://service.sap.com/sap/support/notes/1509171","1509171")</f>
        <v>1509171</v>
      </c>
      <c r="E6613">
        <v>1</v>
      </c>
      <c r="F6613" t="s">
        <v>6504</v>
      </c>
    </row>
    <row r="6614" spans="1:6" x14ac:dyDescent="0.25">
      <c r="A6614" t="s">
        <v>6543</v>
      </c>
      <c r="B6614" t="s">
        <v>825</v>
      </c>
      <c r="C6614" t="s">
        <v>1778</v>
      </c>
      <c r="D6614" t="str">
        <f>HYPERLINK("http://service.sap.com/sap/support/notes/1447963","1447963")</f>
        <v>1447963</v>
      </c>
      <c r="E6614">
        <v>1</v>
      </c>
      <c r="F6614" t="s">
        <v>6505</v>
      </c>
    </row>
    <row r="6615" spans="1:6" x14ac:dyDescent="0.25">
      <c r="A6615" t="s">
        <v>6543</v>
      </c>
      <c r="B6615" t="s">
        <v>825</v>
      </c>
      <c r="C6615" t="s">
        <v>1778</v>
      </c>
      <c r="D6615" t="str">
        <f>HYPERLINK("http://service.sap.com/sap/support/notes/1448573","1448573")</f>
        <v>1448573</v>
      </c>
      <c r="E6615">
        <v>2</v>
      </c>
      <c r="F6615" t="s">
        <v>6506</v>
      </c>
    </row>
    <row r="6616" spans="1:6" x14ac:dyDescent="0.25">
      <c r="A6616" t="s">
        <v>6543</v>
      </c>
      <c r="B6616" t="s">
        <v>825</v>
      </c>
      <c r="C6616" t="s">
        <v>1778</v>
      </c>
      <c r="D6616" t="str">
        <f>HYPERLINK("http://service.sap.com/sap/support/notes/1496024","1496024")</f>
        <v>1496024</v>
      </c>
      <c r="E6616">
        <v>1</v>
      </c>
      <c r="F6616" t="s">
        <v>6507</v>
      </c>
    </row>
    <row r="6617" spans="1:6" x14ac:dyDescent="0.25">
      <c r="A6617" t="s">
        <v>6543</v>
      </c>
      <c r="B6617" t="s">
        <v>825</v>
      </c>
      <c r="C6617" t="s">
        <v>1778</v>
      </c>
      <c r="D6617" t="str">
        <f>HYPERLINK("http://service.sap.com/sap/support/notes/1498981","1498981")</f>
        <v>1498981</v>
      </c>
      <c r="E6617">
        <v>1</v>
      </c>
      <c r="F6617" t="s">
        <v>6508</v>
      </c>
    </row>
    <row r="6618" spans="1:6" x14ac:dyDescent="0.25">
      <c r="A6618" t="s">
        <v>6543</v>
      </c>
      <c r="B6618" t="s">
        <v>825</v>
      </c>
      <c r="C6618" t="s">
        <v>1778</v>
      </c>
      <c r="D6618" t="str">
        <f>HYPERLINK("http://service.sap.com/sap/support/notes/1499210","1499210")</f>
        <v>1499210</v>
      </c>
      <c r="E6618">
        <v>1</v>
      </c>
      <c r="F6618" t="s">
        <v>6509</v>
      </c>
    </row>
    <row r="6619" spans="1:6" x14ac:dyDescent="0.25">
      <c r="A6619" t="s">
        <v>6543</v>
      </c>
      <c r="B6619" t="s">
        <v>825</v>
      </c>
      <c r="C6619" t="s">
        <v>1778</v>
      </c>
      <c r="D6619" t="str">
        <f>HYPERLINK("http://service.sap.com/sap/support/notes/1503779","1503779")</f>
        <v>1503779</v>
      </c>
      <c r="E6619">
        <v>1</v>
      </c>
      <c r="F6619" t="s">
        <v>6510</v>
      </c>
    </row>
    <row r="6620" spans="1:6" x14ac:dyDescent="0.25">
      <c r="A6620" t="s">
        <v>6543</v>
      </c>
      <c r="B6620" t="s">
        <v>825</v>
      </c>
      <c r="C6620" t="s">
        <v>1778</v>
      </c>
      <c r="D6620" t="str">
        <f>HYPERLINK("http://service.sap.com/sap/support/notes/1507864","1507864")</f>
        <v>1507864</v>
      </c>
      <c r="E6620">
        <v>1</v>
      </c>
      <c r="F6620" t="s">
        <v>6511</v>
      </c>
    </row>
    <row r="6621" spans="1:6" x14ac:dyDescent="0.25">
      <c r="A6621" t="s">
        <v>6543</v>
      </c>
      <c r="B6621" t="s">
        <v>825</v>
      </c>
      <c r="C6621" t="s">
        <v>1778</v>
      </c>
      <c r="D6621" t="str">
        <f>HYPERLINK("http://service.sap.com/sap/support/notes/1507958","1507958")</f>
        <v>1507958</v>
      </c>
      <c r="E6621">
        <v>1</v>
      </c>
      <c r="F6621" t="s">
        <v>6512</v>
      </c>
    </row>
    <row r="6622" spans="1:6" x14ac:dyDescent="0.25">
      <c r="A6622" t="s">
        <v>6543</v>
      </c>
      <c r="B6622" t="s">
        <v>6185</v>
      </c>
      <c r="C6622" t="s">
        <v>6186</v>
      </c>
    </row>
    <row r="6623" spans="1:6" x14ac:dyDescent="0.25">
      <c r="A6623" t="s">
        <v>6543</v>
      </c>
      <c r="B6623" t="s">
        <v>6187</v>
      </c>
      <c r="C6623" t="s">
        <v>6188</v>
      </c>
    </row>
    <row r="6624" spans="1:6" x14ac:dyDescent="0.25">
      <c r="A6624" t="s">
        <v>6543</v>
      </c>
      <c r="B6624" t="s">
        <v>6189</v>
      </c>
      <c r="C6624" t="s">
        <v>6190</v>
      </c>
    </row>
    <row r="6625" spans="1:6" x14ac:dyDescent="0.25">
      <c r="A6625" t="s">
        <v>6543</v>
      </c>
      <c r="B6625" t="s">
        <v>6513</v>
      </c>
      <c r="C6625" t="s">
        <v>6514</v>
      </c>
      <c r="D6625" t="str">
        <f>HYPERLINK("http://service.sap.com/sap/support/notes/1479634","1479634")</f>
        <v>1479634</v>
      </c>
      <c r="E6625">
        <v>1</v>
      </c>
      <c r="F6625" t="s">
        <v>6515</v>
      </c>
    </row>
    <row r="6626" spans="1:6" x14ac:dyDescent="0.25">
      <c r="A6626" t="s">
        <v>6543</v>
      </c>
      <c r="B6626" t="s">
        <v>831</v>
      </c>
      <c r="C6626" t="s">
        <v>2598</v>
      </c>
    </row>
    <row r="6627" spans="1:6" x14ac:dyDescent="0.25">
      <c r="A6627" t="s">
        <v>6543</v>
      </c>
      <c r="B6627" t="s">
        <v>849</v>
      </c>
      <c r="C6627" t="s">
        <v>4450</v>
      </c>
      <c r="D6627" t="str">
        <f>HYPERLINK("http://service.sap.com/sap/support/notes/1478110","1478110")</f>
        <v>1478110</v>
      </c>
      <c r="E6627">
        <v>4</v>
      </c>
      <c r="F6627" t="s">
        <v>6192</v>
      </c>
    </row>
    <row r="6628" spans="1:6" x14ac:dyDescent="0.25">
      <c r="A6628" t="s">
        <v>6543</v>
      </c>
      <c r="B6628" t="s">
        <v>849</v>
      </c>
      <c r="C6628" t="s">
        <v>4450</v>
      </c>
      <c r="D6628" t="str">
        <f>HYPERLINK("http://service.sap.com/sap/support/notes/1510682","1510682")</f>
        <v>1510682</v>
      </c>
      <c r="E6628">
        <v>3</v>
      </c>
      <c r="F6628" t="s">
        <v>6516</v>
      </c>
    </row>
    <row r="6629" spans="1:6" x14ac:dyDescent="0.25">
      <c r="A6629" t="s">
        <v>6543</v>
      </c>
      <c r="B6629" t="s">
        <v>867</v>
      </c>
      <c r="C6629" t="s">
        <v>4451</v>
      </c>
    </row>
    <row r="6630" spans="1:6" x14ac:dyDescent="0.25">
      <c r="A6630" t="s">
        <v>6543</v>
      </c>
      <c r="B6630" t="s">
        <v>868</v>
      </c>
      <c r="C6630" t="s">
        <v>6376</v>
      </c>
      <c r="D6630" t="str">
        <f>HYPERLINK("http://service.sap.com/sap/support/notes/1501691","1501691")</f>
        <v>1501691</v>
      </c>
      <c r="E6630">
        <v>1</v>
      </c>
      <c r="F6630" t="s">
        <v>6517</v>
      </c>
    </row>
    <row r="6631" spans="1:6" x14ac:dyDescent="0.25">
      <c r="A6631" t="s">
        <v>6543</v>
      </c>
      <c r="B6631" t="s">
        <v>4452</v>
      </c>
      <c r="C6631" t="s">
        <v>4048</v>
      </c>
      <c r="D6631" t="str">
        <f>HYPERLINK("http://service.sap.com/sap/support/notes/1501310","1501310")</f>
        <v>1501310</v>
      </c>
      <c r="E6631">
        <v>1</v>
      </c>
      <c r="F6631" t="s">
        <v>6518</v>
      </c>
    </row>
    <row r="6632" spans="1:6" x14ac:dyDescent="0.25">
      <c r="A6632" t="s">
        <v>6543</v>
      </c>
      <c r="B6632" t="s">
        <v>131</v>
      </c>
      <c r="C6632" t="s">
        <v>132</v>
      </c>
    </row>
    <row r="6633" spans="1:6" x14ac:dyDescent="0.25">
      <c r="A6633" t="s">
        <v>6543</v>
      </c>
      <c r="B6633" t="s">
        <v>155</v>
      </c>
      <c r="C6633" t="s">
        <v>156</v>
      </c>
      <c r="D6633" t="str">
        <f>HYPERLINK("http://service.sap.com/sap/support/notes/1483445","1483445")</f>
        <v>1483445</v>
      </c>
      <c r="E6633">
        <v>1</v>
      </c>
      <c r="F6633" t="s">
        <v>6519</v>
      </c>
    </row>
    <row r="6634" spans="1:6" x14ac:dyDescent="0.25">
      <c r="A6634" t="s">
        <v>6543</v>
      </c>
      <c r="B6634" t="s">
        <v>155</v>
      </c>
      <c r="C6634" t="s">
        <v>156</v>
      </c>
      <c r="D6634" t="str">
        <f>HYPERLINK("http://service.sap.com/sap/support/notes/1503504","1503504")</f>
        <v>1503504</v>
      </c>
      <c r="E6634">
        <v>1</v>
      </c>
      <c r="F6634" t="s">
        <v>924</v>
      </c>
    </row>
    <row r="6635" spans="1:6" x14ac:dyDescent="0.25">
      <c r="A6635" t="s">
        <v>6543</v>
      </c>
      <c r="B6635" t="s">
        <v>155</v>
      </c>
      <c r="C6635" t="s">
        <v>156</v>
      </c>
      <c r="D6635" t="str">
        <f>HYPERLINK("http://service.sap.com/sap/support/notes/1510068","1510068")</f>
        <v>1510068</v>
      </c>
      <c r="E6635">
        <v>1</v>
      </c>
      <c r="F6635" t="s">
        <v>6520</v>
      </c>
    </row>
    <row r="6636" spans="1:6" x14ac:dyDescent="0.25">
      <c r="A6636" t="s">
        <v>6543</v>
      </c>
      <c r="B6636" t="s">
        <v>201</v>
      </c>
      <c r="C6636" t="s">
        <v>202</v>
      </c>
    </row>
    <row r="6637" spans="1:6" x14ac:dyDescent="0.25">
      <c r="A6637" t="s">
        <v>6543</v>
      </c>
      <c r="B6637" t="s">
        <v>964</v>
      </c>
      <c r="C6637" t="s">
        <v>299</v>
      </c>
      <c r="D6637" t="str">
        <f>HYPERLINK("http://service.sap.com/sap/support/notes/1502134","1502134")</f>
        <v>1502134</v>
      </c>
      <c r="E6637">
        <v>1</v>
      </c>
      <c r="F6637" t="s">
        <v>6521</v>
      </c>
    </row>
    <row r="6638" spans="1:6" x14ac:dyDescent="0.25">
      <c r="A6638" t="s">
        <v>6543</v>
      </c>
      <c r="B6638" t="s">
        <v>207</v>
      </c>
      <c r="C6638" t="s">
        <v>208</v>
      </c>
      <c r="D6638" t="str">
        <f>HYPERLINK("http://service.sap.com/sap/support/notes/1460394","1460394")</f>
        <v>1460394</v>
      </c>
      <c r="E6638">
        <v>1</v>
      </c>
      <c r="F6638" t="s">
        <v>6522</v>
      </c>
    </row>
    <row r="6639" spans="1:6" x14ac:dyDescent="0.25">
      <c r="A6639" t="s">
        <v>6543</v>
      </c>
      <c r="B6639" t="s">
        <v>223</v>
      </c>
      <c r="C6639" t="s">
        <v>49</v>
      </c>
      <c r="D6639" t="str">
        <f>HYPERLINK("http://service.sap.com/sap/support/notes/1511848","1511848")</f>
        <v>1511848</v>
      </c>
      <c r="E6639">
        <v>1</v>
      </c>
      <c r="F6639" t="s">
        <v>6523</v>
      </c>
    </row>
    <row r="6640" spans="1:6" x14ac:dyDescent="0.25">
      <c r="A6640" t="s">
        <v>6543</v>
      </c>
      <c r="B6640" t="s">
        <v>226</v>
      </c>
      <c r="C6640" t="s">
        <v>52</v>
      </c>
    </row>
    <row r="6641" spans="1:6" x14ac:dyDescent="0.25">
      <c r="A6641" t="s">
        <v>6543</v>
      </c>
      <c r="B6641" t="s">
        <v>235</v>
      </c>
      <c r="C6641" t="s">
        <v>236</v>
      </c>
    </row>
    <row r="6642" spans="1:6" x14ac:dyDescent="0.25">
      <c r="A6642" t="s">
        <v>6543</v>
      </c>
      <c r="B6642" t="s">
        <v>246</v>
      </c>
      <c r="C6642" t="s">
        <v>247</v>
      </c>
      <c r="D6642" t="str">
        <f>HYPERLINK("http://service.sap.com/sap/support/notes/1503404","1503404")</f>
        <v>1503404</v>
      </c>
      <c r="E6642">
        <v>1</v>
      </c>
      <c r="F6642" t="s">
        <v>6524</v>
      </c>
    </row>
    <row r="6643" spans="1:6" x14ac:dyDescent="0.25">
      <c r="A6643" t="s">
        <v>6543</v>
      </c>
      <c r="B6643" t="s">
        <v>246</v>
      </c>
      <c r="C6643" t="s">
        <v>247</v>
      </c>
      <c r="D6643" t="str">
        <f>HYPERLINK("http://service.sap.com/sap/support/notes/1504854","1504854")</f>
        <v>1504854</v>
      </c>
      <c r="E6643">
        <v>1</v>
      </c>
      <c r="F6643" t="s">
        <v>6525</v>
      </c>
    </row>
    <row r="6644" spans="1:6" x14ac:dyDescent="0.25">
      <c r="A6644" t="s">
        <v>6543</v>
      </c>
      <c r="B6644" t="s">
        <v>246</v>
      </c>
      <c r="C6644" t="s">
        <v>247</v>
      </c>
      <c r="D6644" t="str">
        <f>HYPERLINK("http://service.sap.com/sap/support/notes/1511361","1511361")</f>
        <v>1511361</v>
      </c>
      <c r="E6644">
        <v>2</v>
      </c>
      <c r="F6644" t="s">
        <v>6526</v>
      </c>
    </row>
    <row r="6645" spans="1:6" x14ac:dyDescent="0.25">
      <c r="A6645" t="s">
        <v>6543</v>
      </c>
      <c r="B6645" t="s">
        <v>273</v>
      </c>
      <c r="C6645" t="s">
        <v>153</v>
      </c>
    </row>
    <row r="6646" spans="1:6" x14ac:dyDescent="0.25">
      <c r="A6646" t="s">
        <v>6543</v>
      </c>
      <c r="B6646" t="s">
        <v>293</v>
      </c>
      <c r="C6646" t="s">
        <v>294</v>
      </c>
      <c r="D6646" t="str">
        <f>HYPERLINK("http://service.sap.com/sap/support/notes/1505999","1505999")</f>
        <v>1505999</v>
      </c>
      <c r="E6646">
        <v>3</v>
      </c>
      <c r="F6646" t="s">
        <v>6527</v>
      </c>
    </row>
    <row r="6647" spans="1:6" x14ac:dyDescent="0.25">
      <c r="A6647" t="s">
        <v>6543</v>
      </c>
      <c r="B6647" t="s">
        <v>343</v>
      </c>
      <c r="C6647" t="s">
        <v>344</v>
      </c>
    </row>
    <row r="6648" spans="1:6" x14ac:dyDescent="0.25">
      <c r="A6648" t="s">
        <v>6543</v>
      </c>
      <c r="B6648" t="s">
        <v>349</v>
      </c>
      <c r="C6648" t="s">
        <v>299</v>
      </c>
    </row>
    <row r="6649" spans="1:6" x14ac:dyDescent="0.25">
      <c r="A6649" t="s">
        <v>6543</v>
      </c>
      <c r="B6649" t="s">
        <v>350</v>
      </c>
      <c r="C6649" t="s">
        <v>351</v>
      </c>
      <c r="D6649" t="str">
        <f>HYPERLINK("http://service.sap.com/sap/support/notes/1483284","1483284")</f>
        <v>1483284</v>
      </c>
      <c r="E6649">
        <v>1</v>
      </c>
      <c r="F6649" t="s">
        <v>6528</v>
      </c>
    </row>
    <row r="6650" spans="1:6" x14ac:dyDescent="0.25">
      <c r="A6650" t="s">
        <v>6543</v>
      </c>
      <c r="B6650" t="s">
        <v>353</v>
      </c>
      <c r="C6650" t="s">
        <v>354</v>
      </c>
      <c r="D6650" t="str">
        <f>HYPERLINK("http://service.sap.com/sap/support/notes/1499295","1499295")</f>
        <v>1499295</v>
      </c>
      <c r="E6650">
        <v>1</v>
      </c>
      <c r="F6650" t="s">
        <v>6386</v>
      </c>
    </row>
    <row r="6651" spans="1:6" x14ac:dyDescent="0.25">
      <c r="A6651" t="s">
        <v>6543</v>
      </c>
      <c r="B6651" t="s">
        <v>363</v>
      </c>
      <c r="C6651" t="s">
        <v>74</v>
      </c>
      <c r="D6651" t="str">
        <f>HYPERLINK("http://service.sap.com/sap/support/notes/1379621","1379621")</f>
        <v>1379621</v>
      </c>
      <c r="E6651">
        <v>1</v>
      </c>
      <c r="F6651" t="s">
        <v>2041</v>
      </c>
    </row>
    <row r="6652" spans="1:6" x14ac:dyDescent="0.25">
      <c r="A6652" t="s">
        <v>6543</v>
      </c>
      <c r="B6652" t="s">
        <v>371</v>
      </c>
      <c r="C6652" t="s">
        <v>372</v>
      </c>
      <c r="D6652" t="str">
        <f>HYPERLINK("http://service.sap.com/sap/support/notes/1378818","1378818")</f>
        <v>1378818</v>
      </c>
      <c r="E6652">
        <v>1</v>
      </c>
      <c r="F6652" t="s">
        <v>5758</v>
      </c>
    </row>
    <row r="6653" spans="1:6" x14ac:dyDescent="0.25">
      <c r="A6653" t="s">
        <v>6543</v>
      </c>
      <c r="B6653" t="s">
        <v>425</v>
      </c>
      <c r="C6653" t="s">
        <v>426</v>
      </c>
      <c r="D6653" t="str">
        <f>HYPERLINK("http://service.sap.com/sap/support/notes/1387130","1387130")</f>
        <v>1387130</v>
      </c>
      <c r="E6653">
        <v>1</v>
      </c>
      <c r="F6653" t="s">
        <v>6529</v>
      </c>
    </row>
    <row r="6654" spans="1:6" x14ac:dyDescent="0.25">
      <c r="A6654" t="s">
        <v>6543</v>
      </c>
      <c r="B6654" t="s">
        <v>440</v>
      </c>
      <c r="C6654" t="s">
        <v>441</v>
      </c>
      <c r="D6654" t="str">
        <f>HYPERLINK("http://service.sap.com/sap/support/notes/1472155","1472155")</f>
        <v>1472155</v>
      </c>
      <c r="E6654">
        <v>2</v>
      </c>
      <c r="F6654" t="s">
        <v>6530</v>
      </c>
    </row>
    <row r="6655" spans="1:6" x14ac:dyDescent="0.25">
      <c r="A6655" t="s">
        <v>6543</v>
      </c>
      <c r="B6655" t="s">
        <v>460</v>
      </c>
      <c r="C6655" t="s">
        <v>461</v>
      </c>
      <c r="D6655" t="str">
        <f>HYPERLINK("http://service.sap.com/sap/support/notes/1503483","1503483")</f>
        <v>1503483</v>
      </c>
      <c r="E6655">
        <v>1</v>
      </c>
      <c r="F6655" t="s">
        <v>6531</v>
      </c>
    </row>
    <row r="6656" spans="1:6" x14ac:dyDescent="0.25">
      <c r="A6656" t="s">
        <v>6543</v>
      </c>
      <c r="B6656" t="s">
        <v>460</v>
      </c>
      <c r="C6656" t="s">
        <v>461</v>
      </c>
      <c r="D6656" t="str">
        <f>HYPERLINK("http://service.sap.com/sap/support/notes/1504787","1504787")</f>
        <v>1504787</v>
      </c>
      <c r="E6656">
        <v>1</v>
      </c>
      <c r="F6656" t="s">
        <v>6532</v>
      </c>
    </row>
    <row r="6657" spans="1:6" x14ac:dyDescent="0.25">
      <c r="A6657" t="s">
        <v>6543</v>
      </c>
      <c r="B6657" t="s">
        <v>460</v>
      </c>
      <c r="C6657" t="s">
        <v>461</v>
      </c>
      <c r="D6657" t="str">
        <f>HYPERLINK("http://service.sap.com/sap/support/notes/1511228","1511228")</f>
        <v>1511228</v>
      </c>
      <c r="E6657">
        <v>1</v>
      </c>
      <c r="F6657" t="s">
        <v>6533</v>
      </c>
    </row>
    <row r="6658" spans="1:6" x14ac:dyDescent="0.25">
      <c r="A6658" t="s">
        <v>6543</v>
      </c>
      <c r="B6658" t="s">
        <v>472</v>
      </c>
      <c r="C6658" t="s">
        <v>473</v>
      </c>
      <c r="D6658" t="str">
        <f>HYPERLINK("http://service.sap.com/sap/support/notes/1504044","1504044")</f>
        <v>1504044</v>
      </c>
      <c r="E6658">
        <v>2</v>
      </c>
      <c r="F6658" t="s">
        <v>6534</v>
      </c>
    </row>
    <row r="6659" spans="1:6" x14ac:dyDescent="0.25">
      <c r="A6659" t="s">
        <v>6543</v>
      </c>
      <c r="B6659" t="s">
        <v>476</v>
      </c>
      <c r="C6659" t="s">
        <v>477</v>
      </c>
      <c r="D6659" t="str">
        <f>HYPERLINK("http://service.sap.com/sap/support/notes/1500231","1500231")</f>
        <v>1500231</v>
      </c>
      <c r="E6659">
        <v>3</v>
      </c>
      <c r="F6659" t="s">
        <v>6535</v>
      </c>
    </row>
    <row r="6660" spans="1:6" x14ac:dyDescent="0.25">
      <c r="A6660" t="s">
        <v>6543</v>
      </c>
      <c r="B6660" t="s">
        <v>499</v>
      </c>
      <c r="C6660" t="s">
        <v>108</v>
      </c>
      <c r="D6660" t="str">
        <f>HYPERLINK("http://service.sap.com/sap/support/notes/1456418","1456418")</f>
        <v>1456418</v>
      </c>
      <c r="E6660">
        <v>1</v>
      </c>
      <c r="F6660" t="s">
        <v>6536</v>
      </c>
    </row>
    <row r="6661" spans="1:6" x14ac:dyDescent="0.25">
      <c r="A6661" t="s">
        <v>6543</v>
      </c>
      <c r="B6661" t="s">
        <v>501</v>
      </c>
      <c r="C6661" t="s">
        <v>153</v>
      </c>
      <c r="D6661" t="str">
        <f>HYPERLINK("http://service.sap.com/sap/support/notes/1448915","1448915")</f>
        <v>1448915</v>
      </c>
      <c r="E6661">
        <v>1</v>
      </c>
      <c r="F6661" t="s">
        <v>6537</v>
      </c>
    </row>
    <row r="6662" spans="1:6" x14ac:dyDescent="0.25">
      <c r="A6662" t="s">
        <v>6543</v>
      </c>
      <c r="B6662" t="s">
        <v>531</v>
      </c>
      <c r="C6662" t="s">
        <v>532</v>
      </c>
    </row>
    <row r="6663" spans="1:6" x14ac:dyDescent="0.25">
      <c r="A6663" t="s">
        <v>6543</v>
      </c>
      <c r="B6663" t="s">
        <v>1314</v>
      </c>
      <c r="C6663" t="s">
        <v>5767</v>
      </c>
      <c r="D6663" t="str">
        <f>HYPERLINK("http://service.sap.com/sap/support/notes/1498374","1498374")</f>
        <v>1498374</v>
      </c>
      <c r="E6663">
        <v>2</v>
      </c>
      <c r="F6663" t="s">
        <v>6538</v>
      </c>
    </row>
    <row r="6664" spans="1:6" x14ac:dyDescent="0.25">
      <c r="A6664" t="s">
        <v>6543</v>
      </c>
      <c r="B6664" t="s">
        <v>1361</v>
      </c>
      <c r="C6664" t="s">
        <v>1362</v>
      </c>
      <c r="D6664" t="str">
        <f>HYPERLINK("http://service.sap.com/sap/support/notes/1492238","1492238")</f>
        <v>1492238</v>
      </c>
      <c r="E6664">
        <v>1</v>
      </c>
      <c r="F6664" t="s">
        <v>1365</v>
      </c>
    </row>
    <row r="6665" spans="1:6" x14ac:dyDescent="0.25">
      <c r="A6665" t="s">
        <v>6543</v>
      </c>
      <c r="B6665" t="s">
        <v>543</v>
      </c>
      <c r="C6665" t="s">
        <v>544</v>
      </c>
    </row>
    <row r="6666" spans="1:6" x14ac:dyDescent="0.25">
      <c r="A6666" t="s">
        <v>6543</v>
      </c>
      <c r="B6666" t="s">
        <v>545</v>
      </c>
      <c r="C6666" t="s">
        <v>546</v>
      </c>
    </row>
    <row r="6667" spans="1:6" x14ac:dyDescent="0.25">
      <c r="A6667" t="s">
        <v>6543</v>
      </c>
      <c r="B6667" t="s">
        <v>6271</v>
      </c>
      <c r="C6667" t="s">
        <v>6272</v>
      </c>
    </row>
    <row r="6668" spans="1:6" x14ac:dyDescent="0.25">
      <c r="A6668" t="s">
        <v>6543</v>
      </c>
      <c r="B6668" t="s">
        <v>6273</v>
      </c>
      <c r="C6668" t="s">
        <v>6274</v>
      </c>
      <c r="D6668" t="str">
        <f>HYPERLINK("http://service.sap.com/sap/support/notes/1495234","1495234")</f>
        <v>1495234</v>
      </c>
      <c r="E6668">
        <v>1</v>
      </c>
      <c r="F6668" t="s">
        <v>6396</v>
      </c>
    </row>
    <row r="6669" spans="1:6" x14ac:dyDescent="0.25">
      <c r="A6669" t="s">
        <v>6543</v>
      </c>
      <c r="B6669" t="s">
        <v>5776</v>
      </c>
      <c r="C6669" t="s">
        <v>5777</v>
      </c>
    </row>
    <row r="6670" spans="1:6" x14ac:dyDescent="0.25">
      <c r="A6670" t="s">
        <v>6543</v>
      </c>
      <c r="B6670" t="s">
        <v>5778</v>
      </c>
      <c r="C6670" t="s">
        <v>5779</v>
      </c>
      <c r="D6670" t="str">
        <f>HYPERLINK("http://service.sap.com/sap/support/notes/1443145","1443145")</f>
        <v>1443145</v>
      </c>
      <c r="E6670">
        <v>1</v>
      </c>
      <c r="F6670" t="s">
        <v>5780</v>
      </c>
    </row>
    <row r="6671" spans="1:6" x14ac:dyDescent="0.25">
      <c r="A6671" t="s">
        <v>6543</v>
      </c>
      <c r="B6671" t="s">
        <v>5778</v>
      </c>
      <c r="C6671" t="s">
        <v>5779</v>
      </c>
      <c r="D6671" t="str">
        <f>HYPERLINK("http://service.sap.com/sap/support/notes/1503118","1503118")</f>
        <v>1503118</v>
      </c>
      <c r="E6671">
        <v>2</v>
      </c>
      <c r="F6671" t="s">
        <v>6539</v>
      </c>
    </row>
    <row r="6672" spans="1:6" x14ac:dyDescent="0.25">
      <c r="A6672" t="s">
        <v>6543</v>
      </c>
      <c r="B6672" t="s">
        <v>2560</v>
      </c>
      <c r="C6672" t="s">
        <v>2561</v>
      </c>
    </row>
    <row r="6673" spans="1:6" x14ac:dyDescent="0.25">
      <c r="A6673" t="s">
        <v>6543</v>
      </c>
      <c r="B6673" t="s">
        <v>6540</v>
      </c>
      <c r="C6673" t="s">
        <v>6541</v>
      </c>
      <c r="D6673" t="str">
        <f>HYPERLINK("http://service.sap.com/sap/support/notes/1499280","1499280")</f>
        <v>1499280</v>
      </c>
      <c r="E6673">
        <v>3</v>
      </c>
      <c r="F6673" t="s">
        <v>6542</v>
      </c>
    </row>
    <row r="6674" spans="1:6" x14ac:dyDescent="0.25">
      <c r="A6674" t="s">
        <v>6700</v>
      </c>
      <c r="B6674" t="s">
        <v>573</v>
      </c>
      <c r="C6674" t="s">
        <v>4037</v>
      </c>
    </row>
    <row r="6675" spans="1:6" x14ac:dyDescent="0.25">
      <c r="A6675" t="s">
        <v>6700</v>
      </c>
      <c r="B6675" t="s">
        <v>5789</v>
      </c>
      <c r="C6675" t="s">
        <v>5790</v>
      </c>
      <c r="D6675" t="str">
        <f>HYPERLINK("http://service.sap.com/sap/support/notes/1426713","1426713")</f>
        <v>1426713</v>
      </c>
      <c r="E6675">
        <v>1</v>
      </c>
      <c r="F6675" t="s">
        <v>5791</v>
      </c>
    </row>
    <row r="6676" spans="1:6" x14ac:dyDescent="0.25">
      <c r="A6676" t="s">
        <v>6700</v>
      </c>
      <c r="B6676" t="s">
        <v>4043</v>
      </c>
      <c r="C6676" t="s">
        <v>4044</v>
      </c>
    </row>
    <row r="6677" spans="1:6" x14ac:dyDescent="0.25">
      <c r="A6677" t="s">
        <v>6700</v>
      </c>
      <c r="B6677" t="s">
        <v>4045</v>
      </c>
      <c r="C6677" t="s">
        <v>4046</v>
      </c>
    </row>
    <row r="6678" spans="1:6" x14ac:dyDescent="0.25">
      <c r="A6678" t="s">
        <v>6700</v>
      </c>
      <c r="B6678" t="s">
        <v>4047</v>
      </c>
      <c r="C6678" t="s">
        <v>4048</v>
      </c>
      <c r="D6678" t="str">
        <f>HYPERLINK("http://service.sap.com/sap/support/notes/1481074","1481074")</f>
        <v>1481074</v>
      </c>
      <c r="E6678">
        <v>1</v>
      </c>
      <c r="F6678" t="s">
        <v>5793</v>
      </c>
    </row>
    <row r="6679" spans="1:6" x14ac:dyDescent="0.25">
      <c r="A6679" t="s">
        <v>6700</v>
      </c>
      <c r="B6679" t="s">
        <v>585</v>
      </c>
      <c r="C6679" t="s">
        <v>1443</v>
      </c>
    </row>
    <row r="6680" spans="1:6" x14ac:dyDescent="0.25">
      <c r="A6680" t="s">
        <v>6700</v>
      </c>
      <c r="B6680" t="s">
        <v>586</v>
      </c>
      <c r="C6680" t="s">
        <v>1444</v>
      </c>
    </row>
    <row r="6681" spans="1:6" x14ac:dyDescent="0.25">
      <c r="A6681" t="s">
        <v>6700</v>
      </c>
      <c r="B6681" t="s">
        <v>587</v>
      </c>
      <c r="C6681" t="s">
        <v>1445</v>
      </c>
    </row>
    <row r="6682" spans="1:6" x14ac:dyDescent="0.25">
      <c r="A6682" t="s">
        <v>6700</v>
      </c>
      <c r="B6682" t="s">
        <v>588</v>
      </c>
      <c r="C6682" t="s">
        <v>1446</v>
      </c>
      <c r="D6682" t="str">
        <f>HYPERLINK("http://service.sap.com/sap/support/notes/1488244","1488244")</f>
        <v>1488244</v>
      </c>
      <c r="E6682">
        <v>2</v>
      </c>
      <c r="F6682" t="s">
        <v>6402</v>
      </c>
    </row>
    <row r="6683" spans="1:6" x14ac:dyDescent="0.25">
      <c r="A6683" t="s">
        <v>6700</v>
      </c>
      <c r="B6683" t="s">
        <v>588</v>
      </c>
      <c r="C6683" t="s">
        <v>1446</v>
      </c>
      <c r="D6683" t="str">
        <f>HYPERLINK("http://service.sap.com/sap/support/notes/1517615","1517615")</f>
        <v>1517615</v>
      </c>
      <c r="E6683">
        <v>1</v>
      </c>
      <c r="F6683" t="s">
        <v>6544</v>
      </c>
    </row>
    <row r="6684" spans="1:6" x14ac:dyDescent="0.25">
      <c r="A6684" t="s">
        <v>6700</v>
      </c>
      <c r="B6684" t="s">
        <v>20</v>
      </c>
      <c r="C6684" t="s">
        <v>21</v>
      </c>
    </row>
    <row r="6685" spans="1:6" x14ac:dyDescent="0.25">
      <c r="A6685" t="s">
        <v>6700</v>
      </c>
      <c r="B6685" t="s">
        <v>22</v>
      </c>
      <c r="C6685" t="s">
        <v>23</v>
      </c>
      <c r="D6685" t="str">
        <f>HYPERLINK("http://service.sap.com/sap/support/notes/1228709","1228709")</f>
        <v>1228709</v>
      </c>
      <c r="E6685">
        <v>3</v>
      </c>
      <c r="F6685" t="s">
        <v>5798</v>
      </c>
    </row>
    <row r="6686" spans="1:6" x14ac:dyDescent="0.25">
      <c r="A6686" t="s">
        <v>6700</v>
      </c>
      <c r="B6686" t="s">
        <v>22</v>
      </c>
      <c r="C6686" t="s">
        <v>23</v>
      </c>
      <c r="D6686" t="str">
        <f>HYPERLINK("http://service.sap.com/sap/support/notes/1482239","1482239")</f>
        <v>1482239</v>
      </c>
      <c r="E6686">
        <v>2</v>
      </c>
      <c r="F6686" t="s">
        <v>6545</v>
      </c>
    </row>
    <row r="6687" spans="1:6" x14ac:dyDescent="0.25">
      <c r="A6687" t="s">
        <v>6700</v>
      </c>
      <c r="B6687" t="s">
        <v>22</v>
      </c>
      <c r="C6687" t="s">
        <v>23</v>
      </c>
      <c r="D6687" t="str">
        <f>HYPERLINK("http://service.sap.com/sap/support/notes/1512422","1512422")</f>
        <v>1512422</v>
      </c>
      <c r="E6687">
        <v>1</v>
      </c>
      <c r="F6687" t="s">
        <v>6546</v>
      </c>
    </row>
    <row r="6688" spans="1:6" x14ac:dyDescent="0.25">
      <c r="A6688" t="s">
        <v>6700</v>
      </c>
      <c r="B6688" t="s">
        <v>22</v>
      </c>
      <c r="C6688" t="s">
        <v>23</v>
      </c>
      <c r="D6688" t="str">
        <f>HYPERLINK("http://service.sap.com/sap/support/notes/1512542","1512542")</f>
        <v>1512542</v>
      </c>
      <c r="E6688">
        <v>1</v>
      </c>
      <c r="F6688" t="s">
        <v>6547</v>
      </c>
    </row>
    <row r="6689" spans="1:6" x14ac:dyDescent="0.25">
      <c r="A6689" t="s">
        <v>6700</v>
      </c>
      <c r="B6689" t="s">
        <v>22</v>
      </c>
      <c r="C6689" t="s">
        <v>23</v>
      </c>
      <c r="D6689" t="str">
        <f>HYPERLINK("http://service.sap.com/sap/support/notes/1512993","1512993")</f>
        <v>1512993</v>
      </c>
      <c r="E6689">
        <v>2</v>
      </c>
      <c r="F6689" t="s">
        <v>6548</v>
      </c>
    </row>
    <row r="6690" spans="1:6" x14ac:dyDescent="0.25">
      <c r="A6690" t="s">
        <v>6700</v>
      </c>
      <c r="B6690" t="s">
        <v>22</v>
      </c>
      <c r="C6690" t="s">
        <v>23</v>
      </c>
      <c r="D6690" t="str">
        <f>HYPERLINK("http://service.sap.com/sap/support/notes/1513824","1513824")</f>
        <v>1513824</v>
      </c>
      <c r="E6690">
        <v>1</v>
      </c>
      <c r="F6690" t="s">
        <v>6549</v>
      </c>
    </row>
    <row r="6691" spans="1:6" x14ac:dyDescent="0.25">
      <c r="A6691" t="s">
        <v>6700</v>
      </c>
      <c r="B6691" t="s">
        <v>22</v>
      </c>
      <c r="C6691" t="s">
        <v>23</v>
      </c>
      <c r="D6691" t="str">
        <f>HYPERLINK("http://service.sap.com/sap/support/notes/1514856","1514856")</f>
        <v>1514856</v>
      </c>
      <c r="E6691">
        <v>1</v>
      </c>
      <c r="F6691" t="s">
        <v>6550</v>
      </c>
    </row>
    <row r="6692" spans="1:6" x14ac:dyDescent="0.25">
      <c r="A6692" t="s">
        <v>6700</v>
      </c>
      <c r="B6692" t="s">
        <v>22</v>
      </c>
      <c r="C6692" t="s">
        <v>23</v>
      </c>
      <c r="D6692" t="str">
        <f>HYPERLINK("http://service.sap.com/sap/support/notes/1515394","1515394")</f>
        <v>1515394</v>
      </c>
      <c r="E6692">
        <v>1</v>
      </c>
      <c r="F6692" t="s">
        <v>6551</v>
      </c>
    </row>
    <row r="6693" spans="1:6" x14ac:dyDescent="0.25">
      <c r="A6693" t="s">
        <v>6700</v>
      </c>
      <c r="B6693" t="s">
        <v>22</v>
      </c>
      <c r="C6693" t="s">
        <v>23</v>
      </c>
      <c r="D6693" t="str">
        <f>HYPERLINK("http://service.sap.com/sap/support/notes/1518498","1518498")</f>
        <v>1518498</v>
      </c>
      <c r="E6693">
        <v>2</v>
      </c>
      <c r="F6693" t="s">
        <v>6552</v>
      </c>
    </row>
    <row r="6694" spans="1:6" x14ac:dyDescent="0.25">
      <c r="A6694" t="s">
        <v>6700</v>
      </c>
      <c r="B6694" t="s">
        <v>22</v>
      </c>
      <c r="C6694" t="s">
        <v>23</v>
      </c>
      <c r="D6694" t="str">
        <f>HYPERLINK("http://service.sap.com/sap/support/notes/1518976","1518976")</f>
        <v>1518976</v>
      </c>
      <c r="E6694">
        <v>1</v>
      </c>
      <c r="F6694" t="s">
        <v>6553</v>
      </c>
    </row>
    <row r="6695" spans="1:6" x14ac:dyDescent="0.25">
      <c r="A6695" t="s">
        <v>6700</v>
      </c>
      <c r="B6695" t="s">
        <v>22</v>
      </c>
      <c r="C6695" t="s">
        <v>23</v>
      </c>
      <c r="D6695" t="str">
        <f>HYPERLINK("http://service.sap.com/sap/support/notes/1519905","1519905")</f>
        <v>1519905</v>
      </c>
      <c r="E6695">
        <v>1</v>
      </c>
      <c r="F6695" t="s">
        <v>6554</v>
      </c>
    </row>
    <row r="6696" spans="1:6" x14ac:dyDescent="0.25">
      <c r="A6696" t="s">
        <v>6700</v>
      </c>
      <c r="B6696" t="s">
        <v>22</v>
      </c>
      <c r="C6696" t="s">
        <v>23</v>
      </c>
      <c r="D6696" t="str">
        <f>HYPERLINK("http://service.sap.com/sap/support/notes/1521806","1521806")</f>
        <v>1521806</v>
      </c>
      <c r="E6696">
        <v>1</v>
      </c>
      <c r="F6696" t="s">
        <v>6555</v>
      </c>
    </row>
    <row r="6697" spans="1:6" x14ac:dyDescent="0.25">
      <c r="A6697" t="s">
        <v>6700</v>
      </c>
      <c r="B6697" t="s">
        <v>24</v>
      </c>
      <c r="C6697" t="s">
        <v>25</v>
      </c>
      <c r="D6697" t="str">
        <f>HYPERLINK("http://service.sap.com/sap/support/notes/1106556","1106556")</f>
        <v>1106556</v>
      </c>
      <c r="E6697">
        <v>3</v>
      </c>
      <c r="F6697" t="s">
        <v>6556</v>
      </c>
    </row>
    <row r="6698" spans="1:6" x14ac:dyDescent="0.25">
      <c r="A6698" t="s">
        <v>6700</v>
      </c>
      <c r="B6698" t="s">
        <v>24</v>
      </c>
      <c r="C6698" t="s">
        <v>25</v>
      </c>
      <c r="D6698" t="str">
        <f>HYPERLINK("http://service.sap.com/sap/support/notes/1284280","1284280")</f>
        <v>1284280</v>
      </c>
      <c r="E6698">
        <v>3</v>
      </c>
      <c r="F6698" t="s">
        <v>26</v>
      </c>
    </row>
    <row r="6699" spans="1:6" x14ac:dyDescent="0.25">
      <c r="A6699" t="s">
        <v>6700</v>
      </c>
      <c r="B6699" t="s">
        <v>24</v>
      </c>
      <c r="C6699" t="s">
        <v>25</v>
      </c>
      <c r="D6699" t="str">
        <f>HYPERLINK("http://service.sap.com/sap/support/notes/1462378","1462378")</f>
        <v>1462378</v>
      </c>
      <c r="E6699">
        <v>2</v>
      </c>
      <c r="F6699" t="s">
        <v>5839</v>
      </c>
    </row>
    <row r="6700" spans="1:6" x14ac:dyDescent="0.25">
      <c r="A6700" t="s">
        <v>6700</v>
      </c>
      <c r="B6700" t="s">
        <v>24</v>
      </c>
      <c r="C6700" t="s">
        <v>25</v>
      </c>
      <c r="D6700" t="str">
        <f>HYPERLINK("http://service.sap.com/sap/support/notes/1510789","1510789")</f>
        <v>1510789</v>
      </c>
      <c r="E6700">
        <v>6</v>
      </c>
      <c r="F6700" t="s">
        <v>6434</v>
      </c>
    </row>
    <row r="6701" spans="1:6" x14ac:dyDescent="0.25">
      <c r="A6701" t="s">
        <v>6700</v>
      </c>
      <c r="B6701" t="s">
        <v>24</v>
      </c>
      <c r="C6701" t="s">
        <v>25</v>
      </c>
      <c r="D6701" t="str">
        <f>HYPERLINK("http://service.sap.com/sap/support/notes/1511305","1511305")</f>
        <v>1511305</v>
      </c>
      <c r="E6701">
        <v>1</v>
      </c>
      <c r="F6701" t="s">
        <v>6557</v>
      </c>
    </row>
    <row r="6702" spans="1:6" x14ac:dyDescent="0.25">
      <c r="A6702" t="s">
        <v>6700</v>
      </c>
      <c r="B6702" t="s">
        <v>24</v>
      </c>
      <c r="C6702" t="s">
        <v>25</v>
      </c>
      <c r="D6702" t="str">
        <f>HYPERLINK("http://service.sap.com/sap/support/notes/1512212","1512212")</f>
        <v>1512212</v>
      </c>
      <c r="E6702">
        <v>1</v>
      </c>
      <c r="F6702" t="s">
        <v>6558</v>
      </c>
    </row>
    <row r="6703" spans="1:6" x14ac:dyDescent="0.25">
      <c r="A6703" t="s">
        <v>6700</v>
      </c>
      <c r="B6703" t="s">
        <v>24</v>
      </c>
      <c r="C6703" t="s">
        <v>25</v>
      </c>
      <c r="D6703" t="str">
        <f>HYPERLINK("http://service.sap.com/sap/support/notes/1513279","1513279")</f>
        <v>1513279</v>
      </c>
      <c r="E6703">
        <v>2</v>
      </c>
      <c r="F6703" t="s">
        <v>6559</v>
      </c>
    </row>
    <row r="6704" spans="1:6" x14ac:dyDescent="0.25">
      <c r="A6704" t="s">
        <v>6700</v>
      </c>
      <c r="B6704" t="s">
        <v>24</v>
      </c>
      <c r="C6704" t="s">
        <v>25</v>
      </c>
      <c r="D6704" t="str">
        <f>HYPERLINK("http://service.sap.com/sap/support/notes/1513830","1513830")</f>
        <v>1513830</v>
      </c>
      <c r="E6704">
        <v>1</v>
      </c>
      <c r="F6704" t="s">
        <v>6560</v>
      </c>
    </row>
    <row r="6705" spans="1:6" x14ac:dyDescent="0.25">
      <c r="A6705" t="s">
        <v>6700</v>
      </c>
      <c r="B6705" t="s">
        <v>24</v>
      </c>
      <c r="C6705" t="s">
        <v>25</v>
      </c>
      <c r="D6705" t="str">
        <f>HYPERLINK("http://service.sap.com/sap/support/notes/1514353","1514353")</f>
        <v>1514353</v>
      </c>
      <c r="E6705">
        <v>2</v>
      </c>
      <c r="F6705" t="s">
        <v>6561</v>
      </c>
    </row>
    <row r="6706" spans="1:6" x14ac:dyDescent="0.25">
      <c r="A6706" t="s">
        <v>6700</v>
      </c>
      <c r="B6706" t="s">
        <v>24</v>
      </c>
      <c r="C6706" t="s">
        <v>25</v>
      </c>
      <c r="D6706" t="str">
        <f>HYPERLINK("http://service.sap.com/sap/support/notes/1514422","1514422")</f>
        <v>1514422</v>
      </c>
      <c r="E6706">
        <v>1</v>
      </c>
      <c r="F6706" t="s">
        <v>6562</v>
      </c>
    </row>
    <row r="6707" spans="1:6" x14ac:dyDescent="0.25">
      <c r="A6707" t="s">
        <v>6700</v>
      </c>
      <c r="B6707" t="s">
        <v>24</v>
      </c>
      <c r="C6707" t="s">
        <v>25</v>
      </c>
      <c r="D6707" t="str">
        <f>HYPERLINK("http://service.sap.com/sap/support/notes/1514853","1514853")</f>
        <v>1514853</v>
      </c>
      <c r="E6707">
        <v>1</v>
      </c>
      <c r="F6707" t="s">
        <v>6563</v>
      </c>
    </row>
    <row r="6708" spans="1:6" x14ac:dyDescent="0.25">
      <c r="A6708" t="s">
        <v>6700</v>
      </c>
      <c r="B6708" t="s">
        <v>24</v>
      </c>
      <c r="C6708" t="s">
        <v>25</v>
      </c>
      <c r="D6708" t="str">
        <f>HYPERLINK("http://service.sap.com/sap/support/notes/1515386","1515386")</f>
        <v>1515386</v>
      </c>
      <c r="E6708">
        <v>1</v>
      </c>
      <c r="F6708" t="s">
        <v>6564</v>
      </c>
    </row>
    <row r="6709" spans="1:6" x14ac:dyDescent="0.25">
      <c r="A6709" t="s">
        <v>6700</v>
      </c>
      <c r="B6709" t="s">
        <v>24</v>
      </c>
      <c r="C6709" t="s">
        <v>25</v>
      </c>
      <c r="D6709" t="str">
        <f>HYPERLINK("http://service.sap.com/sap/support/notes/1515667","1515667")</f>
        <v>1515667</v>
      </c>
      <c r="E6709">
        <v>2</v>
      </c>
      <c r="F6709" t="s">
        <v>6565</v>
      </c>
    </row>
    <row r="6710" spans="1:6" x14ac:dyDescent="0.25">
      <c r="A6710" t="s">
        <v>6700</v>
      </c>
      <c r="B6710" t="s">
        <v>24</v>
      </c>
      <c r="C6710" t="s">
        <v>25</v>
      </c>
      <c r="D6710" t="str">
        <f>HYPERLINK("http://service.sap.com/sap/support/notes/1515805","1515805")</f>
        <v>1515805</v>
      </c>
      <c r="E6710">
        <v>1</v>
      </c>
      <c r="F6710" t="s">
        <v>6566</v>
      </c>
    </row>
    <row r="6711" spans="1:6" x14ac:dyDescent="0.25">
      <c r="A6711" t="s">
        <v>6700</v>
      </c>
      <c r="B6711" t="s">
        <v>24</v>
      </c>
      <c r="C6711" t="s">
        <v>25</v>
      </c>
      <c r="D6711" t="str">
        <f>HYPERLINK("http://service.sap.com/sap/support/notes/1515944","1515944")</f>
        <v>1515944</v>
      </c>
      <c r="E6711">
        <v>1</v>
      </c>
      <c r="F6711" t="s">
        <v>6567</v>
      </c>
    </row>
    <row r="6712" spans="1:6" x14ac:dyDescent="0.25">
      <c r="A6712" t="s">
        <v>6700</v>
      </c>
      <c r="B6712" t="s">
        <v>24</v>
      </c>
      <c r="C6712" t="s">
        <v>25</v>
      </c>
      <c r="D6712" t="str">
        <f>HYPERLINK("http://service.sap.com/sap/support/notes/1516161","1516161")</f>
        <v>1516161</v>
      </c>
      <c r="E6712">
        <v>1</v>
      </c>
      <c r="F6712" t="s">
        <v>6568</v>
      </c>
    </row>
    <row r="6713" spans="1:6" x14ac:dyDescent="0.25">
      <c r="A6713" t="s">
        <v>6700</v>
      </c>
      <c r="B6713" t="s">
        <v>24</v>
      </c>
      <c r="C6713" t="s">
        <v>25</v>
      </c>
      <c r="D6713" t="str">
        <f>HYPERLINK("http://service.sap.com/sap/support/notes/1516229","1516229")</f>
        <v>1516229</v>
      </c>
      <c r="E6713">
        <v>1</v>
      </c>
      <c r="F6713" t="s">
        <v>6569</v>
      </c>
    </row>
    <row r="6714" spans="1:6" x14ac:dyDescent="0.25">
      <c r="A6714" t="s">
        <v>6700</v>
      </c>
      <c r="B6714" t="s">
        <v>24</v>
      </c>
      <c r="C6714" t="s">
        <v>25</v>
      </c>
      <c r="D6714" t="str">
        <f>HYPERLINK("http://service.sap.com/sap/support/notes/1516334","1516334")</f>
        <v>1516334</v>
      </c>
      <c r="E6714">
        <v>1</v>
      </c>
      <c r="F6714" t="s">
        <v>6570</v>
      </c>
    </row>
    <row r="6715" spans="1:6" x14ac:dyDescent="0.25">
      <c r="A6715" t="s">
        <v>6700</v>
      </c>
      <c r="B6715" t="s">
        <v>24</v>
      </c>
      <c r="C6715" t="s">
        <v>25</v>
      </c>
      <c r="D6715" t="str">
        <f>HYPERLINK("http://service.sap.com/sap/support/notes/1516459","1516459")</f>
        <v>1516459</v>
      </c>
      <c r="E6715">
        <v>2</v>
      </c>
      <c r="F6715" t="s">
        <v>6571</v>
      </c>
    </row>
    <row r="6716" spans="1:6" x14ac:dyDescent="0.25">
      <c r="A6716" t="s">
        <v>6700</v>
      </c>
      <c r="B6716" t="s">
        <v>24</v>
      </c>
      <c r="C6716" t="s">
        <v>25</v>
      </c>
      <c r="D6716" t="str">
        <f>HYPERLINK("http://service.sap.com/sap/support/notes/1516865","1516865")</f>
        <v>1516865</v>
      </c>
      <c r="E6716">
        <v>2</v>
      </c>
      <c r="F6716" t="s">
        <v>6572</v>
      </c>
    </row>
    <row r="6717" spans="1:6" x14ac:dyDescent="0.25">
      <c r="A6717" t="s">
        <v>6700</v>
      </c>
      <c r="B6717" t="s">
        <v>24</v>
      </c>
      <c r="C6717" t="s">
        <v>25</v>
      </c>
      <c r="D6717" t="str">
        <f>HYPERLINK("http://service.sap.com/sap/support/notes/1517347","1517347")</f>
        <v>1517347</v>
      </c>
      <c r="E6717">
        <v>1</v>
      </c>
      <c r="F6717" t="s">
        <v>6573</v>
      </c>
    </row>
    <row r="6718" spans="1:6" x14ac:dyDescent="0.25">
      <c r="A6718" t="s">
        <v>6700</v>
      </c>
      <c r="B6718" t="s">
        <v>24</v>
      </c>
      <c r="C6718" t="s">
        <v>25</v>
      </c>
      <c r="D6718" t="str">
        <f>HYPERLINK("http://service.sap.com/sap/support/notes/1517879","1517879")</f>
        <v>1517879</v>
      </c>
      <c r="E6718">
        <v>1</v>
      </c>
      <c r="F6718" t="s">
        <v>6574</v>
      </c>
    </row>
    <row r="6719" spans="1:6" x14ac:dyDescent="0.25">
      <c r="A6719" t="s">
        <v>6700</v>
      </c>
      <c r="B6719" t="s">
        <v>24</v>
      </c>
      <c r="C6719" t="s">
        <v>25</v>
      </c>
      <c r="D6719" t="str">
        <f>HYPERLINK("http://service.sap.com/sap/support/notes/1517927","1517927")</f>
        <v>1517927</v>
      </c>
      <c r="E6719">
        <v>1</v>
      </c>
      <c r="F6719" t="s">
        <v>6575</v>
      </c>
    </row>
    <row r="6720" spans="1:6" x14ac:dyDescent="0.25">
      <c r="A6720" t="s">
        <v>6700</v>
      </c>
      <c r="B6720" t="s">
        <v>24</v>
      </c>
      <c r="C6720" t="s">
        <v>25</v>
      </c>
      <c r="D6720" t="str">
        <f>HYPERLINK("http://service.sap.com/sap/support/notes/1519037","1519037")</f>
        <v>1519037</v>
      </c>
      <c r="E6720">
        <v>1</v>
      </c>
      <c r="F6720" t="s">
        <v>6576</v>
      </c>
    </row>
    <row r="6721" spans="1:6" x14ac:dyDescent="0.25">
      <c r="A6721" t="s">
        <v>6700</v>
      </c>
      <c r="B6721" t="s">
        <v>24</v>
      </c>
      <c r="C6721" t="s">
        <v>25</v>
      </c>
      <c r="D6721" t="str">
        <f>HYPERLINK("http://service.sap.com/sap/support/notes/1519713","1519713")</f>
        <v>1519713</v>
      </c>
      <c r="E6721">
        <v>1</v>
      </c>
      <c r="F6721" t="s">
        <v>6577</v>
      </c>
    </row>
    <row r="6722" spans="1:6" x14ac:dyDescent="0.25">
      <c r="A6722" t="s">
        <v>6700</v>
      </c>
      <c r="B6722" t="s">
        <v>24</v>
      </c>
      <c r="C6722" t="s">
        <v>25</v>
      </c>
      <c r="D6722" t="str">
        <f>HYPERLINK("http://service.sap.com/sap/support/notes/1520530","1520530")</f>
        <v>1520530</v>
      </c>
      <c r="E6722">
        <v>1</v>
      </c>
      <c r="F6722" t="s">
        <v>6578</v>
      </c>
    </row>
    <row r="6723" spans="1:6" x14ac:dyDescent="0.25">
      <c r="A6723" t="s">
        <v>6700</v>
      </c>
      <c r="B6723" t="s">
        <v>24</v>
      </c>
      <c r="C6723" t="s">
        <v>25</v>
      </c>
      <c r="D6723" t="str">
        <f>HYPERLINK("http://service.sap.com/sap/support/notes/1520533","1520533")</f>
        <v>1520533</v>
      </c>
      <c r="E6723">
        <v>1</v>
      </c>
      <c r="F6723" t="s">
        <v>6579</v>
      </c>
    </row>
    <row r="6724" spans="1:6" x14ac:dyDescent="0.25">
      <c r="A6724" t="s">
        <v>6700</v>
      </c>
      <c r="B6724" t="s">
        <v>24</v>
      </c>
      <c r="C6724" t="s">
        <v>25</v>
      </c>
      <c r="D6724" t="str">
        <f>HYPERLINK("http://service.sap.com/sap/support/notes/1521524","1521524")</f>
        <v>1521524</v>
      </c>
      <c r="E6724">
        <v>2</v>
      </c>
      <c r="F6724" t="s">
        <v>6580</v>
      </c>
    </row>
    <row r="6725" spans="1:6" x14ac:dyDescent="0.25">
      <c r="A6725" t="s">
        <v>6700</v>
      </c>
      <c r="B6725" t="s">
        <v>24</v>
      </c>
      <c r="C6725" t="s">
        <v>25</v>
      </c>
      <c r="D6725" t="str">
        <f>HYPERLINK("http://service.sap.com/sap/support/notes/1521897","1521897")</f>
        <v>1521897</v>
      </c>
      <c r="E6725">
        <v>2</v>
      </c>
      <c r="F6725" t="s">
        <v>6581</v>
      </c>
    </row>
    <row r="6726" spans="1:6" x14ac:dyDescent="0.25">
      <c r="A6726" t="s">
        <v>6700</v>
      </c>
      <c r="B6726" t="s">
        <v>4074</v>
      </c>
      <c r="C6726" t="s">
        <v>4075</v>
      </c>
      <c r="D6726" t="str">
        <f>HYPERLINK("http://service.sap.com/sap/support/notes/1480384","1480384")</f>
        <v>1480384</v>
      </c>
      <c r="E6726">
        <v>3</v>
      </c>
      <c r="F6726" t="s">
        <v>6440</v>
      </c>
    </row>
    <row r="6727" spans="1:6" x14ac:dyDescent="0.25">
      <c r="A6727" t="s">
        <v>6700</v>
      </c>
      <c r="B6727" t="s">
        <v>4074</v>
      </c>
      <c r="C6727" t="s">
        <v>4075</v>
      </c>
      <c r="D6727" t="str">
        <f>HYPERLINK("http://service.sap.com/sap/support/notes/1500504","1500504")</f>
        <v>1500504</v>
      </c>
      <c r="E6727">
        <v>1</v>
      </c>
      <c r="F6727" t="s">
        <v>6582</v>
      </c>
    </row>
    <row r="6728" spans="1:6" x14ac:dyDescent="0.25">
      <c r="A6728" t="s">
        <v>6700</v>
      </c>
      <c r="B6728" t="s">
        <v>4074</v>
      </c>
      <c r="C6728" t="s">
        <v>4075</v>
      </c>
      <c r="D6728" t="str">
        <f>HYPERLINK("http://service.sap.com/sap/support/notes/1507136","1507136")</f>
        <v>1507136</v>
      </c>
      <c r="E6728">
        <v>2</v>
      </c>
      <c r="F6728" t="s">
        <v>6583</v>
      </c>
    </row>
    <row r="6729" spans="1:6" x14ac:dyDescent="0.25">
      <c r="A6729" t="s">
        <v>6700</v>
      </c>
      <c r="B6729" t="s">
        <v>4074</v>
      </c>
      <c r="C6729" t="s">
        <v>4075</v>
      </c>
      <c r="D6729" t="str">
        <f>HYPERLINK("http://service.sap.com/sap/support/notes/1510906","1510906")</f>
        <v>1510906</v>
      </c>
      <c r="E6729">
        <v>2</v>
      </c>
      <c r="F6729" t="s">
        <v>6584</v>
      </c>
    </row>
    <row r="6730" spans="1:6" x14ac:dyDescent="0.25">
      <c r="A6730" t="s">
        <v>6700</v>
      </c>
      <c r="B6730" t="s">
        <v>4074</v>
      </c>
      <c r="C6730" t="s">
        <v>4075</v>
      </c>
      <c r="D6730" t="str">
        <f>HYPERLINK("http://service.sap.com/sap/support/notes/1513298","1513298")</f>
        <v>1513298</v>
      </c>
      <c r="E6730">
        <v>2</v>
      </c>
      <c r="F6730" t="s">
        <v>6585</v>
      </c>
    </row>
    <row r="6731" spans="1:6" x14ac:dyDescent="0.25">
      <c r="A6731" t="s">
        <v>6700</v>
      </c>
      <c r="B6731" t="s">
        <v>4074</v>
      </c>
      <c r="C6731" t="s">
        <v>4075</v>
      </c>
      <c r="D6731" t="str">
        <f>HYPERLINK("http://service.sap.com/sap/support/notes/1516398","1516398")</f>
        <v>1516398</v>
      </c>
      <c r="E6731">
        <v>1</v>
      </c>
      <c r="F6731" t="s">
        <v>6586</v>
      </c>
    </row>
    <row r="6732" spans="1:6" x14ac:dyDescent="0.25">
      <c r="A6732" t="s">
        <v>6700</v>
      </c>
      <c r="B6732" t="s">
        <v>4074</v>
      </c>
      <c r="C6732" t="s">
        <v>4075</v>
      </c>
      <c r="D6732" t="str">
        <f>HYPERLINK("http://service.sap.com/sap/support/notes/1517321","1517321")</f>
        <v>1517321</v>
      </c>
      <c r="E6732">
        <v>1</v>
      </c>
      <c r="F6732" t="s">
        <v>6587</v>
      </c>
    </row>
    <row r="6733" spans="1:6" x14ac:dyDescent="0.25">
      <c r="A6733" t="s">
        <v>6700</v>
      </c>
      <c r="B6733" t="s">
        <v>4074</v>
      </c>
      <c r="C6733" t="s">
        <v>4075</v>
      </c>
      <c r="D6733" t="str">
        <f>HYPERLINK("http://service.sap.com/sap/support/notes/1518209","1518209")</f>
        <v>1518209</v>
      </c>
      <c r="E6733">
        <v>2</v>
      </c>
      <c r="F6733" t="s">
        <v>6588</v>
      </c>
    </row>
    <row r="6734" spans="1:6" x14ac:dyDescent="0.25">
      <c r="A6734" t="s">
        <v>6700</v>
      </c>
      <c r="B6734" t="s">
        <v>4074</v>
      </c>
      <c r="C6734" t="s">
        <v>4075</v>
      </c>
      <c r="D6734" t="str">
        <f>HYPERLINK("http://service.sap.com/sap/support/notes/1518375","1518375")</f>
        <v>1518375</v>
      </c>
      <c r="E6734">
        <v>1</v>
      </c>
      <c r="F6734" t="s">
        <v>6589</v>
      </c>
    </row>
    <row r="6735" spans="1:6" x14ac:dyDescent="0.25">
      <c r="A6735" t="s">
        <v>6700</v>
      </c>
      <c r="B6735" t="s">
        <v>4074</v>
      </c>
      <c r="C6735" t="s">
        <v>4075</v>
      </c>
      <c r="D6735" t="str">
        <f>HYPERLINK("http://service.sap.com/sap/support/notes/1519799","1519799")</f>
        <v>1519799</v>
      </c>
      <c r="E6735">
        <v>3</v>
      </c>
      <c r="F6735" t="s">
        <v>6590</v>
      </c>
    </row>
    <row r="6736" spans="1:6" x14ac:dyDescent="0.25">
      <c r="A6736" t="s">
        <v>6700</v>
      </c>
      <c r="B6736" t="s">
        <v>4074</v>
      </c>
      <c r="C6736" t="s">
        <v>4075</v>
      </c>
      <c r="D6736" t="str">
        <f>HYPERLINK("http://service.sap.com/sap/support/notes/1520285","1520285")</f>
        <v>1520285</v>
      </c>
      <c r="E6736">
        <v>1</v>
      </c>
      <c r="F6736" t="s">
        <v>6591</v>
      </c>
    </row>
    <row r="6737" spans="1:6" x14ac:dyDescent="0.25">
      <c r="A6737" t="s">
        <v>6700</v>
      </c>
      <c r="B6737" t="s">
        <v>4081</v>
      </c>
      <c r="C6737" t="s">
        <v>4082</v>
      </c>
      <c r="D6737" t="str">
        <f>HYPERLINK("http://service.sap.com/sap/support/notes/1510194","1510194")</f>
        <v>1510194</v>
      </c>
      <c r="E6737">
        <v>1</v>
      </c>
      <c r="F6737" t="s">
        <v>6592</v>
      </c>
    </row>
    <row r="6738" spans="1:6" x14ac:dyDescent="0.25">
      <c r="A6738" t="s">
        <v>6700</v>
      </c>
      <c r="B6738" t="s">
        <v>4081</v>
      </c>
      <c r="C6738" t="s">
        <v>4082</v>
      </c>
      <c r="D6738" t="str">
        <f>HYPERLINK("http://service.sap.com/sap/support/notes/1513376","1513376")</f>
        <v>1513376</v>
      </c>
      <c r="E6738">
        <v>2</v>
      </c>
      <c r="F6738" t="s">
        <v>6593</v>
      </c>
    </row>
    <row r="6739" spans="1:6" x14ac:dyDescent="0.25">
      <c r="A6739" t="s">
        <v>6700</v>
      </c>
      <c r="B6739" t="s">
        <v>4081</v>
      </c>
      <c r="C6739" t="s">
        <v>4082</v>
      </c>
      <c r="D6739" t="str">
        <f>HYPERLINK("http://service.sap.com/sap/support/notes/1517750","1517750")</f>
        <v>1517750</v>
      </c>
      <c r="E6739">
        <v>1</v>
      </c>
      <c r="F6739" t="s">
        <v>6594</v>
      </c>
    </row>
    <row r="6740" spans="1:6" x14ac:dyDescent="0.25">
      <c r="A6740" t="s">
        <v>6700</v>
      </c>
      <c r="B6740" t="s">
        <v>4081</v>
      </c>
      <c r="C6740" t="s">
        <v>4082</v>
      </c>
      <c r="D6740" t="str">
        <f>HYPERLINK("http://service.sap.com/sap/support/notes/1519033","1519033")</f>
        <v>1519033</v>
      </c>
      <c r="E6740">
        <v>1</v>
      </c>
      <c r="F6740" t="s">
        <v>6595</v>
      </c>
    </row>
    <row r="6741" spans="1:6" x14ac:dyDescent="0.25">
      <c r="A6741" t="s">
        <v>6700</v>
      </c>
      <c r="B6741" t="s">
        <v>4081</v>
      </c>
      <c r="C6741" t="s">
        <v>4082</v>
      </c>
      <c r="D6741" t="str">
        <f>HYPERLINK("http://service.sap.com/sap/support/notes/1520242","1520242")</f>
        <v>1520242</v>
      </c>
      <c r="E6741">
        <v>3</v>
      </c>
      <c r="F6741" t="s">
        <v>6596</v>
      </c>
    </row>
    <row r="6742" spans="1:6" x14ac:dyDescent="0.25">
      <c r="A6742" t="s">
        <v>6700</v>
      </c>
      <c r="B6742" t="s">
        <v>4081</v>
      </c>
      <c r="C6742" t="s">
        <v>4082</v>
      </c>
      <c r="D6742" t="str">
        <f>HYPERLINK("http://service.sap.com/sap/support/notes/1521295","1521295")</f>
        <v>1521295</v>
      </c>
      <c r="E6742">
        <v>3</v>
      </c>
      <c r="F6742" t="s">
        <v>6597</v>
      </c>
    </row>
    <row r="6743" spans="1:6" x14ac:dyDescent="0.25">
      <c r="A6743" t="s">
        <v>6700</v>
      </c>
      <c r="B6743" t="s">
        <v>6598</v>
      </c>
      <c r="C6743" t="s">
        <v>6599</v>
      </c>
    </row>
    <row r="6744" spans="1:6" x14ac:dyDescent="0.25">
      <c r="A6744" t="s">
        <v>6700</v>
      </c>
      <c r="B6744" t="s">
        <v>6600</v>
      </c>
      <c r="C6744" t="s">
        <v>6601</v>
      </c>
    </row>
    <row r="6745" spans="1:6" x14ac:dyDescent="0.25">
      <c r="A6745" t="s">
        <v>6700</v>
      </c>
      <c r="B6745" t="s">
        <v>6602</v>
      </c>
      <c r="C6745" t="s">
        <v>6603</v>
      </c>
      <c r="D6745" t="str">
        <f>HYPERLINK("http://service.sap.com/sap/support/notes/1510116","1510116")</f>
        <v>1510116</v>
      </c>
      <c r="E6745">
        <v>1</v>
      </c>
      <c r="F6745" t="s">
        <v>6604</v>
      </c>
    </row>
    <row r="6746" spans="1:6" x14ac:dyDescent="0.25">
      <c r="A6746" t="s">
        <v>6700</v>
      </c>
      <c r="B6746" t="s">
        <v>27</v>
      </c>
      <c r="C6746" t="s">
        <v>13</v>
      </c>
    </row>
    <row r="6747" spans="1:6" x14ac:dyDescent="0.25">
      <c r="A6747" t="s">
        <v>6700</v>
      </c>
      <c r="B6747" t="s">
        <v>4091</v>
      </c>
      <c r="C6747" t="s">
        <v>4092</v>
      </c>
      <c r="D6747" t="str">
        <f>HYPERLINK("http://service.sap.com/sap/support/notes/1437251","1437251")</f>
        <v>1437251</v>
      </c>
      <c r="E6747">
        <v>3</v>
      </c>
      <c r="F6747" t="s">
        <v>5619</v>
      </c>
    </row>
    <row r="6748" spans="1:6" x14ac:dyDescent="0.25">
      <c r="A6748" t="s">
        <v>6700</v>
      </c>
      <c r="B6748" t="s">
        <v>4091</v>
      </c>
      <c r="C6748" t="s">
        <v>4092</v>
      </c>
      <c r="D6748" t="str">
        <f>HYPERLINK("http://service.sap.com/sap/support/notes/1511998","1511998")</f>
        <v>1511998</v>
      </c>
      <c r="E6748">
        <v>1</v>
      </c>
      <c r="F6748" t="s">
        <v>6466</v>
      </c>
    </row>
    <row r="6749" spans="1:6" x14ac:dyDescent="0.25">
      <c r="A6749" t="s">
        <v>6700</v>
      </c>
      <c r="B6749" t="s">
        <v>4091</v>
      </c>
      <c r="C6749" t="s">
        <v>4092</v>
      </c>
      <c r="D6749" t="str">
        <f>HYPERLINK("http://service.sap.com/sap/support/notes/1514483","1514483")</f>
        <v>1514483</v>
      </c>
      <c r="E6749">
        <v>1</v>
      </c>
      <c r="F6749" t="s">
        <v>6605</v>
      </c>
    </row>
    <row r="6750" spans="1:6" x14ac:dyDescent="0.25">
      <c r="A6750" t="s">
        <v>6700</v>
      </c>
      <c r="B6750" t="s">
        <v>4091</v>
      </c>
      <c r="C6750" t="s">
        <v>4092</v>
      </c>
      <c r="D6750" t="str">
        <f>HYPERLINK("http://service.sap.com/sap/support/notes/1516697","1516697")</f>
        <v>1516697</v>
      </c>
      <c r="E6750">
        <v>1</v>
      </c>
      <c r="F6750" t="s">
        <v>6606</v>
      </c>
    </row>
    <row r="6751" spans="1:6" x14ac:dyDescent="0.25">
      <c r="A6751" t="s">
        <v>6700</v>
      </c>
      <c r="B6751" t="s">
        <v>4091</v>
      </c>
      <c r="C6751" t="s">
        <v>4092</v>
      </c>
      <c r="D6751" t="str">
        <f>HYPERLINK("http://service.sap.com/sap/support/notes/1518115","1518115")</f>
        <v>1518115</v>
      </c>
      <c r="E6751">
        <v>2</v>
      </c>
      <c r="F6751" t="s">
        <v>6607</v>
      </c>
    </row>
    <row r="6752" spans="1:6" x14ac:dyDescent="0.25">
      <c r="A6752" t="s">
        <v>6700</v>
      </c>
      <c r="B6752" t="s">
        <v>4091</v>
      </c>
      <c r="C6752" t="s">
        <v>4092</v>
      </c>
      <c r="D6752" t="str">
        <f>HYPERLINK("http://service.sap.com/sap/support/notes/1521833","1521833")</f>
        <v>1521833</v>
      </c>
      <c r="E6752">
        <v>1</v>
      </c>
      <c r="F6752" t="s">
        <v>6608</v>
      </c>
    </row>
    <row r="6753" spans="1:6" x14ac:dyDescent="0.25">
      <c r="A6753" t="s">
        <v>6700</v>
      </c>
      <c r="B6753" t="s">
        <v>2161</v>
      </c>
      <c r="C6753" t="s">
        <v>2162</v>
      </c>
      <c r="D6753" t="str">
        <f>HYPERLINK("http://service.sap.com/sap/support/notes/1506751","1506751")</f>
        <v>1506751</v>
      </c>
      <c r="E6753">
        <v>2</v>
      </c>
      <c r="F6753" t="s">
        <v>6609</v>
      </c>
    </row>
    <row r="6754" spans="1:6" x14ac:dyDescent="0.25">
      <c r="A6754" t="s">
        <v>6700</v>
      </c>
      <c r="B6754" t="s">
        <v>2161</v>
      </c>
      <c r="C6754" t="s">
        <v>2162</v>
      </c>
      <c r="D6754" t="str">
        <f>HYPERLINK("http://service.sap.com/sap/support/notes/1512929","1512929")</f>
        <v>1512929</v>
      </c>
      <c r="E6754">
        <v>1</v>
      </c>
      <c r="F6754" t="s">
        <v>6610</v>
      </c>
    </row>
    <row r="6755" spans="1:6" x14ac:dyDescent="0.25">
      <c r="A6755" t="s">
        <v>6700</v>
      </c>
      <c r="B6755" t="s">
        <v>2161</v>
      </c>
      <c r="C6755" t="s">
        <v>2162</v>
      </c>
      <c r="D6755" t="str">
        <f>HYPERLINK("http://service.sap.com/sap/support/notes/1513045","1513045")</f>
        <v>1513045</v>
      </c>
      <c r="E6755">
        <v>1</v>
      </c>
      <c r="F6755" t="s">
        <v>6611</v>
      </c>
    </row>
    <row r="6756" spans="1:6" x14ac:dyDescent="0.25">
      <c r="A6756" t="s">
        <v>6700</v>
      </c>
      <c r="B6756" t="s">
        <v>2161</v>
      </c>
      <c r="C6756" t="s">
        <v>2162</v>
      </c>
      <c r="D6756" t="str">
        <f>HYPERLINK("http://service.sap.com/sap/support/notes/1517440","1517440")</f>
        <v>1517440</v>
      </c>
      <c r="E6756">
        <v>1</v>
      </c>
      <c r="F6756" t="s">
        <v>6612</v>
      </c>
    </row>
    <row r="6757" spans="1:6" x14ac:dyDescent="0.25">
      <c r="A6757" t="s">
        <v>6700</v>
      </c>
      <c r="B6757" t="s">
        <v>2161</v>
      </c>
      <c r="C6757" t="s">
        <v>2162</v>
      </c>
      <c r="D6757" t="str">
        <f>HYPERLINK("http://service.sap.com/sap/support/notes/1521352","1521352")</f>
        <v>1521352</v>
      </c>
      <c r="E6757">
        <v>1</v>
      </c>
      <c r="F6757" t="s">
        <v>6613</v>
      </c>
    </row>
    <row r="6758" spans="1:6" x14ac:dyDescent="0.25">
      <c r="A6758" t="s">
        <v>6700</v>
      </c>
      <c r="B6758" t="s">
        <v>4105</v>
      </c>
      <c r="C6758" t="s">
        <v>4106</v>
      </c>
      <c r="D6758" t="str">
        <f>HYPERLINK("http://service.sap.com/sap/support/notes/1487504","1487504")</f>
        <v>1487504</v>
      </c>
      <c r="E6758">
        <v>1</v>
      </c>
      <c r="F6758" t="s">
        <v>6614</v>
      </c>
    </row>
    <row r="6759" spans="1:6" x14ac:dyDescent="0.25">
      <c r="A6759" t="s">
        <v>6700</v>
      </c>
      <c r="B6759" t="s">
        <v>4105</v>
      </c>
      <c r="C6759" t="s">
        <v>4106</v>
      </c>
      <c r="D6759" t="str">
        <f>HYPERLINK("http://service.sap.com/sap/support/notes/1492907","1492907")</f>
        <v>1492907</v>
      </c>
      <c r="E6759">
        <v>2</v>
      </c>
      <c r="F6759" t="s">
        <v>6328</v>
      </c>
    </row>
    <row r="6760" spans="1:6" x14ac:dyDescent="0.25">
      <c r="A6760" t="s">
        <v>6700</v>
      </c>
      <c r="B6760" t="s">
        <v>4105</v>
      </c>
      <c r="C6760" t="s">
        <v>4106</v>
      </c>
      <c r="D6760" t="str">
        <f>HYPERLINK("http://service.sap.com/sap/support/notes/1508833","1508833")</f>
        <v>1508833</v>
      </c>
      <c r="E6760">
        <v>1</v>
      </c>
      <c r="F6760" t="s">
        <v>6615</v>
      </c>
    </row>
    <row r="6761" spans="1:6" x14ac:dyDescent="0.25">
      <c r="A6761" t="s">
        <v>6700</v>
      </c>
      <c r="B6761" t="s">
        <v>4105</v>
      </c>
      <c r="C6761" t="s">
        <v>4106</v>
      </c>
      <c r="D6761" t="str">
        <f>HYPERLINK("http://service.sap.com/sap/support/notes/1509706","1509706")</f>
        <v>1509706</v>
      </c>
      <c r="E6761">
        <v>2</v>
      </c>
      <c r="F6761" t="s">
        <v>6616</v>
      </c>
    </row>
    <row r="6762" spans="1:6" x14ac:dyDescent="0.25">
      <c r="A6762" t="s">
        <v>6700</v>
      </c>
      <c r="B6762" t="s">
        <v>4105</v>
      </c>
      <c r="C6762" t="s">
        <v>4106</v>
      </c>
      <c r="D6762" t="str">
        <f>HYPERLINK("http://service.sap.com/sap/support/notes/1509707","1509707")</f>
        <v>1509707</v>
      </c>
      <c r="E6762">
        <v>2</v>
      </c>
      <c r="F6762" t="s">
        <v>6617</v>
      </c>
    </row>
    <row r="6763" spans="1:6" x14ac:dyDescent="0.25">
      <c r="A6763" t="s">
        <v>6700</v>
      </c>
      <c r="B6763" t="s">
        <v>4105</v>
      </c>
      <c r="C6763" t="s">
        <v>4106</v>
      </c>
      <c r="D6763" t="str">
        <f>HYPERLINK("http://service.sap.com/sap/support/notes/1510064","1510064")</f>
        <v>1510064</v>
      </c>
      <c r="E6763">
        <v>1</v>
      </c>
      <c r="F6763" t="s">
        <v>6618</v>
      </c>
    </row>
    <row r="6764" spans="1:6" x14ac:dyDescent="0.25">
      <c r="A6764" t="s">
        <v>6700</v>
      </c>
      <c r="B6764" t="s">
        <v>4105</v>
      </c>
      <c r="C6764" t="s">
        <v>4106</v>
      </c>
      <c r="D6764" t="str">
        <f>HYPERLINK("http://service.sap.com/sap/support/notes/1514239","1514239")</f>
        <v>1514239</v>
      </c>
      <c r="E6764">
        <v>1</v>
      </c>
      <c r="F6764" t="s">
        <v>6619</v>
      </c>
    </row>
    <row r="6765" spans="1:6" x14ac:dyDescent="0.25">
      <c r="A6765" t="s">
        <v>6700</v>
      </c>
      <c r="B6765" t="s">
        <v>4105</v>
      </c>
      <c r="C6765" t="s">
        <v>4106</v>
      </c>
      <c r="D6765" t="str">
        <f>HYPERLINK("http://service.sap.com/sap/support/notes/1520411","1520411")</f>
        <v>1520411</v>
      </c>
      <c r="E6765">
        <v>2</v>
      </c>
      <c r="F6765" t="s">
        <v>6620</v>
      </c>
    </row>
    <row r="6766" spans="1:6" x14ac:dyDescent="0.25">
      <c r="A6766" t="s">
        <v>6700</v>
      </c>
      <c r="B6766" t="s">
        <v>4109</v>
      </c>
      <c r="C6766" t="s">
        <v>4110</v>
      </c>
      <c r="D6766" t="str">
        <f>HYPERLINK("http://service.sap.com/sap/support/notes/1521892","1521892")</f>
        <v>1521892</v>
      </c>
      <c r="E6766">
        <v>1</v>
      </c>
      <c r="F6766" t="s">
        <v>6621</v>
      </c>
    </row>
    <row r="6767" spans="1:6" x14ac:dyDescent="0.25">
      <c r="A6767" t="s">
        <v>6700</v>
      </c>
      <c r="B6767" t="s">
        <v>4112</v>
      </c>
      <c r="C6767" t="s">
        <v>4113</v>
      </c>
      <c r="D6767" t="str">
        <f>HYPERLINK("http://service.sap.com/sap/support/notes/1505608","1505608")</f>
        <v>1505608</v>
      </c>
      <c r="E6767">
        <v>1</v>
      </c>
      <c r="F6767" t="s">
        <v>6622</v>
      </c>
    </row>
    <row r="6768" spans="1:6" x14ac:dyDescent="0.25">
      <c r="A6768" t="s">
        <v>6700</v>
      </c>
      <c r="B6768" t="s">
        <v>4112</v>
      </c>
      <c r="C6768" t="s">
        <v>4113</v>
      </c>
      <c r="D6768" t="str">
        <f>HYPERLINK("http://service.sap.com/sap/support/notes/1507973","1507973")</f>
        <v>1507973</v>
      </c>
      <c r="E6768">
        <v>1</v>
      </c>
      <c r="F6768" t="s">
        <v>6623</v>
      </c>
    </row>
    <row r="6769" spans="1:6" x14ac:dyDescent="0.25">
      <c r="A6769" t="s">
        <v>6700</v>
      </c>
      <c r="B6769" t="s">
        <v>4112</v>
      </c>
      <c r="C6769" t="s">
        <v>4113</v>
      </c>
      <c r="D6769" t="str">
        <f>HYPERLINK("http://service.sap.com/sap/support/notes/1509577","1509577")</f>
        <v>1509577</v>
      </c>
      <c r="E6769">
        <v>2</v>
      </c>
      <c r="F6769" t="s">
        <v>6624</v>
      </c>
    </row>
    <row r="6770" spans="1:6" x14ac:dyDescent="0.25">
      <c r="A6770" t="s">
        <v>6700</v>
      </c>
      <c r="B6770" t="s">
        <v>4112</v>
      </c>
      <c r="C6770" t="s">
        <v>4113</v>
      </c>
      <c r="D6770" t="str">
        <f>HYPERLINK("http://service.sap.com/sap/support/notes/1511463","1511463")</f>
        <v>1511463</v>
      </c>
      <c r="E6770">
        <v>2</v>
      </c>
      <c r="F6770" t="s">
        <v>6625</v>
      </c>
    </row>
    <row r="6771" spans="1:6" x14ac:dyDescent="0.25">
      <c r="A6771" t="s">
        <v>6700</v>
      </c>
      <c r="B6771" t="s">
        <v>4112</v>
      </c>
      <c r="C6771" t="s">
        <v>4113</v>
      </c>
      <c r="D6771" t="str">
        <f>HYPERLINK("http://service.sap.com/sap/support/notes/1517033","1517033")</f>
        <v>1517033</v>
      </c>
      <c r="E6771">
        <v>2</v>
      </c>
      <c r="F6771" t="s">
        <v>6626</v>
      </c>
    </row>
    <row r="6772" spans="1:6" x14ac:dyDescent="0.25">
      <c r="A6772" t="s">
        <v>6700</v>
      </c>
      <c r="B6772" t="s">
        <v>4112</v>
      </c>
      <c r="C6772" t="s">
        <v>4113</v>
      </c>
      <c r="D6772" t="str">
        <f>HYPERLINK("http://service.sap.com/sap/support/notes/1517113","1517113")</f>
        <v>1517113</v>
      </c>
      <c r="E6772">
        <v>3</v>
      </c>
      <c r="F6772" t="s">
        <v>6627</v>
      </c>
    </row>
    <row r="6773" spans="1:6" x14ac:dyDescent="0.25">
      <c r="A6773" t="s">
        <v>6700</v>
      </c>
      <c r="B6773" t="s">
        <v>4112</v>
      </c>
      <c r="C6773" t="s">
        <v>4113</v>
      </c>
      <c r="D6773" t="str">
        <f>HYPERLINK("http://service.sap.com/sap/support/notes/1519451","1519451")</f>
        <v>1519451</v>
      </c>
      <c r="E6773">
        <v>2</v>
      </c>
      <c r="F6773" t="s">
        <v>6628</v>
      </c>
    </row>
    <row r="6774" spans="1:6" x14ac:dyDescent="0.25">
      <c r="A6774" t="s">
        <v>6700</v>
      </c>
      <c r="B6774" t="s">
        <v>5648</v>
      </c>
      <c r="C6774" t="s">
        <v>5649</v>
      </c>
    </row>
    <row r="6775" spans="1:6" x14ac:dyDescent="0.25">
      <c r="A6775" t="s">
        <v>6700</v>
      </c>
      <c r="B6775" t="s">
        <v>5650</v>
      </c>
      <c r="C6775" t="s">
        <v>5651</v>
      </c>
      <c r="D6775" t="str">
        <f>HYPERLINK("http://service.sap.com/sap/support/notes/1503910","1503910")</f>
        <v>1503910</v>
      </c>
      <c r="E6775">
        <v>1</v>
      </c>
      <c r="F6775" t="s">
        <v>6483</v>
      </c>
    </row>
    <row r="6776" spans="1:6" x14ac:dyDescent="0.25">
      <c r="A6776" t="s">
        <v>6700</v>
      </c>
      <c r="B6776" t="s">
        <v>5650</v>
      </c>
      <c r="C6776" t="s">
        <v>5651</v>
      </c>
      <c r="D6776" t="str">
        <f>HYPERLINK("http://service.sap.com/sap/support/notes/1504263","1504263")</f>
        <v>1504263</v>
      </c>
      <c r="E6776">
        <v>1</v>
      </c>
      <c r="F6776" t="s">
        <v>6484</v>
      </c>
    </row>
    <row r="6777" spans="1:6" x14ac:dyDescent="0.25">
      <c r="A6777" t="s">
        <v>6700</v>
      </c>
      <c r="B6777" t="s">
        <v>5650</v>
      </c>
      <c r="C6777" t="s">
        <v>5651</v>
      </c>
      <c r="D6777" t="str">
        <f>HYPERLINK("http://service.sap.com/sap/support/notes/1505963","1505963")</f>
        <v>1505963</v>
      </c>
      <c r="E6777">
        <v>1</v>
      </c>
      <c r="F6777" t="s">
        <v>6629</v>
      </c>
    </row>
    <row r="6778" spans="1:6" x14ac:dyDescent="0.25">
      <c r="A6778" t="s">
        <v>6700</v>
      </c>
      <c r="B6778" t="s">
        <v>5650</v>
      </c>
      <c r="C6778" t="s">
        <v>5651</v>
      </c>
      <c r="D6778" t="str">
        <f>HYPERLINK("http://service.sap.com/sap/support/notes/1521245","1521245")</f>
        <v>1521245</v>
      </c>
      <c r="E6778">
        <v>2</v>
      </c>
      <c r="F6778" t="s">
        <v>6630</v>
      </c>
    </row>
    <row r="6779" spans="1:6" x14ac:dyDescent="0.25">
      <c r="A6779" t="s">
        <v>6700</v>
      </c>
      <c r="B6779" t="s">
        <v>5652</v>
      </c>
      <c r="C6779" t="s">
        <v>5653</v>
      </c>
      <c r="D6779" t="str">
        <f>HYPERLINK("http://service.sap.com/sap/support/notes/1466376","1466376")</f>
        <v>1466376</v>
      </c>
      <c r="E6779">
        <v>2</v>
      </c>
      <c r="F6779" t="s">
        <v>6032</v>
      </c>
    </row>
    <row r="6780" spans="1:6" x14ac:dyDescent="0.25">
      <c r="A6780" t="s">
        <v>6700</v>
      </c>
      <c r="B6780" t="s">
        <v>5652</v>
      </c>
      <c r="C6780" t="s">
        <v>5653</v>
      </c>
      <c r="D6780" t="str">
        <f>HYPERLINK("http://service.sap.com/sap/support/notes/1474711","1474711")</f>
        <v>1474711</v>
      </c>
      <c r="E6780">
        <v>1</v>
      </c>
      <c r="F6780" t="s">
        <v>6034</v>
      </c>
    </row>
    <row r="6781" spans="1:6" x14ac:dyDescent="0.25">
      <c r="A6781" t="s">
        <v>6700</v>
      </c>
      <c r="B6781" t="s">
        <v>5652</v>
      </c>
      <c r="C6781" t="s">
        <v>5653</v>
      </c>
      <c r="D6781" t="str">
        <f>HYPERLINK("http://service.sap.com/sap/support/notes/1481049","1481049")</f>
        <v>1481049</v>
      </c>
      <c r="E6781">
        <v>1</v>
      </c>
      <c r="F6781" t="s">
        <v>6035</v>
      </c>
    </row>
    <row r="6782" spans="1:6" x14ac:dyDescent="0.25">
      <c r="A6782" t="s">
        <v>6700</v>
      </c>
      <c r="B6782" t="s">
        <v>5652</v>
      </c>
      <c r="C6782" t="s">
        <v>5653</v>
      </c>
      <c r="D6782" t="str">
        <f>HYPERLINK("http://service.sap.com/sap/support/notes/1511602","1511602")</f>
        <v>1511602</v>
      </c>
      <c r="E6782">
        <v>1</v>
      </c>
      <c r="F6782" t="s">
        <v>6486</v>
      </c>
    </row>
    <row r="6783" spans="1:6" x14ac:dyDescent="0.25">
      <c r="A6783" t="s">
        <v>6700</v>
      </c>
      <c r="B6783" t="s">
        <v>38</v>
      </c>
      <c r="C6783" t="s">
        <v>39</v>
      </c>
    </row>
    <row r="6784" spans="1:6" x14ac:dyDescent="0.25">
      <c r="A6784" t="s">
        <v>6700</v>
      </c>
      <c r="B6784" t="s">
        <v>6039</v>
      </c>
      <c r="C6784" t="s">
        <v>202</v>
      </c>
      <c r="D6784" t="str">
        <f>HYPERLINK("http://service.sap.com/sap/support/notes/1517606","1517606")</f>
        <v>1517606</v>
      </c>
      <c r="E6784">
        <v>1</v>
      </c>
      <c r="F6784" t="s">
        <v>6631</v>
      </c>
    </row>
    <row r="6785" spans="1:6" x14ac:dyDescent="0.25">
      <c r="A6785" t="s">
        <v>6700</v>
      </c>
      <c r="B6785" t="s">
        <v>57</v>
      </c>
      <c r="C6785" t="s">
        <v>58</v>
      </c>
    </row>
    <row r="6786" spans="1:6" x14ac:dyDescent="0.25">
      <c r="A6786" t="s">
        <v>6700</v>
      </c>
      <c r="B6786" t="s">
        <v>59</v>
      </c>
      <c r="C6786" t="s">
        <v>60</v>
      </c>
      <c r="D6786" t="str">
        <f>HYPERLINK("http://service.sap.com/sap/support/notes/1518563","1518563")</f>
        <v>1518563</v>
      </c>
      <c r="E6786">
        <v>2</v>
      </c>
      <c r="F6786" t="s">
        <v>67</v>
      </c>
    </row>
    <row r="6787" spans="1:6" x14ac:dyDescent="0.25">
      <c r="A6787" t="s">
        <v>6700</v>
      </c>
      <c r="B6787" t="s">
        <v>79</v>
      </c>
      <c r="C6787" t="s">
        <v>80</v>
      </c>
      <c r="D6787" t="str">
        <f>HYPERLINK("http://service.sap.com/sap/support/notes/1412251","1412251")</f>
        <v>1412251</v>
      </c>
      <c r="E6787">
        <v>1</v>
      </c>
      <c r="F6787" t="s">
        <v>1456</v>
      </c>
    </row>
    <row r="6788" spans="1:6" x14ac:dyDescent="0.25">
      <c r="A6788" t="s">
        <v>6700</v>
      </c>
      <c r="B6788" t="s">
        <v>79</v>
      </c>
      <c r="C6788" t="s">
        <v>80</v>
      </c>
      <c r="D6788" t="str">
        <f>HYPERLINK("http://service.sap.com/sap/support/notes/1487535","1487535")</f>
        <v>1487535</v>
      </c>
      <c r="E6788">
        <v>2</v>
      </c>
      <c r="F6788" t="s">
        <v>6054</v>
      </c>
    </row>
    <row r="6789" spans="1:6" x14ac:dyDescent="0.25">
      <c r="A6789" t="s">
        <v>6700</v>
      </c>
      <c r="B6789" t="s">
        <v>89</v>
      </c>
      <c r="C6789" t="s">
        <v>90</v>
      </c>
      <c r="D6789" t="str">
        <f>HYPERLINK("http://service.sap.com/sap/support/notes/1507786","1507786")</f>
        <v>1507786</v>
      </c>
      <c r="E6789">
        <v>1</v>
      </c>
      <c r="F6789" t="s">
        <v>6490</v>
      </c>
    </row>
    <row r="6790" spans="1:6" x14ac:dyDescent="0.25">
      <c r="A6790" t="s">
        <v>6700</v>
      </c>
      <c r="B6790" t="s">
        <v>92</v>
      </c>
      <c r="C6790" t="s">
        <v>93</v>
      </c>
      <c r="D6790" t="str">
        <f>HYPERLINK("http://service.sap.com/sap/support/notes/1517090","1517090")</f>
        <v>1517090</v>
      </c>
      <c r="E6790">
        <v>1</v>
      </c>
      <c r="F6790" t="s">
        <v>6632</v>
      </c>
    </row>
    <row r="6791" spans="1:6" x14ac:dyDescent="0.25">
      <c r="A6791" t="s">
        <v>6700</v>
      </c>
      <c r="B6791" t="s">
        <v>107</v>
      </c>
      <c r="C6791" t="s">
        <v>108</v>
      </c>
      <c r="D6791" t="str">
        <f>HYPERLINK("http://service.sap.com/sap/support/notes/1415279","1415279")</f>
        <v>1415279</v>
      </c>
      <c r="E6791">
        <v>3</v>
      </c>
      <c r="F6791" t="s">
        <v>5673</v>
      </c>
    </row>
    <row r="6792" spans="1:6" x14ac:dyDescent="0.25">
      <c r="A6792" t="s">
        <v>6700</v>
      </c>
      <c r="B6792" t="s">
        <v>107</v>
      </c>
      <c r="C6792" t="s">
        <v>108</v>
      </c>
      <c r="D6792" t="str">
        <f>HYPERLINK("http://service.sap.com/sap/support/notes/1490530","1490530")</f>
        <v>1490530</v>
      </c>
      <c r="E6792">
        <v>3</v>
      </c>
      <c r="F6792" t="s">
        <v>6633</v>
      </c>
    </row>
    <row r="6793" spans="1:6" x14ac:dyDescent="0.25">
      <c r="A6793" t="s">
        <v>6700</v>
      </c>
      <c r="B6793" t="s">
        <v>107</v>
      </c>
      <c r="C6793" t="s">
        <v>108</v>
      </c>
      <c r="D6793" t="str">
        <f>HYPERLINK("http://service.sap.com/sap/support/notes/1512601","1512601")</f>
        <v>1512601</v>
      </c>
      <c r="E6793">
        <v>3</v>
      </c>
      <c r="F6793" t="s">
        <v>6634</v>
      </c>
    </row>
    <row r="6794" spans="1:6" x14ac:dyDescent="0.25">
      <c r="A6794" t="s">
        <v>6700</v>
      </c>
      <c r="B6794" t="s">
        <v>6092</v>
      </c>
      <c r="C6794" t="s">
        <v>6093</v>
      </c>
      <c r="D6794" t="str">
        <f>HYPERLINK("http://service.sap.com/sap/support/notes/1492731","1492731")</f>
        <v>1492731</v>
      </c>
      <c r="E6794">
        <v>1</v>
      </c>
      <c r="F6794" t="s">
        <v>6635</v>
      </c>
    </row>
    <row r="6795" spans="1:6" x14ac:dyDescent="0.25">
      <c r="A6795" t="s">
        <v>6700</v>
      </c>
      <c r="B6795" t="s">
        <v>6092</v>
      </c>
      <c r="C6795" t="s">
        <v>6093</v>
      </c>
      <c r="D6795" t="str">
        <f>HYPERLINK("http://service.sap.com/sap/support/notes/1513702","1513702")</f>
        <v>1513702</v>
      </c>
      <c r="E6795">
        <v>1</v>
      </c>
      <c r="F6795" t="s">
        <v>6636</v>
      </c>
    </row>
    <row r="6796" spans="1:6" x14ac:dyDescent="0.25">
      <c r="A6796" t="s">
        <v>6700</v>
      </c>
      <c r="B6796" t="s">
        <v>724</v>
      </c>
      <c r="C6796" t="s">
        <v>725</v>
      </c>
      <c r="D6796" t="str">
        <f>HYPERLINK("http://service.sap.com/sap/support/notes/1487721","1487721")</f>
        <v>1487721</v>
      </c>
      <c r="E6796">
        <v>1</v>
      </c>
      <c r="F6796" t="s">
        <v>6637</v>
      </c>
    </row>
    <row r="6797" spans="1:6" x14ac:dyDescent="0.25">
      <c r="A6797" t="s">
        <v>6700</v>
      </c>
      <c r="B6797" t="s">
        <v>724</v>
      </c>
      <c r="C6797" t="s">
        <v>725</v>
      </c>
      <c r="D6797" t="str">
        <f>HYPERLINK("http://service.sap.com/sap/support/notes/1491575","1491575")</f>
        <v>1491575</v>
      </c>
      <c r="E6797">
        <v>1</v>
      </c>
      <c r="F6797" t="s">
        <v>745</v>
      </c>
    </row>
    <row r="6798" spans="1:6" x14ac:dyDescent="0.25">
      <c r="A6798" t="s">
        <v>6700</v>
      </c>
      <c r="B6798" t="s">
        <v>724</v>
      </c>
      <c r="C6798" t="s">
        <v>725</v>
      </c>
      <c r="D6798" t="str">
        <f>HYPERLINK("http://service.sap.com/sap/support/notes/1497020","1497020")</f>
        <v>1497020</v>
      </c>
      <c r="E6798">
        <v>1</v>
      </c>
      <c r="F6798" t="s">
        <v>6638</v>
      </c>
    </row>
    <row r="6799" spans="1:6" x14ac:dyDescent="0.25">
      <c r="A6799" t="s">
        <v>6700</v>
      </c>
      <c r="B6799" t="s">
        <v>724</v>
      </c>
      <c r="C6799" t="s">
        <v>725</v>
      </c>
      <c r="D6799" t="str">
        <f>HYPERLINK("http://service.sap.com/sap/support/notes/1500388","1500388")</f>
        <v>1500388</v>
      </c>
      <c r="E6799">
        <v>3</v>
      </c>
      <c r="F6799" t="s">
        <v>6342</v>
      </c>
    </row>
    <row r="6800" spans="1:6" x14ac:dyDescent="0.25">
      <c r="A6800" t="s">
        <v>6700</v>
      </c>
      <c r="B6800" t="s">
        <v>724</v>
      </c>
      <c r="C6800" t="s">
        <v>725</v>
      </c>
      <c r="D6800" t="str">
        <f>HYPERLINK("http://service.sap.com/sap/support/notes/1508538","1508538")</f>
        <v>1508538</v>
      </c>
      <c r="E6800">
        <v>1</v>
      </c>
      <c r="F6800" t="s">
        <v>6639</v>
      </c>
    </row>
    <row r="6801" spans="1:6" x14ac:dyDescent="0.25">
      <c r="A6801" t="s">
        <v>6700</v>
      </c>
      <c r="B6801" t="s">
        <v>724</v>
      </c>
      <c r="C6801" t="s">
        <v>725</v>
      </c>
      <c r="D6801" t="str">
        <f>HYPERLINK("http://service.sap.com/sap/support/notes/1510313","1510313")</f>
        <v>1510313</v>
      </c>
      <c r="E6801">
        <v>1</v>
      </c>
      <c r="F6801" t="s">
        <v>6640</v>
      </c>
    </row>
    <row r="6802" spans="1:6" x14ac:dyDescent="0.25">
      <c r="A6802" t="s">
        <v>6700</v>
      </c>
      <c r="B6802" t="s">
        <v>724</v>
      </c>
      <c r="C6802" t="s">
        <v>725</v>
      </c>
      <c r="D6802" t="str">
        <f>HYPERLINK("http://service.sap.com/sap/support/notes/1518317","1518317")</f>
        <v>1518317</v>
      </c>
      <c r="E6802">
        <v>3</v>
      </c>
      <c r="F6802" t="s">
        <v>6641</v>
      </c>
    </row>
    <row r="6803" spans="1:6" x14ac:dyDescent="0.25">
      <c r="A6803" t="s">
        <v>6700</v>
      </c>
      <c r="B6803" t="s">
        <v>782</v>
      </c>
      <c r="C6803" t="s">
        <v>653</v>
      </c>
    </row>
    <row r="6804" spans="1:6" x14ac:dyDescent="0.25">
      <c r="A6804" t="s">
        <v>6700</v>
      </c>
      <c r="B6804" t="s">
        <v>784</v>
      </c>
      <c r="C6804" t="s">
        <v>6642</v>
      </c>
      <c r="D6804" t="str">
        <f>HYPERLINK("http://service.sap.com/sap/support/notes/1496800","1496800")</f>
        <v>1496800</v>
      </c>
      <c r="E6804">
        <v>1</v>
      </c>
      <c r="F6804" t="s">
        <v>6643</v>
      </c>
    </row>
    <row r="6805" spans="1:6" x14ac:dyDescent="0.25">
      <c r="A6805" t="s">
        <v>6700</v>
      </c>
      <c r="B6805" t="s">
        <v>790</v>
      </c>
      <c r="C6805" t="s">
        <v>4125</v>
      </c>
    </row>
    <row r="6806" spans="1:6" x14ac:dyDescent="0.25">
      <c r="A6806" t="s">
        <v>6700</v>
      </c>
      <c r="B6806" t="s">
        <v>791</v>
      </c>
      <c r="C6806" t="s">
        <v>4126</v>
      </c>
      <c r="D6806" t="str">
        <f>HYPERLINK("http://service.sap.com/sap/support/notes/1458594","1458594")</f>
        <v>1458594</v>
      </c>
      <c r="E6806">
        <v>3</v>
      </c>
      <c r="F6806" t="s">
        <v>6644</v>
      </c>
    </row>
    <row r="6807" spans="1:6" x14ac:dyDescent="0.25">
      <c r="A6807" t="s">
        <v>6700</v>
      </c>
      <c r="B6807" t="s">
        <v>791</v>
      </c>
      <c r="C6807" t="s">
        <v>4126</v>
      </c>
      <c r="D6807" t="str">
        <f>HYPERLINK("http://service.sap.com/sap/support/notes/1469170","1469170")</f>
        <v>1469170</v>
      </c>
      <c r="E6807">
        <v>3</v>
      </c>
      <c r="F6807" t="s">
        <v>6645</v>
      </c>
    </row>
    <row r="6808" spans="1:6" x14ac:dyDescent="0.25">
      <c r="A6808" t="s">
        <v>6700</v>
      </c>
      <c r="B6808" t="s">
        <v>791</v>
      </c>
      <c r="C6808" t="s">
        <v>4126</v>
      </c>
      <c r="D6808" t="str">
        <f>HYPERLINK("http://service.sap.com/sap/support/notes/1470126","1470126")</f>
        <v>1470126</v>
      </c>
      <c r="E6808">
        <v>2</v>
      </c>
      <c r="F6808" t="s">
        <v>6646</v>
      </c>
    </row>
    <row r="6809" spans="1:6" x14ac:dyDescent="0.25">
      <c r="A6809" t="s">
        <v>6700</v>
      </c>
      <c r="B6809" t="s">
        <v>791</v>
      </c>
      <c r="C6809" t="s">
        <v>4126</v>
      </c>
      <c r="D6809" t="str">
        <f>HYPERLINK("http://service.sap.com/sap/support/notes/1509471","1509471")</f>
        <v>1509471</v>
      </c>
      <c r="E6809">
        <v>1</v>
      </c>
      <c r="F6809" t="s">
        <v>6647</v>
      </c>
    </row>
    <row r="6810" spans="1:6" x14ac:dyDescent="0.25">
      <c r="A6810" t="s">
        <v>6700</v>
      </c>
      <c r="B6810" t="s">
        <v>791</v>
      </c>
      <c r="C6810" t="s">
        <v>4126</v>
      </c>
      <c r="D6810" t="str">
        <f>HYPERLINK("http://service.sap.com/sap/support/notes/1513994","1513994")</f>
        <v>1513994</v>
      </c>
      <c r="E6810">
        <v>1</v>
      </c>
      <c r="F6810" t="s">
        <v>6648</v>
      </c>
    </row>
    <row r="6811" spans="1:6" x14ac:dyDescent="0.25">
      <c r="A6811" t="s">
        <v>6700</v>
      </c>
      <c r="B6811" t="s">
        <v>791</v>
      </c>
      <c r="C6811" t="s">
        <v>4126</v>
      </c>
      <c r="D6811" t="str">
        <f>HYPERLINK("http://service.sap.com/sap/support/notes/1517693","1517693")</f>
        <v>1517693</v>
      </c>
      <c r="E6811">
        <v>2</v>
      </c>
      <c r="F6811" t="s">
        <v>6649</v>
      </c>
    </row>
    <row r="6812" spans="1:6" x14ac:dyDescent="0.25">
      <c r="A6812" t="s">
        <v>6700</v>
      </c>
      <c r="B6812" t="s">
        <v>791</v>
      </c>
      <c r="C6812" t="s">
        <v>4126</v>
      </c>
      <c r="D6812" t="str">
        <f>HYPERLINK("http://service.sap.com/sap/support/notes/1517991","1517991")</f>
        <v>1517991</v>
      </c>
      <c r="E6812">
        <v>1</v>
      </c>
      <c r="F6812" t="s">
        <v>6650</v>
      </c>
    </row>
    <row r="6813" spans="1:6" x14ac:dyDescent="0.25">
      <c r="A6813" t="s">
        <v>6700</v>
      </c>
      <c r="B6813" t="s">
        <v>791</v>
      </c>
      <c r="C6813" t="s">
        <v>4126</v>
      </c>
      <c r="D6813" t="str">
        <f>HYPERLINK("http://service.sap.com/sap/support/notes/1521328","1521328")</f>
        <v>1521328</v>
      </c>
      <c r="E6813">
        <v>1</v>
      </c>
      <c r="F6813" t="s">
        <v>6651</v>
      </c>
    </row>
    <row r="6814" spans="1:6" x14ac:dyDescent="0.25">
      <c r="A6814" t="s">
        <v>6700</v>
      </c>
      <c r="B6814" t="s">
        <v>810</v>
      </c>
      <c r="C6814" t="s">
        <v>4131</v>
      </c>
    </row>
    <row r="6815" spans="1:6" x14ac:dyDescent="0.25">
      <c r="A6815" t="s">
        <v>6700</v>
      </c>
      <c r="B6815" t="s">
        <v>811</v>
      </c>
      <c r="C6815" t="s">
        <v>4132</v>
      </c>
      <c r="D6815" t="str">
        <f>HYPERLINK("http://service.sap.com/sap/support/notes/1508837","1508837")</f>
        <v>1508837</v>
      </c>
      <c r="E6815">
        <v>3</v>
      </c>
      <c r="F6815" t="s">
        <v>6652</v>
      </c>
    </row>
    <row r="6816" spans="1:6" x14ac:dyDescent="0.25">
      <c r="A6816" t="s">
        <v>6700</v>
      </c>
      <c r="B6816" t="s">
        <v>4144</v>
      </c>
      <c r="C6816" t="s">
        <v>4145</v>
      </c>
      <c r="D6816" t="str">
        <f>HYPERLINK("http://service.sap.com/sap/support/notes/1487559","1487559")</f>
        <v>1487559</v>
      </c>
      <c r="E6816">
        <v>1</v>
      </c>
      <c r="F6816" t="s">
        <v>6499</v>
      </c>
    </row>
    <row r="6817" spans="1:6" x14ac:dyDescent="0.25">
      <c r="A6817" t="s">
        <v>6700</v>
      </c>
      <c r="B6817" t="s">
        <v>4144</v>
      </c>
      <c r="C6817" t="s">
        <v>4145</v>
      </c>
      <c r="D6817" t="str">
        <f>HYPERLINK("http://service.sap.com/sap/support/notes/1490639","1490639")</f>
        <v>1490639</v>
      </c>
      <c r="E6817">
        <v>1</v>
      </c>
      <c r="F6817" t="s">
        <v>6653</v>
      </c>
    </row>
    <row r="6818" spans="1:6" x14ac:dyDescent="0.25">
      <c r="A6818" t="s">
        <v>6700</v>
      </c>
      <c r="B6818" t="s">
        <v>4144</v>
      </c>
      <c r="C6818" t="s">
        <v>4145</v>
      </c>
      <c r="D6818" t="str">
        <f>HYPERLINK("http://service.sap.com/sap/support/notes/1492420","1492420")</f>
        <v>1492420</v>
      </c>
      <c r="E6818">
        <v>2</v>
      </c>
      <c r="F6818" t="s">
        <v>6654</v>
      </c>
    </row>
    <row r="6819" spans="1:6" x14ac:dyDescent="0.25">
      <c r="A6819" t="s">
        <v>6700</v>
      </c>
      <c r="B6819" t="s">
        <v>4144</v>
      </c>
      <c r="C6819" t="s">
        <v>4145</v>
      </c>
      <c r="D6819" t="str">
        <f>HYPERLINK("http://service.sap.com/sap/support/notes/1495277","1495277")</f>
        <v>1495277</v>
      </c>
      <c r="E6819">
        <v>10</v>
      </c>
      <c r="F6819" t="s">
        <v>6655</v>
      </c>
    </row>
    <row r="6820" spans="1:6" x14ac:dyDescent="0.25">
      <c r="A6820" t="s">
        <v>6700</v>
      </c>
      <c r="B6820" t="s">
        <v>4144</v>
      </c>
      <c r="C6820" t="s">
        <v>4145</v>
      </c>
      <c r="D6820" t="str">
        <f>HYPERLINK("http://service.sap.com/sap/support/notes/1502829","1502829")</f>
        <v>1502829</v>
      </c>
      <c r="E6820">
        <v>1</v>
      </c>
      <c r="F6820" t="s">
        <v>6656</v>
      </c>
    </row>
    <row r="6821" spans="1:6" x14ac:dyDescent="0.25">
      <c r="A6821" t="s">
        <v>6700</v>
      </c>
      <c r="B6821" t="s">
        <v>4144</v>
      </c>
      <c r="C6821" t="s">
        <v>4145</v>
      </c>
      <c r="D6821" t="str">
        <f>HYPERLINK("http://service.sap.com/sap/support/notes/1506820","1506820")</f>
        <v>1506820</v>
      </c>
      <c r="E6821">
        <v>1</v>
      </c>
      <c r="F6821" t="s">
        <v>6657</v>
      </c>
    </row>
    <row r="6822" spans="1:6" x14ac:dyDescent="0.25">
      <c r="A6822" t="s">
        <v>6700</v>
      </c>
      <c r="B6822" t="s">
        <v>4144</v>
      </c>
      <c r="C6822" t="s">
        <v>4145</v>
      </c>
      <c r="D6822" t="str">
        <f>HYPERLINK("http://service.sap.com/sap/support/notes/1512264","1512264")</f>
        <v>1512264</v>
      </c>
      <c r="E6822">
        <v>1</v>
      </c>
      <c r="F6822" t="s">
        <v>6658</v>
      </c>
    </row>
    <row r="6823" spans="1:6" x14ac:dyDescent="0.25">
      <c r="A6823" t="s">
        <v>6700</v>
      </c>
      <c r="B6823" t="s">
        <v>4144</v>
      </c>
      <c r="C6823" t="s">
        <v>4145</v>
      </c>
      <c r="D6823" t="str">
        <f>HYPERLINK("http://service.sap.com/sap/support/notes/1513575","1513575")</f>
        <v>1513575</v>
      </c>
      <c r="E6823">
        <v>2</v>
      </c>
      <c r="F6823" t="s">
        <v>6659</v>
      </c>
    </row>
    <row r="6824" spans="1:6" x14ac:dyDescent="0.25">
      <c r="A6824" t="s">
        <v>6700</v>
      </c>
      <c r="B6824" t="s">
        <v>4144</v>
      </c>
      <c r="C6824" t="s">
        <v>4145</v>
      </c>
      <c r="D6824" t="str">
        <f>HYPERLINK("http://service.sap.com/sap/support/notes/1517491","1517491")</f>
        <v>1517491</v>
      </c>
      <c r="E6824">
        <v>2</v>
      </c>
      <c r="F6824" t="s">
        <v>6660</v>
      </c>
    </row>
    <row r="6825" spans="1:6" x14ac:dyDescent="0.25">
      <c r="A6825" t="s">
        <v>6700</v>
      </c>
      <c r="B6825" t="s">
        <v>4144</v>
      </c>
      <c r="C6825" t="s">
        <v>4145</v>
      </c>
      <c r="D6825" t="str">
        <f>HYPERLINK("http://service.sap.com/sap/support/notes/1517756","1517756")</f>
        <v>1517756</v>
      </c>
      <c r="E6825">
        <v>2</v>
      </c>
      <c r="F6825" t="s">
        <v>6661</v>
      </c>
    </row>
    <row r="6826" spans="1:6" x14ac:dyDescent="0.25">
      <c r="A6826" t="s">
        <v>6700</v>
      </c>
      <c r="B6826" t="s">
        <v>4144</v>
      </c>
      <c r="C6826" t="s">
        <v>4145</v>
      </c>
      <c r="D6826" t="str">
        <f>HYPERLINK("http://service.sap.com/sap/support/notes/1519026","1519026")</f>
        <v>1519026</v>
      </c>
      <c r="E6826">
        <v>1</v>
      </c>
      <c r="F6826" t="s">
        <v>6662</v>
      </c>
    </row>
    <row r="6827" spans="1:6" x14ac:dyDescent="0.25">
      <c r="A6827" t="s">
        <v>6700</v>
      </c>
      <c r="B6827" t="s">
        <v>126</v>
      </c>
      <c r="C6827" t="s">
        <v>127</v>
      </c>
    </row>
    <row r="6828" spans="1:6" x14ac:dyDescent="0.25">
      <c r="A6828" t="s">
        <v>6700</v>
      </c>
      <c r="B6828" t="s">
        <v>824</v>
      </c>
      <c r="C6828" t="s">
        <v>1777</v>
      </c>
    </row>
    <row r="6829" spans="1:6" x14ac:dyDescent="0.25">
      <c r="A6829" t="s">
        <v>6700</v>
      </c>
      <c r="B6829" t="s">
        <v>825</v>
      </c>
      <c r="C6829" t="s">
        <v>1778</v>
      </c>
      <c r="D6829" t="str">
        <f>HYPERLINK("http://service.sap.com/sap/support/notes/1117664","1117664")</f>
        <v>1117664</v>
      </c>
      <c r="E6829">
        <v>7</v>
      </c>
      <c r="F6829" t="s">
        <v>5705</v>
      </c>
    </row>
    <row r="6830" spans="1:6" x14ac:dyDescent="0.25">
      <c r="A6830" t="s">
        <v>6700</v>
      </c>
      <c r="B6830" t="s">
        <v>825</v>
      </c>
      <c r="C6830" t="s">
        <v>1778</v>
      </c>
      <c r="D6830" t="str">
        <f>HYPERLINK("http://service.sap.com/sap/support/notes/1473834","1473834")</f>
        <v>1473834</v>
      </c>
      <c r="E6830">
        <v>1</v>
      </c>
      <c r="F6830" t="s">
        <v>6663</v>
      </c>
    </row>
    <row r="6831" spans="1:6" x14ac:dyDescent="0.25">
      <c r="A6831" t="s">
        <v>6700</v>
      </c>
      <c r="B6831" t="s">
        <v>825</v>
      </c>
      <c r="C6831" t="s">
        <v>1778</v>
      </c>
      <c r="D6831" t="str">
        <f>HYPERLINK("http://service.sap.com/sap/support/notes/1481611","1481611")</f>
        <v>1481611</v>
      </c>
      <c r="E6831">
        <v>2</v>
      </c>
      <c r="F6831" t="s">
        <v>6664</v>
      </c>
    </row>
    <row r="6832" spans="1:6" x14ac:dyDescent="0.25">
      <c r="A6832" t="s">
        <v>6700</v>
      </c>
      <c r="B6832" t="s">
        <v>825</v>
      </c>
      <c r="C6832" t="s">
        <v>1778</v>
      </c>
      <c r="D6832" t="str">
        <f>HYPERLINK("http://service.sap.com/sap/support/notes/1508285","1508285")</f>
        <v>1508285</v>
      </c>
      <c r="E6832">
        <v>2</v>
      </c>
      <c r="F6832" t="s">
        <v>6665</v>
      </c>
    </row>
    <row r="6833" spans="1:6" x14ac:dyDescent="0.25">
      <c r="A6833" t="s">
        <v>6700</v>
      </c>
      <c r="B6833" t="s">
        <v>825</v>
      </c>
      <c r="C6833" t="s">
        <v>1778</v>
      </c>
      <c r="D6833" t="str">
        <f>HYPERLINK("http://service.sap.com/sap/support/notes/1509798","1509798")</f>
        <v>1509798</v>
      </c>
      <c r="E6833">
        <v>4</v>
      </c>
      <c r="F6833" t="s">
        <v>6666</v>
      </c>
    </row>
    <row r="6834" spans="1:6" x14ac:dyDescent="0.25">
      <c r="A6834" t="s">
        <v>6700</v>
      </c>
      <c r="B6834" t="s">
        <v>825</v>
      </c>
      <c r="C6834" t="s">
        <v>1778</v>
      </c>
      <c r="D6834" t="str">
        <f>HYPERLINK("http://service.sap.com/sap/support/notes/1512304","1512304")</f>
        <v>1512304</v>
      </c>
      <c r="E6834">
        <v>2</v>
      </c>
      <c r="F6834" t="s">
        <v>6667</v>
      </c>
    </row>
    <row r="6835" spans="1:6" x14ac:dyDescent="0.25">
      <c r="A6835" t="s">
        <v>6700</v>
      </c>
      <c r="B6835" t="s">
        <v>825</v>
      </c>
      <c r="C6835" t="s">
        <v>1778</v>
      </c>
      <c r="D6835" t="str">
        <f>HYPERLINK("http://service.sap.com/sap/support/notes/1513598","1513598")</f>
        <v>1513598</v>
      </c>
      <c r="E6835">
        <v>1</v>
      </c>
      <c r="F6835" t="s">
        <v>6668</v>
      </c>
    </row>
    <row r="6836" spans="1:6" x14ac:dyDescent="0.25">
      <c r="A6836" t="s">
        <v>6700</v>
      </c>
      <c r="B6836" t="s">
        <v>825</v>
      </c>
      <c r="C6836" t="s">
        <v>1778</v>
      </c>
      <c r="D6836" t="str">
        <f>HYPERLINK("http://service.sap.com/sap/support/notes/1519826","1519826")</f>
        <v>1519826</v>
      </c>
      <c r="E6836">
        <v>1</v>
      </c>
      <c r="F6836" t="s">
        <v>6669</v>
      </c>
    </row>
    <row r="6837" spans="1:6" x14ac:dyDescent="0.25">
      <c r="A6837" t="s">
        <v>6700</v>
      </c>
      <c r="B6837" t="s">
        <v>6185</v>
      </c>
      <c r="C6837" t="s">
        <v>6186</v>
      </c>
    </row>
    <row r="6838" spans="1:6" x14ac:dyDescent="0.25">
      <c r="A6838" t="s">
        <v>6700</v>
      </c>
      <c r="B6838" t="s">
        <v>6187</v>
      </c>
      <c r="C6838" t="s">
        <v>6188</v>
      </c>
    </row>
    <row r="6839" spans="1:6" x14ac:dyDescent="0.25">
      <c r="A6839" t="s">
        <v>6700</v>
      </c>
      <c r="B6839" t="s">
        <v>6189</v>
      </c>
      <c r="C6839" t="s">
        <v>6190</v>
      </c>
    </row>
    <row r="6840" spans="1:6" x14ac:dyDescent="0.25">
      <c r="A6840" t="s">
        <v>6700</v>
      </c>
      <c r="B6840" t="s">
        <v>6513</v>
      </c>
      <c r="C6840" t="s">
        <v>6514</v>
      </c>
      <c r="D6840" t="str">
        <f>HYPERLINK("http://service.sap.com/sap/support/notes/1479634","1479634")</f>
        <v>1479634</v>
      </c>
      <c r="E6840">
        <v>1</v>
      </c>
      <c r="F6840" t="s">
        <v>6515</v>
      </c>
    </row>
    <row r="6841" spans="1:6" x14ac:dyDescent="0.25">
      <c r="A6841" t="s">
        <v>6700</v>
      </c>
      <c r="B6841" t="s">
        <v>831</v>
      </c>
      <c r="C6841" t="s">
        <v>2598</v>
      </c>
    </row>
    <row r="6842" spans="1:6" x14ac:dyDescent="0.25">
      <c r="A6842" t="s">
        <v>6700</v>
      </c>
      <c r="B6842" t="s">
        <v>849</v>
      </c>
      <c r="C6842" t="s">
        <v>4450</v>
      </c>
      <c r="D6842" t="str">
        <f>HYPERLINK("http://service.sap.com/sap/support/notes/1510682","1510682")</f>
        <v>1510682</v>
      </c>
      <c r="E6842">
        <v>3</v>
      </c>
      <c r="F6842" t="s">
        <v>6516</v>
      </c>
    </row>
    <row r="6843" spans="1:6" x14ac:dyDescent="0.25">
      <c r="A6843" t="s">
        <v>6700</v>
      </c>
      <c r="B6843" t="s">
        <v>867</v>
      </c>
      <c r="C6843" t="s">
        <v>4451</v>
      </c>
    </row>
    <row r="6844" spans="1:6" x14ac:dyDescent="0.25">
      <c r="A6844" t="s">
        <v>6700</v>
      </c>
      <c r="B6844" t="s">
        <v>4452</v>
      </c>
      <c r="C6844" t="s">
        <v>4048</v>
      </c>
      <c r="D6844" t="str">
        <f>HYPERLINK("http://service.sap.com/sap/support/notes/1165170","1165170")</f>
        <v>1165170</v>
      </c>
      <c r="E6844">
        <v>3</v>
      </c>
      <c r="F6844" t="s">
        <v>6670</v>
      </c>
    </row>
    <row r="6845" spans="1:6" x14ac:dyDescent="0.25">
      <c r="A6845" t="s">
        <v>6700</v>
      </c>
      <c r="B6845" t="s">
        <v>4452</v>
      </c>
      <c r="C6845" t="s">
        <v>4048</v>
      </c>
      <c r="D6845" t="str">
        <f>HYPERLINK("http://service.sap.com/sap/support/notes/1325063","1325063")</f>
        <v>1325063</v>
      </c>
      <c r="E6845">
        <v>4</v>
      </c>
      <c r="F6845" t="s">
        <v>6671</v>
      </c>
    </row>
    <row r="6846" spans="1:6" x14ac:dyDescent="0.25">
      <c r="A6846" t="s">
        <v>6700</v>
      </c>
      <c r="B6846" t="s">
        <v>4452</v>
      </c>
      <c r="C6846" t="s">
        <v>4048</v>
      </c>
      <c r="D6846" t="str">
        <f>HYPERLINK("http://service.sap.com/sap/support/notes/1411128","1411128")</f>
        <v>1411128</v>
      </c>
      <c r="E6846">
        <v>2</v>
      </c>
      <c r="F6846" t="s">
        <v>6672</v>
      </c>
    </row>
    <row r="6847" spans="1:6" x14ac:dyDescent="0.25">
      <c r="A6847" t="s">
        <v>6700</v>
      </c>
      <c r="B6847" t="s">
        <v>4452</v>
      </c>
      <c r="C6847" t="s">
        <v>4048</v>
      </c>
      <c r="D6847" t="str">
        <f>HYPERLINK("http://service.sap.com/sap/support/notes/1425034","1425034")</f>
        <v>1425034</v>
      </c>
      <c r="E6847">
        <v>3</v>
      </c>
      <c r="F6847" t="s">
        <v>6673</v>
      </c>
    </row>
    <row r="6848" spans="1:6" x14ac:dyDescent="0.25">
      <c r="A6848" t="s">
        <v>6700</v>
      </c>
      <c r="B6848" t="s">
        <v>4452</v>
      </c>
      <c r="C6848" t="s">
        <v>4048</v>
      </c>
      <c r="D6848" t="str">
        <f>HYPERLINK("http://service.sap.com/sap/support/notes/1444096","1444096")</f>
        <v>1444096</v>
      </c>
      <c r="E6848">
        <v>2</v>
      </c>
      <c r="F6848" t="s">
        <v>6674</v>
      </c>
    </row>
    <row r="6849" spans="1:6" x14ac:dyDescent="0.25">
      <c r="A6849" t="s">
        <v>6700</v>
      </c>
      <c r="B6849" t="s">
        <v>4452</v>
      </c>
      <c r="C6849" t="s">
        <v>4048</v>
      </c>
      <c r="D6849" t="str">
        <f>HYPERLINK("http://service.sap.com/sap/support/notes/1451738","1451738")</f>
        <v>1451738</v>
      </c>
      <c r="E6849">
        <v>2</v>
      </c>
      <c r="F6849" t="s">
        <v>6675</v>
      </c>
    </row>
    <row r="6850" spans="1:6" x14ac:dyDescent="0.25">
      <c r="A6850" t="s">
        <v>6700</v>
      </c>
      <c r="B6850" t="s">
        <v>4452</v>
      </c>
      <c r="C6850" t="s">
        <v>4048</v>
      </c>
      <c r="D6850" t="str">
        <f>HYPERLINK("http://service.sap.com/sap/support/notes/1456794","1456794")</f>
        <v>1456794</v>
      </c>
      <c r="E6850">
        <v>3</v>
      </c>
      <c r="F6850" t="s">
        <v>6676</v>
      </c>
    </row>
    <row r="6851" spans="1:6" x14ac:dyDescent="0.25">
      <c r="A6851" t="s">
        <v>6700</v>
      </c>
      <c r="B6851" t="s">
        <v>4452</v>
      </c>
      <c r="C6851" t="s">
        <v>4048</v>
      </c>
      <c r="D6851" t="str">
        <f>HYPERLINK("http://service.sap.com/sap/support/notes/1459411","1459411")</f>
        <v>1459411</v>
      </c>
      <c r="E6851">
        <v>4</v>
      </c>
      <c r="F6851" t="s">
        <v>6677</v>
      </c>
    </row>
    <row r="6852" spans="1:6" x14ac:dyDescent="0.25">
      <c r="A6852" t="s">
        <v>6700</v>
      </c>
      <c r="B6852" t="s">
        <v>4452</v>
      </c>
      <c r="C6852" t="s">
        <v>4048</v>
      </c>
      <c r="D6852" t="str">
        <f>HYPERLINK("http://service.sap.com/sap/support/notes/1474922","1474922")</f>
        <v>1474922</v>
      </c>
      <c r="E6852">
        <v>5</v>
      </c>
      <c r="F6852" t="s">
        <v>6678</v>
      </c>
    </row>
    <row r="6853" spans="1:6" x14ac:dyDescent="0.25">
      <c r="A6853" t="s">
        <v>6700</v>
      </c>
      <c r="B6853" t="s">
        <v>4452</v>
      </c>
      <c r="C6853" t="s">
        <v>4048</v>
      </c>
      <c r="D6853" t="str">
        <f>HYPERLINK("http://service.sap.com/sap/support/notes/1485658","1485658")</f>
        <v>1485658</v>
      </c>
      <c r="E6853">
        <v>7</v>
      </c>
      <c r="F6853" t="s">
        <v>6679</v>
      </c>
    </row>
    <row r="6854" spans="1:6" x14ac:dyDescent="0.25">
      <c r="A6854" t="s">
        <v>6700</v>
      </c>
      <c r="B6854" t="s">
        <v>4452</v>
      </c>
      <c r="C6854" t="s">
        <v>4048</v>
      </c>
      <c r="D6854" t="str">
        <f>HYPERLINK("http://service.sap.com/sap/support/notes/1495889","1495889")</f>
        <v>1495889</v>
      </c>
      <c r="E6854">
        <v>1</v>
      </c>
      <c r="F6854" t="s">
        <v>6680</v>
      </c>
    </row>
    <row r="6855" spans="1:6" x14ac:dyDescent="0.25">
      <c r="A6855" t="s">
        <v>6700</v>
      </c>
      <c r="B6855" t="s">
        <v>4452</v>
      </c>
      <c r="C6855" t="s">
        <v>4048</v>
      </c>
      <c r="D6855" t="str">
        <f>HYPERLINK("http://service.sap.com/sap/support/notes/1506116","1506116")</f>
        <v>1506116</v>
      </c>
      <c r="E6855">
        <v>1</v>
      </c>
      <c r="F6855" t="s">
        <v>6681</v>
      </c>
    </row>
    <row r="6856" spans="1:6" x14ac:dyDescent="0.25">
      <c r="A6856" t="s">
        <v>6700</v>
      </c>
      <c r="B6856" t="s">
        <v>4452</v>
      </c>
      <c r="C6856" t="s">
        <v>4048</v>
      </c>
      <c r="D6856" t="str">
        <f>HYPERLINK("http://service.sap.com/sap/support/notes/1517434","1517434")</f>
        <v>1517434</v>
      </c>
      <c r="E6856">
        <v>1</v>
      </c>
      <c r="F6856" t="s">
        <v>6682</v>
      </c>
    </row>
    <row r="6857" spans="1:6" x14ac:dyDescent="0.25">
      <c r="A6857" t="s">
        <v>6700</v>
      </c>
      <c r="B6857" t="s">
        <v>131</v>
      </c>
      <c r="C6857" t="s">
        <v>132</v>
      </c>
    </row>
    <row r="6858" spans="1:6" x14ac:dyDescent="0.25">
      <c r="A6858" t="s">
        <v>6700</v>
      </c>
      <c r="B6858" t="s">
        <v>155</v>
      </c>
      <c r="C6858" t="s">
        <v>156</v>
      </c>
      <c r="D6858" t="str">
        <f>HYPERLINK("http://service.sap.com/sap/support/notes/1468028","1468028")</f>
        <v>1468028</v>
      </c>
      <c r="E6858">
        <v>2</v>
      </c>
      <c r="F6858" t="s">
        <v>159</v>
      </c>
    </row>
    <row r="6859" spans="1:6" x14ac:dyDescent="0.25">
      <c r="A6859" t="s">
        <v>6700</v>
      </c>
      <c r="B6859" t="s">
        <v>155</v>
      </c>
      <c r="C6859" t="s">
        <v>156</v>
      </c>
      <c r="D6859" t="str">
        <f>HYPERLINK("http://service.sap.com/sap/support/notes/1482768","1482768")</f>
        <v>1482768</v>
      </c>
      <c r="E6859">
        <v>2</v>
      </c>
      <c r="F6859" t="s">
        <v>6683</v>
      </c>
    </row>
    <row r="6860" spans="1:6" x14ac:dyDescent="0.25">
      <c r="A6860" t="s">
        <v>6700</v>
      </c>
      <c r="B6860" t="s">
        <v>155</v>
      </c>
      <c r="C6860" t="s">
        <v>156</v>
      </c>
      <c r="D6860" t="str">
        <f>HYPERLINK("http://service.sap.com/sap/support/notes/1491331","1491331")</f>
        <v>1491331</v>
      </c>
      <c r="E6860">
        <v>2</v>
      </c>
      <c r="F6860" t="s">
        <v>6684</v>
      </c>
    </row>
    <row r="6861" spans="1:6" x14ac:dyDescent="0.25">
      <c r="A6861" t="s">
        <v>6700</v>
      </c>
      <c r="B6861" t="s">
        <v>155</v>
      </c>
      <c r="C6861" t="s">
        <v>156</v>
      </c>
      <c r="D6861" t="str">
        <f>HYPERLINK("http://service.sap.com/sap/support/notes/1496650","1496650")</f>
        <v>1496650</v>
      </c>
      <c r="E6861">
        <v>2</v>
      </c>
      <c r="F6861" t="s">
        <v>6685</v>
      </c>
    </row>
    <row r="6862" spans="1:6" x14ac:dyDescent="0.25">
      <c r="A6862" t="s">
        <v>6700</v>
      </c>
      <c r="B6862" t="s">
        <v>155</v>
      </c>
      <c r="C6862" t="s">
        <v>156</v>
      </c>
      <c r="D6862" t="str">
        <f>HYPERLINK("http://service.sap.com/sap/support/notes/1498898","1498898")</f>
        <v>1498898</v>
      </c>
      <c r="E6862">
        <v>2</v>
      </c>
      <c r="F6862" t="s">
        <v>6686</v>
      </c>
    </row>
    <row r="6863" spans="1:6" x14ac:dyDescent="0.25">
      <c r="A6863" t="s">
        <v>6700</v>
      </c>
      <c r="B6863" t="s">
        <v>155</v>
      </c>
      <c r="C6863" t="s">
        <v>156</v>
      </c>
      <c r="D6863" t="str">
        <f>HYPERLINK("http://service.sap.com/sap/support/notes/1512631","1512631")</f>
        <v>1512631</v>
      </c>
      <c r="E6863">
        <v>1</v>
      </c>
      <c r="F6863" t="s">
        <v>166</v>
      </c>
    </row>
    <row r="6864" spans="1:6" x14ac:dyDescent="0.25">
      <c r="A6864" t="s">
        <v>6700</v>
      </c>
      <c r="B6864" t="s">
        <v>155</v>
      </c>
      <c r="C6864" t="s">
        <v>156</v>
      </c>
      <c r="D6864" t="str">
        <f>HYPERLINK("http://service.sap.com/sap/support/notes/1518049","1518049")</f>
        <v>1518049</v>
      </c>
      <c r="E6864">
        <v>1</v>
      </c>
      <c r="F6864" t="s">
        <v>167</v>
      </c>
    </row>
    <row r="6865" spans="1:6" x14ac:dyDescent="0.25">
      <c r="A6865" t="s">
        <v>6700</v>
      </c>
      <c r="B6865" t="s">
        <v>168</v>
      </c>
      <c r="C6865" t="s">
        <v>169</v>
      </c>
      <c r="D6865" t="str">
        <f>HYPERLINK("http://service.sap.com/sap/support/notes/1518658","1518658")</f>
        <v>1518658</v>
      </c>
      <c r="E6865">
        <v>1</v>
      </c>
      <c r="F6865" t="s">
        <v>6687</v>
      </c>
    </row>
    <row r="6866" spans="1:6" x14ac:dyDescent="0.25">
      <c r="A6866" t="s">
        <v>6700</v>
      </c>
      <c r="B6866" t="s">
        <v>201</v>
      </c>
      <c r="C6866" t="s">
        <v>202</v>
      </c>
    </row>
    <row r="6867" spans="1:6" x14ac:dyDescent="0.25">
      <c r="A6867" t="s">
        <v>6700</v>
      </c>
      <c r="B6867" t="s">
        <v>964</v>
      </c>
      <c r="C6867" t="s">
        <v>299</v>
      </c>
      <c r="D6867" t="str">
        <f>HYPERLINK("http://service.sap.com/sap/support/notes/1522061","1522061")</f>
        <v>1522061</v>
      </c>
      <c r="E6867">
        <v>1</v>
      </c>
      <c r="F6867" t="s">
        <v>6688</v>
      </c>
    </row>
    <row r="6868" spans="1:6" x14ac:dyDescent="0.25">
      <c r="A6868" t="s">
        <v>6700</v>
      </c>
      <c r="B6868" t="s">
        <v>226</v>
      </c>
      <c r="C6868" t="s">
        <v>52</v>
      </c>
    </row>
    <row r="6869" spans="1:6" x14ac:dyDescent="0.25">
      <c r="A6869" t="s">
        <v>6700</v>
      </c>
      <c r="B6869" t="s">
        <v>235</v>
      </c>
      <c r="C6869" t="s">
        <v>236</v>
      </c>
    </row>
    <row r="6870" spans="1:6" x14ac:dyDescent="0.25">
      <c r="A6870" t="s">
        <v>6700</v>
      </c>
      <c r="B6870" t="s">
        <v>246</v>
      </c>
      <c r="C6870" t="s">
        <v>247</v>
      </c>
      <c r="D6870" t="str">
        <f>HYPERLINK("http://service.sap.com/sap/support/notes/1519417","1519417")</f>
        <v>1519417</v>
      </c>
      <c r="E6870">
        <v>1</v>
      </c>
      <c r="F6870" t="s">
        <v>248</v>
      </c>
    </row>
    <row r="6871" spans="1:6" x14ac:dyDescent="0.25">
      <c r="A6871" t="s">
        <v>6700</v>
      </c>
      <c r="B6871" t="s">
        <v>246</v>
      </c>
      <c r="C6871" t="s">
        <v>247</v>
      </c>
      <c r="D6871" t="str">
        <f>HYPERLINK("http://service.sap.com/sap/support/notes/1520460","1520460")</f>
        <v>1520460</v>
      </c>
      <c r="E6871">
        <v>2</v>
      </c>
      <c r="F6871" t="s">
        <v>6689</v>
      </c>
    </row>
    <row r="6872" spans="1:6" x14ac:dyDescent="0.25">
      <c r="A6872" t="s">
        <v>6700</v>
      </c>
      <c r="B6872" t="s">
        <v>246</v>
      </c>
      <c r="C6872" t="s">
        <v>247</v>
      </c>
      <c r="D6872" t="str">
        <f>HYPERLINK("http://service.sap.com/sap/support/notes/1521265","1521265")</f>
        <v>1521265</v>
      </c>
      <c r="E6872">
        <v>1</v>
      </c>
      <c r="F6872" t="s">
        <v>249</v>
      </c>
    </row>
    <row r="6873" spans="1:6" x14ac:dyDescent="0.25">
      <c r="A6873" t="s">
        <v>6700</v>
      </c>
      <c r="B6873" t="s">
        <v>304</v>
      </c>
      <c r="C6873" t="s">
        <v>305</v>
      </c>
      <c r="D6873" t="str">
        <f>HYPERLINK("http://service.sap.com/sap/support/notes/1497571","1497571")</f>
        <v>1497571</v>
      </c>
      <c r="E6873">
        <v>1</v>
      </c>
      <c r="F6873" t="s">
        <v>6690</v>
      </c>
    </row>
    <row r="6874" spans="1:6" x14ac:dyDescent="0.25">
      <c r="A6874" t="s">
        <v>6700</v>
      </c>
      <c r="B6874" t="s">
        <v>304</v>
      </c>
      <c r="C6874" t="s">
        <v>305</v>
      </c>
      <c r="D6874" t="str">
        <f>HYPERLINK("http://service.sap.com/sap/support/notes/1512614","1512614")</f>
        <v>1512614</v>
      </c>
      <c r="E6874">
        <v>1</v>
      </c>
      <c r="F6874" t="s">
        <v>6691</v>
      </c>
    </row>
    <row r="6875" spans="1:6" x14ac:dyDescent="0.25">
      <c r="A6875" t="s">
        <v>6700</v>
      </c>
      <c r="B6875" t="s">
        <v>363</v>
      </c>
      <c r="C6875" t="s">
        <v>74</v>
      </c>
    </row>
    <row r="6876" spans="1:6" x14ac:dyDescent="0.25">
      <c r="A6876" t="s">
        <v>6700</v>
      </c>
      <c r="B6876" t="s">
        <v>371</v>
      </c>
      <c r="C6876" t="s">
        <v>372</v>
      </c>
      <c r="D6876" t="str">
        <f>HYPERLINK("http://service.sap.com/sap/support/notes/1378818","1378818")</f>
        <v>1378818</v>
      </c>
      <c r="E6876">
        <v>1</v>
      </c>
      <c r="F6876" t="s">
        <v>5758</v>
      </c>
    </row>
    <row r="6877" spans="1:6" x14ac:dyDescent="0.25">
      <c r="A6877" t="s">
        <v>6700</v>
      </c>
      <c r="B6877" t="s">
        <v>396</v>
      </c>
      <c r="C6877" t="s">
        <v>397</v>
      </c>
    </row>
    <row r="6878" spans="1:6" x14ac:dyDescent="0.25">
      <c r="A6878" t="s">
        <v>6700</v>
      </c>
      <c r="B6878" t="s">
        <v>1202</v>
      </c>
      <c r="C6878" t="s">
        <v>1427</v>
      </c>
      <c r="D6878" t="str">
        <f>HYPERLINK("http://service.sap.com/sap/support/notes/1512227","1512227")</f>
        <v>1512227</v>
      </c>
      <c r="E6878">
        <v>1</v>
      </c>
      <c r="F6878" t="s">
        <v>6692</v>
      </c>
    </row>
    <row r="6879" spans="1:6" x14ac:dyDescent="0.25">
      <c r="A6879" t="s">
        <v>6700</v>
      </c>
      <c r="B6879" t="s">
        <v>499</v>
      </c>
      <c r="C6879" t="s">
        <v>108</v>
      </c>
      <c r="D6879" t="str">
        <f>HYPERLINK("http://service.sap.com/sap/support/notes/1487366","1487366")</f>
        <v>1487366</v>
      </c>
      <c r="E6879">
        <v>4</v>
      </c>
      <c r="F6879" t="s">
        <v>6693</v>
      </c>
    </row>
    <row r="6880" spans="1:6" x14ac:dyDescent="0.25">
      <c r="A6880" t="s">
        <v>6700</v>
      </c>
      <c r="B6880" t="s">
        <v>531</v>
      </c>
      <c r="C6880" t="s">
        <v>532</v>
      </c>
    </row>
    <row r="6881" spans="1:6" x14ac:dyDescent="0.25">
      <c r="A6881" t="s">
        <v>6700</v>
      </c>
      <c r="B6881" t="s">
        <v>1342</v>
      </c>
      <c r="C6881" t="s">
        <v>1343</v>
      </c>
    </row>
    <row r="6882" spans="1:6" x14ac:dyDescent="0.25">
      <c r="A6882" t="s">
        <v>6700</v>
      </c>
      <c r="B6882" t="s">
        <v>6392</v>
      </c>
      <c r="C6882" t="s">
        <v>6393</v>
      </c>
      <c r="D6882" t="str">
        <f>HYPERLINK("http://service.sap.com/sap/support/notes/1506849","1506849")</f>
        <v>1506849</v>
      </c>
      <c r="E6882">
        <v>1</v>
      </c>
      <c r="F6882" t="s">
        <v>6694</v>
      </c>
    </row>
    <row r="6883" spans="1:6" x14ac:dyDescent="0.25">
      <c r="A6883" t="s">
        <v>6700</v>
      </c>
      <c r="B6883" t="s">
        <v>6392</v>
      </c>
      <c r="C6883" t="s">
        <v>6393</v>
      </c>
      <c r="D6883" t="str">
        <f>HYPERLINK("http://service.sap.com/sap/support/notes/1507007","1507007")</f>
        <v>1507007</v>
      </c>
      <c r="E6883">
        <v>1</v>
      </c>
      <c r="F6883" t="s">
        <v>6695</v>
      </c>
    </row>
    <row r="6884" spans="1:6" x14ac:dyDescent="0.25">
      <c r="A6884" t="s">
        <v>6700</v>
      </c>
      <c r="B6884" t="s">
        <v>6392</v>
      </c>
      <c r="C6884" t="s">
        <v>6393</v>
      </c>
      <c r="D6884" t="str">
        <f>HYPERLINK("http://service.sap.com/sap/support/notes/1515051","1515051")</f>
        <v>1515051</v>
      </c>
      <c r="E6884">
        <v>1</v>
      </c>
      <c r="F6884" t="s">
        <v>6696</v>
      </c>
    </row>
    <row r="6885" spans="1:6" x14ac:dyDescent="0.25">
      <c r="A6885" t="s">
        <v>6700</v>
      </c>
      <c r="B6885" t="s">
        <v>4309</v>
      </c>
      <c r="C6885" t="s">
        <v>4310</v>
      </c>
      <c r="D6885" t="str">
        <f>HYPERLINK("http://service.sap.com/sap/support/notes/1504489","1504489")</f>
        <v>1504489</v>
      </c>
      <c r="E6885">
        <v>1</v>
      </c>
      <c r="F6885" t="s">
        <v>6697</v>
      </c>
    </row>
    <row r="6886" spans="1:6" x14ac:dyDescent="0.25">
      <c r="A6886" t="s">
        <v>6700</v>
      </c>
      <c r="B6886" t="s">
        <v>1361</v>
      </c>
      <c r="C6886" t="s">
        <v>1362</v>
      </c>
      <c r="D6886" t="str">
        <f>HYPERLINK("http://service.sap.com/sap/support/notes/1505235","1505235")</f>
        <v>1505235</v>
      </c>
      <c r="E6886">
        <v>1</v>
      </c>
      <c r="F6886" t="s">
        <v>6698</v>
      </c>
    </row>
    <row r="6887" spans="1:6" x14ac:dyDescent="0.25">
      <c r="A6887" t="s">
        <v>6700</v>
      </c>
      <c r="B6887" t="s">
        <v>4185</v>
      </c>
      <c r="C6887" t="s">
        <v>4186</v>
      </c>
    </row>
    <row r="6888" spans="1:6" x14ac:dyDescent="0.25">
      <c r="A6888" t="s">
        <v>6700</v>
      </c>
      <c r="B6888" t="s">
        <v>4187</v>
      </c>
      <c r="C6888" t="s">
        <v>4188</v>
      </c>
    </row>
    <row r="6889" spans="1:6" x14ac:dyDescent="0.25">
      <c r="A6889" t="s">
        <v>6700</v>
      </c>
      <c r="B6889" t="s">
        <v>4189</v>
      </c>
      <c r="C6889" t="s">
        <v>4190</v>
      </c>
    </row>
    <row r="6890" spans="1:6" x14ac:dyDescent="0.25">
      <c r="A6890" t="s">
        <v>6700</v>
      </c>
      <c r="B6890" t="s">
        <v>4191</v>
      </c>
      <c r="C6890" t="s">
        <v>4192</v>
      </c>
    </row>
    <row r="6891" spans="1:6" x14ac:dyDescent="0.25">
      <c r="A6891" t="s">
        <v>6700</v>
      </c>
      <c r="B6891" t="s">
        <v>4193</v>
      </c>
      <c r="C6891" t="s">
        <v>4194</v>
      </c>
      <c r="D6891" t="str">
        <f>HYPERLINK("http://service.sap.com/sap/support/notes/1513133","1513133")</f>
        <v>1513133</v>
      </c>
      <c r="E6891">
        <v>1</v>
      </c>
      <c r="F6891" t="s">
        <v>6699</v>
      </c>
    </row>
    <row r="6892" spans="1:6" x14ac:dyDescent="0.25">
      <c r="A6892" t="s">
        <v>6700</v>
      </c>
      <c r="B6892" t="s">
        <v>543</v>
      </c>
      <c r="C6892" t="s">
        <v>544</v>
      </c>
    </row>
    <row r="6893" spans="1:6" x14ac:dyDescent="0.25">
      <c r="A6893" t="s">
        <v>6700</v>
      </c>
      <c r="B6893" t="s">
        <v>5776</v>
      </c>
      <c r="C6893" t="s">
        <v>5777</v>
      </c>
    </row>
    <row r="6894" spans="1:6" x14ac:dyDescent="0.25">
      <c r="A6894" t="s">
        <v>6700</v>
      </c>
      <c r="B6894" t="s">
        <v>5778</v>
      </c>
      <c r="C6894" t="s">
        <v>5779</v>
      </c>
      <c r="D6894" t="str">
        <f>HYPERLINK("http://service.sap.com/sap/support/notes/1503118","1503118")</f>
        <v>1503118</v>
      </c>
      <c r="E6894">
        <v>2</v>
      </c>
      <c r="F6894" t="s">
        <v>6539</v>
      </c>
    </row>
    <row r="6895" spans="1:6" x14ac:dyDescent="0.25">
      <c r="A6895" t="s">
        <v>6864</v>
      </c>
      <c r="B6895" t="s">
        <v>573</v>
      </c>
      <c r="C6895" t="s">
        <v>4037</v>
      </c>
    </row>
    <row r="6896" spans="1:6" x14ac:dyDescent="0.25">
      <c r="A6896" t="s">
        <v>6864</v>
      </c>
      <c r="B6896" t="s">
        <v>4043</v>
      </c>
      <c r="C6896" t="s">
        <v>4044</v>
      </c>
    </row>
    <row r="6897" spans="1:6" x14ac:dyDescent="0.25">
      <c r="A6897" t="s">
        <v>6864</v>
      </c>
      <c r="B6897" t="s">
        <v>4045</v>
      </c>
      <c r="C6897" t="s">
        <v>4046</v>
      </c>
    </row>
    <row r="6898" spans="1:6" x14ac:dyDescent="0.25">
      <c r="A6898" t="s">
        <v>6864</v>
      </c>
      <c r="B6898" t="s">
        <v>4047</v>
      </c>
      <c r="C6898" t="s">
        <v>4048</v>
      </c>
      <c r="D6898" t="str">
        <f>HYPERLINK("http://service.sap.com/sap/support/notes/1447531","1447531")</f>
        <v>1447531</v>
      </c>
      <c r="E6898">
        <v>1</v>
      </c>
      <c r="F6898" t="s">
        <v>5529</v>
      </c>
    </row>
    <row r="6899" spans="1:6" x14ac:dyDescent="0.25">
      <c r="A6899" t="s">
        <v>6864</v>
      </c>
      <c r="B6899" t="s">
        <v>4047</v>
      </c>
      <c r="C6899" t="s">
        <v>4048</v>
      </c>
      <c r="D6899" t="str">
        <f>HYPERLINK("http://service.sap.com/sap/support/notes/1495435","1495435")</f>
        <v>1495435</v>
      </c>
      <c r="E6899">
        <v>3</v>
      </c>
      <c r="F6899" t="s">
        <v>6701</v>
      </c>
    </row>
    <row r="6900" spans="1:6" x14ac:dyDescent="0.25">
      <c r="A6900" t="s">
        <v>6864</v>
      </c>
      <c r="B6900" t="s">
        <v>4047</v>
      </c>
      <c r="C6900" t="s">
        <v>4048</v>
      </c>
      <c r="D6900" t="str">
        <f>HYPERLINK("http://service.sap.com/sap/support/notes/1510113","1510113")</f>
        <v>1510113</v>
      </c>
      <c r="E6900">
        <v>1</v>
      </c>
      <c r="F6900" t="s">
        <v>6702</v>
      </c>
    </row>
    <row r="6901" spans="1:6" x14ac:dyDescent="0.25">
      <c r="A6901" t="s">
        <v>6864</v>
      </c>
      <c r="B6901" t="s">
        <v>4047</v>
      </c>
      <c r="C6901" t="s">
        <v>4048</v>
      </c>
      <c r="D6901" t="str">
        <f>HYPERLINK("http://service.sap.com/sap/support/notes/1522230","1522230")</f>
        <v>1522230</v>
      </c>
      <c r="E6901">
        <v>1</v>
      </c>
      <c r="F6901" t="s">
        <v>6703</v>
      </c>
    </row>
    <row r="6902" spans="1:6" x14ac:dyDescent="0.25">
      <c r="A6902" t="s">
        <v>6864</v>
      </c>
      <c r="B6902" t="s">
        <v>20</v>
      </c>
      <c r="C6902" t="s">
        <v>21</v>
      </c>
    </row>
    <row r="6903" spans="1:6" x14ac:dyDescent="0.25">
      <c r="A6903" t="s">
        <v>6864</v>
      </c>
      <c r="B6903" t="s">
        <v>6704</v>
      </c>
      <c r="C6903" t="s">
        <v>6705</v>
      </c>
    </row>
    <row r="6904" spans="1:6" x14ac:dyDescent="0.25">
      <c r="A6904" t="s">
        <v>6864</v>
      </c>
      <c r="B6904" t="s">
        <v>6706</v>
      </c>
      <c r="C6904" t="s">
        <v>6707</v>
      </c>
      <c r="D6904" t="str">
        <f>HYPERLINK("http://service.sap.com/sap/support/notes/1269440","1269440")</f>
        <v>1269440</v>
      </c>
      <c r="E6904">
        <v>2</v>
      </c>
      <c r="F6904" t="s">
        <v>6708</v>
      </c>
    </row>
    <row r="6905" spans="1:6" x14ac:dyDescent="0.25">
      <c r="A6905" t="s">
        <v>6864</v>
      </c>
      <c r="B6905" t="s">
        <v>22</v>
      </c>
      <c r="C6905" t="s">
        <v>23</v>
      </c>
      <c r="D6905" t="str">
        <f>HYPERLINK("http://service.sap.com/sap/support/notes/1172456","1172456")</f>
        <v>1172456</v>
      </c>
      <c r="E6905">
        <v>2</v>
      </c>
      <c r="F6905" t="s">
        <v>6709</v>
      </c>
    </row>
    <row r="6906" spans="1:6" x14ac:dyDescent="0.25">
      <c r="A6906" t="s">
        <v>6864</v>
      </c>
      <c r="B6906" t="s">
        <v>22</v>
      </c>
      <c r="C6906" t="s">
        <v>23</v>
      </c>
      <c r="D6906" t="str">
        <f>HYPERLINK("http://service.sap.com/sap/support/notes/1466952","1466952")</f>
        <v>1466952</v>
      </c>
      <c r="E6906">
        <v>5</v>
      </c>
      <c r="F6906" t="s">
        <v>5810</v>
      </c>
    </row>
    <row r="6907" spans="1:6" x14ac:dyDescent="0.25">
      <c r="A6907" t="s">
        <v>6864</v>
      </c>
      <c r="B6907" t="s">
        <v>22</v>
      </c>
      <c r="C6907" t="s">
        <v>23</v>
      </c>
      <c r="D6907" t="str">
        <f>HYPERLINK("http://service.sap.com/sap/support/notes/1490383","1490383")</f>
        <v>1490383</v>
      </c>
      <c r="E6907">
        <v>3</v>
      </c>
      <c r="F6907" t="s">
        <v>6710</v>
      </c>
    </row>
    <row r="6908" spans="1:6" x14ac:dyDescent="0.25">
      <c r="A6908" t="s">
        <v>6864</v>
      </c>
      <c r="B6908" t="s">
        <v>22</v>
      </c>
      <c r="C6908" t="s">
        <v>23</v>
      </c>
      <c r="D6908" t="str">
        <f>HYPERLINK("http://service.sap.com/sap/support/notes/1515394","1515394")</f>
        <v>1515394</v>
      </c>
      <c r="E6908">
        <v>1</v>
      </c>
      <c r="F6908" t="s">
        <v>6551</v>
      </c>
    </row>
    <row r="6909" spans="1:6" x14ac:dyDescent="0.25">
      <c r="A6909" t="s">
        <v>6864</v>
      </c>
      <c r="B6909" t="s">
        <v>22</v>
      </c>
      <c r="C6909" t="s">
        <v>23</v>
      </c>
      <c r="D6909" t="str">
        <f>HYPERLINK("http://service.sap.com/sap/support/notes/1519905","1519905")</f>
        <v>1519905</v>
      </c>
      <c r="E6909">
        <v>1</v>
      </c>
      <c r="F6909" t="s">
        <v>6554</v>
      </c>
    </row>
    <row r="6910" spans="1:6" x14ac:dyDescent="0.25">
      <c r="A6910" t="s">
        <v>6864</v>
      </c>
      <c r="B6910" t="s">
        <v>22</v>
      </c>
      <c r="C6910" t="s">
        <v>23</v>
      </c>
      <c r="D6910" t="str">
        <f>HYPERLINK("http://service.sap.com/sap/support/notes/1523333","1523333")</f>
        <v>1523333</v>
      </c>
      <c r="E6910">
        <v>1</v>
      </c>
      <c r="F6910" t="s">
        <v>6711</v>
      </c>
    </row>
    <row r="6911" spans="1:6" x14ac:dyDescent="0.25">
      <c r="A6911" t="s">
        <v>6864</v>
      </c>
      <c r="B6911" t="s">
        <v>22</v>
      </c>
      <c r="C6911" t="s">
        <v>23</v>
      </c>
      <c r="D6911" t="str">
        <f>HYPERLINK("http://service.sap.com/sap/support/notes/1524898","1524898")</f>
        <v>1524898</v>
      </c>
      <c r="E6911">
        <v>1</v>
      </c>
      <c r="F6911" t="s">
        <v>6712</v>
      </c>
    </row>
    <row r="6912" spans="1:6" x14ac:dyDescent="0.25">
      <c r="A6912" t="s">
        <v>6864</v>
      </c>
      <c r="B6912" t="s">
        <v>22</v>
      </c>
      <c r="C6912" t="s">
        <v>23</v>
      </c>
      <c r="D6912" t="str">
        <f>HYPERLINK("http://service.sap.com/sap/support/notes/1525953","1525953")</f>
        <v>1525953</v>
      </c>
      <c r="E6912">
        <v>2</v>
      </c>
      <c r="F6912" t="s">
        <v>6713</v>
      </c>
    </row>
    <row r="6913" spans="1:6" x14ac:dyDescent="0.25">
      <c r="A6913" t="s">
        <v>6864</v>
      </c>
      <c r="B6913" t="s">
        <v>22</v>
      </c>
      <c r="C6913" t="s">
        <v>23</v>
      </c>
      <c r="D6913" t="str">
        <f>HYPERLINK("http://service.sap.com/sap/support/notes/1530265","1530265")</f>
        <v>1530265</v>
      </c>
      <c r="E6913">
        <v>1</v>
      </c>
      <c r="F6913" t="s">
        <v>6714</v>
      </c>
    </row>
    <row r="6914" spans="1:6" x14ac:dyDescent="0.25">
      <c r="A6914" t="s">
        <v>6864</v>
      </c>
      <c r="B6914" t="s">
        <v>24</v>
      </c>
      <c r="C6914" t="s">
        <v>25</v>
      </c>
      <c r="D6914" t="str">
        <f>HYPERLINK("http://service.sap.com/sap/support/notes/1511600","1511600")</f>
        <v>1511600</v>
      </c>
      <c r="E6914">
        <v>1</v>
      </c>
      <c r="F6914" t="s">
        <v>6715</v>
      </c>
    </row>
    <row r="6915" spans="1:6" x14ac:dyDescent="0.25">
      <c r="A6915" t="s">
        <v>6864</v>
      </c>
      <c r="B6915" t="s">
        <v>24</v>
      </c>
      <c r="C6915" t="s">
        <v>25</v>
      </c>
      <c r="D6915" t="str">
        <f>HYPERLINK("http://service.sap.com/sap/support/notes/1522178","1522178")</f>
        <v>1522178</v>
      </c>
      <c r="E6915">
        <v>1</v>
      </c>
      <c r="F6915" t="s">
        <v>6716</v>
      </c>
    </row>
    <row r="6916" spans="1:6" x14ac:dyDescent="0.25">
      <c r="A6916" t="s">
        <v>6864</v>
      </c>
      <c r="B6916" t="s">
        <v>24</v>
      </c>
      <c r="C6916" t="s">
        <v>25</v>
      </c>
      <c r="D6916" t="str">
        <f>HYPERLINK("http://service.sap.com/sap/support/notes/1522326","1522326")</f>
        <v>1522326</v>
      </c>
      <c r="E6916">
        <v>2</v>
      </c>
      <c r="F6916" t="s">
        <v>6717</v>
      </c>
    </row>
    <row r="6917" spans="1:6" x14ac:dyDescent="0.25">
      <c r="A6917" t="s">
        <v>6864</v>
      </c>
      <c r="B6917" t="s">
        <v>24</v>
      </c>
      <c r="C6917" t="s">
        <v>25</v>
      </c>
      <c r="D6917" t="str">
        <f>HYPERLINK("http://service.sap.com/sap/support/notes/1522434","1522434")</f>
        <v>1522434</v>
      </c>
      <c r="E6917">
        <v>1</v>
      </c>
      <c r="F6917" t="s">
        <v>6718</v>
      </c>
    </row>
    <row r="6918" spans="1:6" x14ac:dyDescent="0.25">
      <c r="A6918" t="s">
        <v>6864</v>
      </c>
      <c r="B6918" t="s">
        <v>24</v>
      </c>
      <c r="C6918" t="s">
        <v>25</v>
      </c>
      <c r="D6918" t="str">
        <f>HYPERLINK("http://service.sap.com/sap/support/notes/1522873","1522873")</f>
        <v>1522873</v>
      </c>
      <c r="E6918">
        <v>1</v>
      </c>
      <c r="F6918" t="s">
        <v>6719</v>
      </c>
    </row>
    <row r="6919" spans="1:6" x14ac:dyDescent="0.25">
      <c r="A6919" t="s">
        <v>6864</v>
      </c>
      <c r="B6919" t="s">
        <v>24</v>
      </c>
      <c r="C6919" t="s">
        <v>25</v>
      </c>
      <c r="D6919" t="str">
        <f>HYPERLINK("http://service.sap.com/sap/support/notes/1523403","1523403")</f>
        <v>1523403</v>
      </c>
      <c r="E6919">
        <v>3</v>
      </c>
      <c r="F6919" t="s">
        <v>6720</v>
      </c>
    </row>
    <row r="6920" spans="1:6" x14ac:dyDescent="0.25">
      <c r="A6920" t="s">
        <v>6864</v>
      </c>
      <c r="B6920" t="s">
        <v>24</v>
      </c>
      <c r="C6920" t="s">
        <v>25</v>
      </c>
      <c r="D6920" t="str">
        <f>HYPERLINK("http://service.sap.com/sap/support/notes/1523849","1523849")</f>
        <v>1523849</v>
      </c>
      <c r="E6920">
        <v>1</v>
      </c>
      <c r="F6920" t="s">
        <v>6721</v>
      </c>
    </row>
    <row r="6921" spans="1:6" x14ac:dyDescent="0.25">
      <c r="A6921" t="s">
        <v>6864</v>
      </c>
      <c r="B6921" t="s">
        <v>24</v>
      </c>
      <c r="C6921" t="s">
        <v>25</v>
      </c>
      <c r="D6921" t="str">
        <f>HYPERLINK("http://service.sap.com/sap/support/notes/1524213","1524213")</f>
        <v>1524213</v>
      </c>
      <c r="E6921">
        <v>3</v>
      </c>
      <c r="F6921" t="s">
        <v>6722</v>
      </c>
    </row>
    <row r="6922" spans="1:6" x14ac:dyDescent="0.25">
      <c r="A6922" t="s">
        <v>6864</v>
      </c>
      <c r="B6922" t="s">
        <v>24</v>
      </c>
      <c r="C6922" t="s">
        <v>25</v>
      </c>
      <c r="D6922" t="str">
        <f>HYPERLINK("http://service.sap.com/sap/support/notes/1524275","1524275")</f>
        <v>1524275</v>
      </c>
      <c r="E6922">
        <v>1</v>
      </c>
      <c r="F6922" t="s">
        <v>6723</v>
      </c>
    </row>
    <row r="6923" spans="1:6" x14ac:dyDescent="0.25">
      <c r="A6923" t="s">
        <v>6864</v>
      </c>
      <c r="B6923" t="s">
        <v>24</v>
      </c>
      <c r="C6923" t="s">
        <v>25</v>
      </c>
      <c r="D6923" t="str">
        <f>HYPERLINK("http://service.sap.com/sap/support/notes/1525332","1525332")</f>
        <v>1525332</v>
      </c>
      <c r="E6923">
        <v>3</v>
      </c>
      <c r="F6923" t="s">
        <v>6724</v>
      </c>
    </row>
    <row r="6924" spans="1:6" x14ac:dyDescent="0.25">
      <c r="A6924" t="s">
        <v>6864</v>
      </c>
      <c r="B6924" t="s">
        <v>24</v>
      </c>
      <c r="C6924" t="s">
        <v>25</v>
      </c>
      <c r="D6924" t="str">
        <f>HYPERLINK("http://service.sap.com/sap/support/notes/1526064","1526064")</f>
        <v>1526064</v>
      </c>
      <c r="E6924">
        <v>2</v>
      </c>
      <c r="F6924" t="s">
        <v>6725</v>
      </c>
    </row>
    <row r="6925" spans="1:6" x14ac:dyDescent="0.25">
      <c r="A6925" t="s">
        <v>6864</v>
      </c>
      <c r="B6925" t="s">
        <v>24</v>
      </c>
      <c r="C6925" t="s">
        <v>25</v>
      </c>
      <c r="D6925" t="str">
        <f>HYPERLINK("http://service.sap.com/sap/support/notes/1526792","1526792")</f>
        <v>1526792</v>
      </c>
      <c r="E6925">
        <v>1</v>
      </c>
      <c r="F6925" t="s">
        <v>6726</v>
      </c>
    </row>
    <row r="6926" spans="1:6" x14ac:dyDescent="0.25">
      <c r="A6926" t="s">
        <v>6864</v>
      </c>
      <c r="B6926" t="s">
        <v>24</v>
      </c>
      <c r="C6926" t="s">
        <v>25</v>
      </c>
      <c r="D6926" t="str">
        <f>HYPERLINK("http://service.sap.com/sap/support/notes/1527133","1527133")</f>
        <v>1527133</v>
      </c>
      <c r="E6926">
        <v>1</v>
      </c>
      <c r="F6926" t="s">
        <v>6727</v>
      </c>
    </row>
    <row r="6927" spans="1:6" x14ac:dyDescent="0.25">
      <c r="A6927" t="s">
        <v>6864</v>
      </c>
      <c r="B6927" t="s">
        <v>24</v>
      </c>
      <c r="C6927" t="s">
        <v>25</v>
      </c>
      <c r="D6927" t="str">
        <f>HYPERLINK("http://service.sap.com/sap/support/notes/1527368","1527368")</f>
        <v>1527368</v>
      </c>
      <c r="E6927">
        <v>3</v>
      </c>
      <c r="F6927" t="s">
        <v>6728</v>
      </c>
    </row>
    <row r="6928" spans="1:6" x14ac:dyDescent="0.25">
      <c r="A6928" t="s">
        <v>6864</v>
      </c>
      <c r="B6928" t="s">
        <v>24</v>
      </c>
      <c r="C6928" t="s">
        <v>25</v>
      </c>
      <c r="D6928" t="str">
        <f>HYPERLINK("http://service.sap.com/sap/support/notes/1527835","1527835")</f>
        <v>1527835</v>
      </c>
      <c r="E6928">
        <v>1</v>
      </c>
      <c r="F6928" t="s">
        <v>6729</v>
      </c>
    </row>
    <row r="6929" spans="1:6" x14ac:dyDescent="0.25">
      <c r="A6929" t="s">
        <v>6864</v>
      </c>
      <c r="B6929" t="s">
        <v>24</v>
      </c>
      <c r="C6929" t="s">
        <v>25</v>
      </c>
      <c r="D6929" t="str">
        <f>HYPERLINK("http://service.sap.com/sap/support/notes/1527887","1527887")</f>
        <v>1527887</v>
      </c>
      <c r="E6929">
        <v>1</v>
      </c>
      <c r="F6929" t="s">
        <v>6730</v>
      </c>
    </row>
    <row r="6930" spans="1:6" x14ac:dyDescent="0.25">
      <c r="A6930" t="s">
        <v>6864</v>
      </c>
      <c r="B6930" t="s">
        <v>24</v>
      </c>
      <c r="C6930" t="s">
        <v>25</v>
      </c>
      <c r="D6930" t="str">
        <f>HYPERLINK("http://service.sap.com/sap/support/notes/1528425","1528425")</f>
        <v>1528425</v>
      </c>
      <c r="E6930">
        <v>2</v>
      </c>
      <c r="F6930" t="s">
        <v>6731</v>
      </c>
    </row>
    <row r="6931" spans="1:6" x14ac:dyDescent="0.25">
      <c r="A6931" t="s">
        <v>6864</v>
      </c>
      <c r="B6931" t="s">
        <v>24</v>
      </c>
      <c r="C6931" t="s">
        <v>25</v>
      </c>
      <c r="D6931" t="str">
        <f>HYPERLINK("http://service.sap.com/sap/support/notes/1528973","1528973")</f>
        <v>1528973</v>
      </c>
      <c r="E6931">
        <v>1</v>
      </c>
      <c r="F6931" t="s">
        <v>6732</v>
      </c>
    </row>
    <row r="6932" spans="1:6" x14ac:dyDescent="0.25">
      <c r="A6932" t="s">
        <v>6864</v>
      </c>
      <c r="B6932" t="s">
        <v>24</v>
      </c>
      <c r="C6932" t="s">
        <v>25</v>
      </c>
      <c r="D6932" t="str">
        <f>HYPERLINK("http://service.sap.com/sap/support/notes/1529315","1529315")</f>
        <v>1529315</v>
      </c>
      <c r="E6932">
        <v>2</v>
      </c>
      <c r="F6932" t="s">
        <v>6733</v>
      </c>
    </row>
    <row r="6933" spans="1:6" x14ac:dyDescent="0.25">
      <c r="A6933" t="s">
        <v>6864</v>
      </c>
      <c r="B6933" t="s">
        <v>24</v>
      </c>
      <c r="C6933" t="s">
        <v>25</v>
      </c>
      <c r="D6933" t="str">
        <f>HYPERLINK("http://service.sap.com/sap/support/notes/1529964","1529964")</f>
        <v>1529964</v>
      </c>
      <c r="E6933">
        <v>2</v>
      </c>
      <c r="F6933" t="s">
        <v>6734</v>
      </c>
    </row>
    <row r="6934" spans="1:6" x14ac:dyDescent="0.25">
      <c r="A6934" t="s">
        <v>6864</v>
      </c>
      <c r="B6934" t="s">
        <v>24</v>
      </c>
      <c r="C6934" t="s">
        <v>25</v>
      </c>
      <c r="D6934" t="str">
        <f>HYPERLINK("http://service.sap.com/sap/support/notes/1530814","1530814")</f>
        <v>1530814</v>
      </c>
      <c r="E6934">
        <v>2</v>
      </c>
      <c r="F6934" t="s">
        <v>6735</v>
      </c>
    </row>
    <row r="6935" spans="1:6" x14ac:dyDescent="0.25">
      <c r="A6935" t="s">
        <v>6864</v>
      </c>
      <c r="B6935" t="s">
        <v>24</v>
      </c>
      <c r="C6935" t="s">
        <v>25</v>
      </c>
      <c r="D6935" t="str">
        <f>HYPERLINK("http://service.sap.com/sap/support/notes/1531414","1531414")</f>
        <v>1531414</v>
      </c>
      <c r="E6935">
        <v>1</v>
      </c>
      <c r="F6935" t="s">
        <v>6736</v>
      </c>
    </row>
    <row r="6936" spans="1:6" x14ac:dyDescent="0.25">
      <c r="A6936" t="s">
        <v>6864</v>
      </c>
      <c r="B6936" t="s">
        <v>24</v>
      </c>
      <c r="C6936" t="s">
        <v>25</v>
      </c>
      <c r="D6936" t="str">
        <f>HYPERLINK("http://service.sap.com/sap/support/notes/1531609","1531609")</f>
        <v>1531609</v>
      </c>
      <c r="E6936">
        <v>1</v>
      </c>
      <c r="F6936" t="s">
        <v>6737</v>
      </c>
    </row>
    <row r="6937" spans="1:6" x14ac:dyDescent="0.25">
      <c r="A6937" t="s">
        <v>6864</v>
      </c>
      <c r="B6937" t="s">
        <v>4074</v>
      </c>
      <c r="C6937" t="s">
        <v>4075</v>
      </c>
      <c r="D6937" t="str">
        <f>HYPERLINK("http://service.sap.com/sap/support/notes/1498750","1498750")</f>
        <v>1498750</v>
      </c>
      <c r="E6937">
        <v>1</v>
      </c>
      <c r="F6937" t="s">
        <v>6738</v>
      </c>
    </row>
    <row r="6938" spans="1:6" x14ac:dyDescent="0.25">
      <c r="A6938" t="s">
        <v>6864</v>
      </c>
      <c r="B6938" t="s">
        <v>4074</v>
      </c>
      <c r="C6938" t="s">
        <v>4075</v>
      </c>
      <c r="D6938" t="str">
        <f>HYPERLINK("http://service.sap.com/sap/support/notes/1522370","1522370")</f>
        <v>1522370</v>
      </c>
      <c r="E6938">
        <v>2</v>
      </c>
      <c r="F6938" t="s">
        <v>6739</v>
      </c>
    </row>
    <row r="6939" spans="1:6" x14ac:dyDescent="0.25">
      <c r="A6939" t="s">
        <v>6864</v>
      </c>
      <c r="B6939" t="s">
        <v>4074</v>
      </c>
      <c r="C6939" t="s">
        <v>4075</v>
      </c>
      <c r="D6939" t="str">
        <f>HYPERLINK("http://service.sap.com/sap/support/notes/1522772","1522772")</f>
        <v>1522772</v>
      </c>
      <c r="E6939">
        <v>2</v>
      </c>
      <c r="F6939" t="s">
        <v>6740</v>
      </c>
    </row>
    <row r="6940" spans="1:6" x14ac:dyDescent="0.25">
      <c r="A6940" t="s">
        <v>6864</v>
      </c>
      <c r="B6940" t="s">
        <v>4074</v>
      </c>
      <c r="C6940" t="s">
        <v>4075</v>
      </c>
      <c r="D6940" t="str">
        <f>HYPERLINK("http://service.sap.com/sap/support/notes/1524330","1524330")</f>
        <v>1524330</v>
      </c>
      <c r="E6940">
        <v>1</v>
      </c>
      <c r="F6940" t="s">
        <v>6741</v>
      </c>
    </row>
    <row r="6941" spans="1:6" x14ac:dyDescent="0.25">
      <c r="A6941" t="s">
        <v>6864</v>
      </c>
      <c r="B6941" t="s">
        <v>4074</v>
      </c>
      <c r="C6941" t="s">
        <v>4075</v>
      </c>
      <c r="D6941" t="str">
        <f>HYPERLINK("http://service.sap.com/sap/support/notes/1526977","1526977")</f>
        <v>1526977</v>
      </c>
      <c r="E6941">
        <v>4</v>
      </c>
      <c r="F6941" t="s">
        <v>6742</v>
      </c>
    </row>
    <row r="6942" spans="1:6" x14ac:dyDescent="0.25">
      <c r="A6942" t="s">
        <v>6864</v>
      </c>
      <c r="B6942" t="s">
        <v>4074</v>
      </c>
      <c r="C6942" t="s">
        <v>4075</v>
      </c>
      <c r="D6942" t="str">
        <f>HYPERLINK("http://service.sap.com/sap/support/notes/1527964","1527964")</f>
        <v>1527964</v>
      </c>
      <c r="E6942">
        <v>1</v>
      </c>
      <c r="F6942" t="s">
        <v>6743</v>
      </c>
    </row>
    <row r="6943" spans="1:6" x14ac:dyDescent="0.25">
      <c r="A6943" t="s">
        <v>6864</v>
      </c>
      <c r="B6943" t="s">
        <v>4074</v>
      </c>
      <c r="C6943" t="s">
        <v>4075</v>
      </c>
      <c r="D6943" t="str">
        <f>HYPERLINK("http://service.sap.com/sap/support/notes/1528915","1528915")</f>
        <v>1528915</v>
      </c>
      <c r="E6943">
        <v>1</v>
      </c>
      <c r="F6943" t="s">
        <v>6744</v>
      </c>
    </row>
    <row r="6944" spans="1:6" x14ac:dyDescent="0.25">
      <c r="A6944" t="s">
        <v>6864</v>
      </c>
      <c r="B6944" t="s">
        <v>4074</v>
      </c>
      <c r="C6944" t="s">
        <v>4075</v>
      </c>
      <c r="D6944" t="str">
        <f>HYPERLINK("http://service.sap.com/sap/support/notes/1528949","1528949")</f>
        <v>1528949</v>
      </c>
      <c r="E6944">
        <v>1</v>
      </c>
      <c r="F6944" t="s">
        <v>6745</v>
      </c>
    </row>
    <row r="6945" spans="1:6" x14ac:dyDescent="0.25">
      <c r="A6945" t="s">
        <v>6864</v>
      </c>
      <c r="B6945" t="s">
        <v>4081</v>
      </c>
      <c r="C6945" t="s">
        <v>4082</v>
      </c>
      <c r="D6945" t="str">
        <f>HYPERLINK("http://service.sap.com/sap/support/notes/1521295","1521295")</f>
        <v>1521295</v>
      </c>
      <c r="E6945">
        <v>3</v>
      </c>
      <c r="F6945" t="s">
        <v>6597</v>
      </c>
    </row>
    <row r="6946" spans="1:6" x14ac:dyDescent="0.25">
      <c r="A6946" t="s">
        <v>6864</v>
      </c>
      <c r="B6946" t="s">
        <v>4081</v>
      </c>
      <c r="C6946" t="s">
        <v>4082</v>
      </c>
      <c r="D6946" t="str">
        <f>HYPERLINK("http://service.sap.com/sap/support/notes/1523166","1523166")</f>
        <v>1523166</v>
      </c>
      <c r="E6946">
        <v>1</v>
      </c>
      <c r="F6946" t="s">
        <v>6746</v>
      </c>
    </row>
    <row r="6947" spans="1:6" x14ac:dyDescent="0.25">
      <c r="A6947" t="s">
        <v>6864</v>
      </c>
      <c r="B6947" t="s">
        <v>4081</v>
      </c>
      <c r="C6947" t="s">
        <v>4082</v>
      </c>
      <c r="D6947" t="str">
        <f>HYPERLINK("http://service.sap.com/sap/support/notes/1526119","1526119")</f>
        <v>1526119</v>
      </c>
      <c r="E6947">
        <v>2</v>
      </c>
      <c r="F6947" t="s">
        <v>6747</v>
      </c>
    </row>
    <row r="6948" spans="1:6" x14ac:dyDescent="0.25">
      <c r="A6948" t="s">
        <v>6864</v>
      </c>
      <c r="B6948" t="s">
        <v>4081</v>
      </c>
      <c r="C6948" t="s">
        <v>4082</v>
      </c>
      <c r="D6948" t="str">
        <f>HYPERLINK("http://service.sap.com/sap/support/notes/1526838","1526838")</f>
        <v>1526838</v>
      </c>
      <c r="E6948">
        <v>2</v>
      </c>
      <c r="F6948" t="s">
        <v>6748</v>
      </c>
    </row>
    <row r="6949" spans="1:6" x14ac:dyDescent="0.25">
      <c r="A6949" t="s">
        <v>6864</v>
      </c>
      <c r="B6949" t="s">
        <v>4081</v>
      </c>
      <c r="C6949" t="s">
        <v>4082</v>
      </c>
      <c r="D6949" t="str">
        <f>HYPERLINK("http://service.sap.com/sap/support/notes/1526991","1526991")</f>
        <v>1526991</v>
      </c>
      <c r="E6949">
        <v>2</v>
      </c>
      <c r="F6949" t="s">
        <v>6749</v>
      </c>
    </row>
    <row r="6950" spans="1:6" x14ac:dyDescent="0.25">
      <c r="A6950" t="s">
        <v>6864</v>
      </c>
      <c r="B6950" t="s">
        <v>4081</v>
      </c>
      <c r="C6950" t="s">
        <v>4082</v>
      </c>
      <c r="D6950" t="str">
        <f>HYPERLINK("http://service.sap.com/sap/support/notes/1529180","1529180")</f>
        <v>1529180</v>
      </c>
      <c r="E6950">
        <v>1</v>
      </c>
      <c r="F6950" t="s">
        <v>6750</v>
      </c>
    </row>
    <row r="6951" spans="1:6" x14ac:dyDescent="0.25">
      <c r="A6951" t="s">
        <v>6864</v>
      </c>
      <c r="B6951" t="s">
        <v>4081</v>
      </c>
      <c r="C6951" t="s">
        <v>4082</v>
      </c>
      <c r="D6951" t="str">
        <f>HYPERLINK("http://service.sap.com/sap/support/notes/1529368","1529368")</f>
        <v>1529368</v>
      </c>
      <c r="E6951">
        <v>1</v>
      </c>
      <c r="F6951" t="s">
        <v>6751</v>
      </c>
    </row>
    <row r="6952" spans="1:6" x14ac:dyDescent="0.25">
      <c r="A6952" t="s">
        <v>6864</v>
      </c>
      <c r="B6952" t="s">
        <v>4081</v>
      </c>
      <c r="C6952" t="s">
        <v>4082</v>
      </c>
      <c r="D6952" t="str">
        <f>HYPERLINK("http://service.sap.com/sap/support/notes/1530055","1530055")</f>
        <v>1530055</v>
      </c>
      <c r="E6952">
        <v>1</v>
      </c>
      <c r="F6952" t="s">
        <v>6752</v>
      </c>
    </row>
    <row r="6953" spans="1:6" x14ac:dyDescent="0.25">
      <c r="A6953" t="s">
        <v>6864</v>
      </c>
      <c r="B6953" t="s">
        <v>27</v>
      </c>
      <c r="C6953" t="s">
        <v>13</v>
      </c>
    </row>
    <row r="6954" spans="1:6" x14ac:dyDescent="0.25">
      <c r="A6954" t="s">
        <v>6864</v>
      </c>
      <c r="B6954" t="s">
        <v>4091</v>
      </c>
      <c r="C6954" t="s">
        <v>4092</v>
      </c>
      <c r="D6954" t="str">
        <f>HYPERLINK("http://service.sap.com/sap/support/notes/1435123","1435123")</f>
        <v>1435123</v>
      </c>
      <c r="E6954">
        <v>2</v>
      </c>
      <c r="F6954" t="s">
        <v>6753</v>
      </c>
    </row>
    <row r="6955" spans="1:6" x14ac:dyDescent="0.25">
      <c r="A6955" t="s">
        <v>6864</v>
      </c>
      <c r="B6955" t="s">
        <v>4091</v>
      </c>
      <c r="C6955" t="s">
        <v>4092</v>
      </c>
      <c r="D6955" t="str">
        <f>HYPERLINK("http://service.sap.com/sap/support/notes/1502022","1502022")</f>
        <v>1502022</v>
      </c>
      <c r="E6955">
        <v>1</v>
      </c>
      <c r="F6955" t="s">
        <v>6754</v>
      </c>
    </row>
    <row r="6956" spans="1:6" x14ac:dyDescent="0.25">
      <c r="A6956" t="s">
        <v>6864</v>
      </c>
      <c r="B6956" t="s">
        <v>4091</v>
      </c>
      <c r="C6956" t="s">
        <v>4092</v>
      </c>
      <c r="D6956" t="str">
        <f>HYPERLINK("http://service.sap.com/sap/support/notes/1504257","1504257")</f>
        <v>1504257</v>
      </c>
      <c r="E6956">
        <v>1</v>
      </c>
      <c r="F6956" t="s">
        <v>6755</v>
      </c>
    </row>
    <row r="6957" spans="1:6" x14ac:dyDescent="0.25">
      <c r="A6957" t="s">
        <v>6864</v>
      </c>
      <c r="B6957" t="s">
        <v>4091</v>
      </c>
      <c r="C6957" t="s">
        <v>4092</v>
      </c>
      <c r="D6957" t="str">
        <f>HYPERLINK("http://service.sap.com/sap/support/notes/1506866","1506866")</f>
        <v>1506866</v>
      </c>
      <c r="E6957">
        <v>1</v>
      </c>
      <c r="F6957" t="s">
        <v>6756</v>
      </c>
    </row>
    <row r="6958" spans="1:6" x14ac:dyDescent="0.25">
      <c r="A6958" t="s">
        <v>6864</v>
      </c>
      <c r="B6958" t="s">
        <v>4091</v>
      </c>
      <c r="C6958" t="s">
        <v>4092</v>
      </c>
      <c r="D6958" t="str">
        <f>HYPERLINK("http://service.sap.com/sap/support/notes/1510080","1510080")</f>
        <v>1510080</v>
      </c>
      <c r="E6958">
        <v>1</v>
      </c>
      <c r="F6958" t="s">
        <v>6757</v>
      </c>
    </row>
    <row r="6959" spans="1:6" x14ac:dyDescent="0.25">
      <c r="A6959" t="s">
        <v>6864</v>
      </c>
      <c r="B6959" t="s">
        <v>4091</v>
      </c>
      <c r="C6959" t="s">
        <v>4092</v>
      </c>
      <c r="D6959" t="str">
        <f>HYPERLINK("http://service.sap.com/sap/support/notes/1516151","1516151")</f>
        <v>1516151</v>
      </c>
      <c r="E6959">
        <v>2</v>
      </c>
      <c r="F6959" t="s">
        <v>6758</v>
      </c>
    </row>
    <row r="6960" spans="1:6" x14ac:dyDescent="0.25">
      <c r="A6960" t="s">
        <v>6864</v>
      </c>
      <c r="B6960" t="s">
        <v>4091</v>
      </c>
      <c r="C6960" t="s">
        <v>4092</v>
      </c>
      <c r="D6960" t="str">
        <f>HYPERLINK("http://service.sap.com/sap/support/notes/1521045","1521045")</f>
        <v>1521045</v>
      </c>
      <c r="E6960">
        <v>1</v>
      </c>
      <c r="F6960" t="s">
        <v>6759</v>
      </c>
    </row>
    <row r="6961" spans="1:6" x14ac:dyDescent="0.25">
      <c r="A6961" t="s">
        <v>6864</v>
      </c>
      <c r="B6961" t="s">
        <v>4091</v>
      </c>
      <c r="C6961" t="s">
        <v>4092</v>
      </c>
      <c r="D6961" t="str">
        <f>HYPERLINK("http://service.sap.com/sap/support/notes/1526347","1526347")</f>
        <v>1526347</v>
      </c>
      <c r="E6961">
        <v>2</v>
      </c>
      <c r="F6961" t="s">
        <v>6760</v>
      </c>
    </row>
    <row r="6962" spans="1:6" x14ac:dyDescent="0.25">
      <c r="A6962" t="s">
        <v>6864</v>
      </c>
      <c r="B6962" t="s">
        <v>4091</v>
      </c>
      <c r="C6962" t="s">
        <v>4092</v>
      </c>
      <c r="D6962" t="str">
        <f>HYPERLINK("http://service.sap.com/sap/support/notes/1527816","1527816")</f>
        <v>1527816</v>
      </c>
      <c r="E6962">
        <v>2</v>
      </c>
      <c r="F6962" t="s">
        <v>6761</v>
      </c>
    </row>
    <row r="6963" spans="1:6" x14ac:dyDescent="0.25">
      <c r="A6963" t="s">
        <v>6864</v>
      </c>
      <c r="B6963" t="s">
        <v>4091</v>
      </c>
      <c r="C6963" t="s">
        <v>4092</v>
      </c>
      <c r="D6963" t="str">
        <f>HYPERLINK("http://service.sap.com/sap/support/notes/1531162","1531162")</f>
        <v>1531162</v>
      </c>
      <c r="E6963">
        <v>1</v>
      </c>
      <c r="F6963" t="s">
        <v>6762</v>
      </c>
    </row>
    <row r="6964" spans="1:6" x14ac:dyDescent="0.25">
      <c r="A6964" t="s">
        <v>6864</v>
      </c>
      <c r="B6964" t="s">
        <v>28</v>
      </c>
      <c r="C6964" t="s">
        <v>29</v>
      </c>
      <c r="D6964" t="str">
        <f>HYPERLINK("http://service.sap.com/sap/support/notes/1437627","1437627")</f>
        <v>1437627</v>
      </c>
      <c r="E6964">
        <v>3</v>
      </c>
      <c r="F6964" t="s">
        <v>6763</v>
      </c>
    </row>
    <row r="6965" spans="1:6" x14ac:dyDescent="0.25">
      <c r="A6965" t="s">
        <v>6864</v>
      </c>
      <c r="B6965" t="s">
        <v>2161</v>
      </c>
      <c r="C6965" t="s">
        <v>2162</v>
      </c>
      <c r="D6965" t="str">
        <f>HYPERLINK("http://service.sap.com/sap/support/notes/1520959","1520959")</f>
        <v>1520959</v>
      </c>
      <c r="E6965">
        <v>2</v>
      </c>
      <c r="F6965" t="s">
        <v>6764</v>
      </c>
    </row>
    <row r="6966" spans="1:6" x14ac:dyDescent="0.25">
      <c r="A6966" t="s">
        <v>6864</v>
      </c>
      <c r="B6966" t="s">
        <v>2161</v>
      </c>
      <c r="C6966" t="s">
        <v>2162</v>
      </c>
      <c r="D6966" t="str">
        <f>HYPERLINK("http://service.sap.com/sap/support/notes/1522002","1522002")</f>
        <v>1522002</v>
      </c>
      <c r="E6966">
        <v>2</v>
      </c>
      <c r="F6966" t="s">
        <v>6765</v>
      </c>
    </row>
    <row r="6967" spans="1:6" x14ac:dyDescent="0.25">
      <c r="A6967" t="s">
        <v>6864</v>
      </c>
      <c r="B6967" t="s">
        <v>2161</v>
      </c>
      <c r="C6967" t="s">
        <v>2162</v>
      </c>
      <c r="D6967" t="str">
        <f>HYPERLINK("http://service.sap.com/sap/support/notes/1522799","1522799")</f>
        <v>1522799</v>
      </c>
      <c r="E6967">
        <v>3</v>
      </c>
      <c r="F6967" t="s">
        <v>6766</v>
      </c>
    </row>
    <row r="6968" spans="1:6" x14ac:dyDescent="0.25">
      <c r="A6968" t="s">
        <v>6864</v>
      </c>
      <c r="B6968" t="s">
        <v>2161</v>
      </c>
      <c r="C6968" t="s">
        <v>2162</v>
      </c>
      <c r="D6968" t="str">
        <f>HYPERLINK("http://service.sap.com/sap/support/notes/1522841","1522841")</f>
        <v>1522841</v>
      </c>
      <c r="E6968">
        <v>1</v>
      </c>
      <c r="F6968" t="s">
        <v>6767</v>
      </c>
    </row>
    <row r="6969" spans="1:6" x14ac:dyDescent="0.25">
      <c r="A6969" t="s">
        <v>6864</v>
      </c>
      <c r="B6969" t="s">
        <v>2161</v>
      </c>
      <c r="C6969" t="s">
        <v>2162</v>
      </c>
      <c r="D6969" t="str">
        <f>HYPERLINK("http://service.sap.com/sap/support/notes/1525312","1525312")</f>
        <v>1525312</v>
      </c>
      <c r="E6969">
        <v>1</v>
      </c>
      <c r="F6969" t="s">
        <v>6768</v>
      </c>
    </row>
    <row r="6970" spans="1:6" x14ac:dyDescent="0.25">
      <c r="A6970" t="s">
        <v>6864</v>
      </c>
      <c r="B6970" t="s">
        <v>2161</v>
      </c>
      <c r="C6970" t="s">
        <v>2162</v>
      </c>
      <c r="D6970" t="str">
        <f>HYPERLINK("http://service.sap.com/sap/support/notes/1525434","1525434")</f>
        <v>1525434</v>
      </c>
      <c r="E6970">
        <v>3</v>
      </c>
      <c r="F6970" t="s">
        <v>6769</v>
      </c>
    </row>
    <row r="6971" spans="1:6" x14ac:dyDescent="0.25">
      <c r="A6971" t="s">
        <v>6864</v>
      </c>
      <c r="B6971" t="s">
        <v>2161</v>
      </c>
      <c r="C6971" t="s">
        <v>2162</v>
      </c>
      <c r="D6971" t="str">
        <f>HYPERLINK("http://service.sap.com/sap/support/notes/1526460","1526460")</f>
        <v>1526460</v>
      </c>
      <c r="E6971">
        <v>2</v>
      </c>
      <c r="F6971" t="s">
        <v>6770</v>
      </c>
    </row>
    <row r="6972" spans="1:6" x14ac:dyDescent="0.25">
      <c r="A6972" t="s">
        <v>6864</v>
      </c>
      <c r="B6972" t="s">
        <v>2161</v>
      </c>
      <c r="C6972" t="s">
        <v>2162</v>
      </c>
      <c r="D6972" t="str">
        <f>HYPERLINK("http://service.sap.com/sap/support/notes/1527761","1527761")</f>
        <v>1527761</v>
      </c>
      <c r="E6972">
        <v>1</v>
      </c>
      <c r="F6972" t="s">
        <v>6771</v>
      </c>
    </row>
    <row r="6973" spans="1:6" x14ac:dyDescent="0.25">
      <c r="A6973" t="s">
        <v>6864</v>
      </c>
      <c r="B6973" t="s">
        <v>2161</v>
      </c>
      <c r="C6973" t="s">
        <v>2162</v>
      </c>
      <c r="D6973" t="str">
        <f>HYPERLINK("http://service.sap.com/sap/support/notes/1529715","1529715")</f>
        <v>1529715</v>
      </c>
      <c r="E6973">
        <v>1</v>
      </c>
      <c r="F6973" t="s">
        <v>6772</v>
      </c>
    </row>
    <row r="6974" spans="1:6" x14ac:dyDescent="0.25">
      <c r="A6974" t="s">
        <v>6864</v>
      </c>
      <c r="B6974" t="s">
        <v>2161</v>
      </c>
      <c r="C6974" t="s">
        <v>2162</v>
      </c>
      <c r="D6974" t="str">
        <f>HYPERLINK("http://service.sap.com/sap/support/notes/1529789","1529789")</f>
        <v>1529789</v>
      </c>
      <c r="E6974">
        <v>1</v>
      </c>
      <c r="F6974" t="s">
        <v>6773</v>
      </c>
    </row>
    <row r="6975" spans="1:6" x14ac:dyDescent="0.25">
      <c r="A6975" t="s">
        <v>6864</v>
      </c>
      <c r="B6975" t="s">
        <v>2161</v>
      </c>
      <c r="C6975" t="s">
        <v>2162</v>
      </c>
      <c r="D6975" t="str">
        <f>HYPERLINK("http://service.sap.com/sap/support/notes/1531353","1531353")</f>
        <v>1531353</v>
      </c>
      <c r="E6975">
        <v>1</v>
      </c>
      <c r="F6975" t="s">
        <v>6774</v>
      </c>
    </row>
    <row r="6976" spans="1:6" x14ac:dyDescent="0.25">
      <c r="A6976" t="s">
        <v>6864</v>
      </c>
      <c r="B6976" t="s">
        <v>4105</v>
      </c>
      <c r="C6976" t="s">
        <v>4106</v>
      </c>
      <c r="D6976" t="str">
        <f>HYPERLINK("http://service.sap.com/sap/support/notes/1483602","1483602")</f>
        <v>1483602</v>
      </c>
      <c r="E6976">
        <v>3</v>
      </c>
      <c r="F6976" t="s">
        <v>6004</v>
      </c>
    </row>
    <row r="6977" spans="1:6" x14ac:dyDescent="0.25">
      <c r="A6977" t="s">
        <v>6864</v>
      </c>
      <c r="B6977" t="s">
        <v>4105</v>
      </c>
      <c r="C6977" t="s">
        <v>4106</v>
      </c>
      <c r="D6977" t="str">
        <f>HYPERLINK("http://service.sap.com/sap/support/notes/1522746","1522746")</f>
        <v>1522746</v>
      </c>
      <c r="E6977">
        <v>1</v>
      </c>
      <c r="F6977" t="s">
        <v>6775</v>
      </c>
    </row>
    <row r="6978" spans="1:6" x14ac:dyDescent="0.25">
      <c r="A6978" t="s">
        <v>6864</v>
      </c>
      <c r="B6978" t="s">
        <v>4105</v>
      </c>
      <c r="C6978" t="s">
        <v>4106</v>
      </c>
      <c r="D6978" t="str">
        <f>HYPERLINK("http://service.sap.com/sap/support/notes/1525052","1525052")</f>
        <v>1525052</v>
      </c>
      <c r="E6978">
        <v>1</v>
      </c>
      <c r="F6978" t="s">
        <v>6776</v>
      </c>
    </row>
    <row r="6979" spans="1:6" x14ac:dyDescent="0.25">
      <c r="A6979" t="s">
        <v>6864</v>
      </c>
      <c r="B6979" t="s">
        <v>4105</v>
      </c>
      <c r="C6979" t="s">
        <v>4106</v>
      </c>
      <c r="D6979" t="str">
        <f>HYPERLINK("http://service.sap.com/sap/support/notes/1528677","1528677")</f>
        <v>1528677</v>
      </c>
      <c r="E6979">
        <v>2</v>
      </c>
      <c r="F6979" t="s">
        <v>6777</v>
      </c>
    </row>
    <row r="6980" spans="1:6" x14ac:dyDescent="0.25">
      <c r="A6980" t="s">
        <v>6864</v>
      </c>
      <c r="B6980" t="s">
        <v>4105</v>
      </c>
      <c r="C6980" t="s">
        <v>4106</v>
      </c>
      <c r="D6980" t="str">
        <f>HYPERLINK("http://service.sap.com/sap/support/notes/1529333","1529333")</f>
        <v>1529333</v>
      </c>
      <c r="E6980">
        <v>4</v>
      </c>
      <c r="F6980" t="s">
        <v>6778</v>
      </c>
    </row>
    <row r="6981" spans="1:6" x14ac:dyDescent="0.25">
      <c r="A6981" t="s">
        <v>6864</v>
      </c>
      <c r="B6981" t="s">
        <v>4105</v>
      </c>
      <c r="C6981" t="s">
        <v>4106</v>
      </c>
      <c r="D6981" t="str">
        <f>HYPERLINK("http://service.sap.com/sap/support/notes/1531201","1531201")</f>
        <v>1531201</v>
      </c>
      <c r="E6981">
        <v>2</v>
      </c>
      <c r="F6981" t="s">
        <v>6779</v>
      </c>
    </row>
    <row r="6982" spans="1:6" x14ac:dyDescent="0.25">
      <c r="A6982" t="s">
        <v>6864</v>
      </c>
      <c r="B6982" t="s">
        <v>4112</v>
      </c>
      <c r="C6982" t="s">
        <v>4113</v>
      </c>
      <c r="D6982" t="str">
        <f>HYPERLINK("http://service.sap.com/sap/support/notes/1520570","1520570")</f>
        <v>1520570</v>
      </c>
      <c r="E6982">
        <v>1</v>
      </c>
      <c r="F6982" t="s">
        <v>6780</v>
      </c>
    </row>
    <row r="6983" spans="1:6" x14ac:dyDescent="0.25">
      <c r="A6983" t="s">
        <v>6864</v>
      </c>
      <c r="B6983" t="s">
        <v>4112</v>
      </c>
      <c r="C6983" t="s">
        <v>4113</v>
      </c>
      <c r="D6983" t="str">
        <f>HYPERLINK("http://service.sap.com/sap/support/notes/1522104","1522104")</f>
        <v>1522104</v>
      </c>
      <c r="E6983">
        <v>1</v>
      </c>
      <c r="F6983" t="s">
        <v>6781</v>
      </c>
    </row>
    <row r="6984" spans="1:6" x14ac:dyDescent="0.25">
      <c r="A6984" t="s">
        <v>6864</v>
      </c>
      <c r="B6984" t="s">
        <v>4112</v>
      </c>
      <c r="C6984" t="s">
        <v>4113</v>
      </c>
      <c r="D6984" t="str">
        <f>HYPERLINK("http://service.sap.com/sap/support/notes/1522536","1522536")</f>
        <v>1522536</v>
      </c>
      <c r="E6984">
        <v>1</v>
      </c>
      <c r="F6984" t="s">
        <v>6782</v>
      </c>
    </row>
    <row r="6985" spans="1:6" x14ac:dyDescent="0.25">
      <c r="A6985" t="s">
        <v>6864</v>
      </c>
      <c r="B6985" t="s">
        <v>4112</v>
      </c>
      <c r="C6985" t="s">
        <v>4113</v>
      </c>
      <c r="D6985" t="str">
        <f>HYPERLINK("http://service.sap.com/sap/support/notes/1523454","1523454")</f>
        <v>1523454</v>
      </c>
      <c r="E6985">
        <v>1</v>
      </c>
      <c r="F6985" t="s">
        <v>6783</v>
      </c>
    </row>
    <row r="6986" spans="1:6" x14ac:dyDescent="0.25">
      <c r="A6986" t="s">
        <v>6864</v>
      </c>
      <c r="B6986" t="s">
        <v>4112</v>
      </c>
      <c r="C6986" t="s">
        <v>4113</v>
      </c>
      <c r="D6986" t="str">
        <f>HYPERLINK("http://service.sap.com/sap/support/notes/1525324","1525324")</f>
        <v>1525324</v>
      </c>
      <c r="E6986">
        <v>1</v>
      </c>
      <c r="F6986" t="s">
        <v>6784</v>
      </c>
    </row>
    <row r="6987" spans="1:6" x14ac:dyDescent="0.25">
      <c r="A6987" t="s">
        <v>6864</v>
      </c>
      <c r="B6987" t="s">
        <v>4112</v>
      </c>
      <c r="C6987" t="s">
        <v>4113</v>
      </c>
      <c r="D6987" t="str">
        <f>HYPERLINK("http://service.sap.com/sap/support/notes/1526676","1526676")</f>
        <v>1526676</v>
      </c>
      <c r="E6987">
        <v>1</v>
      </c>
      <c r="F6987" t="s">
        <v>6785</v>
      </c>
    </row>
    <row r="6988" spans="1:6" x14ac:dyDescent="0.25">
      <c r="A6988" t="s">
        <v>6864</v>
      </c>
      <c r="B6988" t="s">
        <v>5656</v>
      </c>
      <c r="C6988" t="s">
        <v>5657</v>
      </c>
      <c r="D6988" t="str">
        <f>HYPERLINK("http://service.sap.com/sap/support/notes/1510483","1510483")</f>
        <v>1510483</v>
      </c>
      <c r="E6988">
        <v>2</v>
      </c>
      <c r="F6988" t="s">
        <v>6786</v>
      </c>
    </row>
    <row r="6989" spans="1:6" x14ac:dyDescent="0.25">
      <c r="A6989" t="s">
        <v>6864</v>
      </c>
      <c r="B6989" t="s">
        <v>5656</v>
      </c>
      <c r="C6989" t="s">
        <v>5657</v>
      </c>
      <c r="D6989" t="str">
        <f>HYPERLINK("http://service.sap.com/sap/support/notes/1511911","1511911")</f>
        <v>1511911</v>
      </c>
      <c r="E6989">
        <v>3</v>
      </c>
      <c r="F6989" t="s">
        <v>6787</v>
      </c>
    </row>
    <row r="6990" spans="1:6" x14ac:dyDescent="0.25">
      <c r="A6990" t="s">
        <v>6864</v>
      </c>
      <c r="B6990" t="s">
        <v>38</v>
      </c>
      <c r="C6990" t="s">
        <v>39</v>
      </c>
    </row>
    <row r="6991" spans="1:6" x14ac:dyDescent="0.25">
      <c r="A6991" t="s">
        <v>6864</v>
      </c>
      <c r="B6991" t="s">
        <v>6039</v>
      </c>
      <c r="C6991" t="s">
        <v>202</v>
      </c>
      <c r="D6991" t="str">
        <f>HYPERLINK("http://service.sap.com/sap/support/notes/1484656","1484656")</f>
        <v>1484656</v>
      </c>
      <c r="E6991">
        <v>2</v>
      </c>
      <c r="F6991" t="s">
        <v>6788</v>
      </c>
    </row>
    <row r="6992" spans="1:6" x14ac:dyDescent="0.25">
      <c r="A6992" t="s">
        <v>6864</v>
      </c>
      <c r="B6992" t="s">
        <v>6789</v>
      </c>
      <c r="C6992" t="s">
        <v>208</v>
      </c>
      <c r="D6992" t="str">
        <f>HYPERLINK("http://service.sap.com/sap/support/notes/1473410","1473410")</f>
        <v>1473410</v>
      </c>
      <c r="E6992">
        <v>1</v>
      </c>
      <c r="F6992" t="s">
        <v>6790</v>
      </c>
    </row>
    <row r="6993" spans="1:6" x14ac:dyDescent="0.25">
      <c r="A6993" t="s">
        <v>6864</v>
      </c>
      <c r="B6993" t="s">
        <v>57</v>
      </c>
      <c r="C6993" t="s">
        <v>58</v>
      </c>
    </row>
    <row r="6994" spans="1:6" x14ac:dyDescent="0.25">
      <c r="A6994" t="s">
        <v>6864</v>
      </c>
      <c r="B6994" t="s">
        <v>59</v>
      </c>
      <c r="C6994" t="s">
        <v>60</v>
      </c>
      <c r="D6994" t="str">
        <f>HYPERLINK("http://service.sap.com/sap/support/notes/1523266","1523266")</f>
        <v>1523266</v>
      </c>
      <c r="E6994">
        <v>3</v>
      </c>
      <c r="F6994" t="s">
        <v>6791</v>
      </c>
    </row>
    <row r="6995" spans="1:6" x14ac:dyDescent="0.25">
      <c r="A6995" t="s">
        <v>6864</v>
      </c>
      <c r="B6995" t="s">
        <v>59</v>
      </c>
      <c r="C6995" t="s">
        <v>60</v>
      </c>
      <c r="D6995" t="str">
        <f>HYPERLINK("http://service.sap.com/sap/support/notes/1529076","1529076")</f>
        <v>1529076</v>
      </c>
      <c r="E6995">
        <v>2</v>
      </c>
      <c r="F6995" t="s">
        <v>691</v>
      </c>
    </row>
    <row r="6996" spans="1:6" x14ac:dyDescent="0.25">
      <c r="A6996" t="s">
        <v>6864</v>
      </c>
      <c r="B6996" t="s">
        <v>59</v>
      </c>
      <c r="C6996" t="s">
        <v>60</v>
      </c>
      <c r="D6996" t="str">
        <f>HYPERLINK("http://service.sap.com/sap/support/notes/1529250","1529250")</f>
        <v>1529250</v>
      </c>
      <c r="E6996">
        <v>2</v>
      </c>
      <c r="F6996" t="s">
        <v>6792</v>
      </c>
    </row>
    <row r="6997" spans="1:6" x14ac:dyDescent="0.25">
      <c r="A6997" t="s">
        <v>6864</v>
      </c>
      <c r="B6997" t="s">
        <v>79</v>
      </c>
      <c r="C6997" t="s">
        <v>80</v>
      </c>
      <c r="D6997" t="str">
        <f>HYPERLINK("http://service.sap.com/sap/support/notes/1528130","1528130")</f>
        <v>1528130</v>
      </c>
      <c r="E6997">
        <v>1</v>
      </c>
      <c r="F6997" t="s">
        <v>6793</v>
      </c>
    </row>
    <row r="6998" spans="1:6" x14ac:dyDescent="0.25">
      <c r="A6998" t="s">
        <v>6864</v>
      </c>
      <c r="B6998" t="s">
        <v>89</v>
      </c>
      <c r="C6998" t="s">
        <v>90</v>
      </c>
      <c r="D6998" t="str">
        <f>HYPERLINK("http://service.sap.com/sap/support/notes/1507786","1507786")</f>
        <v>1507786</v>
      </c>
      <c r="E6998">
        <v>1</v>
      </c>
      <c r="F6998" t="s">
        <v>6490</v>
      </c>
    </row>
    <row r="6999" spans="1:6" x14ac:dyDescent="0.25">
      <c r="A6999" t="s">
        <v>6864</v>
      </c>
      <c r="B6999" t="s">
        <v>6336</v>
      </c>
      <c r="C6999" t="s">
        <v>432</v>
      </c>
      <c r="D6999" t="str">
        <f>HYPERLINK("http://service.sap.com/sap/support/notes/1523255","1523255")</f>
        <v>1523255</v>
      </c>
      <c r="E6999">
        <v>1</v>
      </c>
      <c r="F6999" t="s">
        <v>6794</v>
      </c>
    </row>
    <row r="7000" spans="1:6" x14ac:dyDescent="0.25">
      <c r="A7000" t="s">
        <v>6864</v>
      </c>
      <c r="B7000" t="s">
        <v>6336</v>
      </c>
      <c r="C7000" t="s">
        <v>432</v>
      </c>
      <c r="D7000" t="str">
        <f>HYPERLINK("http://service.sap.com/sap/support/notes/1530345","1530345")</f>
        <v>1530345</v>
      </c>
      <c r="E7000">
        <v>3</v>
      </c>
      <c r="F7000" t="s">
        <v>6795</v>
      </c>
    </row>
    <row r="7001" spans="1:6" x14ac:dyDescent="0.25">
      <c r="A7001" t="s">
        <v>6864</v>
      </c>
      <c r="B7001" t="s">
        <v>6336</v>
      </c>
      <c r="C7001" t="s">
        <v>432</v>
      </c>
      <c r="D7001" t="str">
        <f>HYPERLINK("http://service.sap.com/sap/support/notes/1531690","1531690")</f>
        <v>1531690</v>
      </c>
      <c r="E7001">
        <v>1</v>
      </c>
      <c r="F7001" t="s">
        <v>6796</v>
      </c>
    </row>
    <row r="7002" spans="1:6" x14ac:dyDescent="0.25">
      <c r="A7002" t="s">
        <v>6864</v>
      </c>
      <c r="B7002" t="s">
        <v>92</v>
      </c>
      <c r="C7002" t="s">
        <v>93</v>
      </c>
      <c r="D7002" t="str">
        <f>HYPERLINK("http://service.sap.com/sap/support/notes/1507564","1507564")</f>
        <v>1507564</v>
      </c>
      <c r="E7002">
        <v>2</v>
      </c>
      <c r="F7002" t="s">
        <v>6797</v>
      </c>
    </row>
    <row r="7003" spans="1:6" x14ac:dyDescent="0.25">
      <c r="A7003" t="s">
        <v>6864</v>
      </c>
      <c r="B7003" t="s">
        <v>92</v>
      </c>
      <c r="C7003" t="s">
        <v>93</v>
      </c>
      <c r="D7003" t="str">
        <f>HYPERLINK("http://service.sap.com/sap/support/notes/1523208","1523208")</f>
        <v>1523208</v>
      </c>
      <c r="E7003">
        <v>1</v>
      </c>
      <c r="F7003" t="s">
        <v>6798</v>
      </c>
    </row>
    <row r="7004" spans="1:6" x14ac:dyDescent="0.25">
      <c r="A7004" t="s">
        <v>6864</v>
      </c>
      <c r="B7004" t="s">
        <v>92</v>
      </c>
      <c r="C7004" t="s">
        <v>93</v>
      </c>
      <c r="D7004" t="str">
        <f>HYPERLINK("http://service.sap.com/sap/support/notes/1523671","1523671")</f>
        <v>1523671</v>
      </c>
      <c r="E7004">
        <v>1</v>
      </c>
      <c r="F7004" t="s">
        <v>6799</v>
      </c>
    </row>
    <row r="7005" spans="1:6" x14ac:dyDescent="0.25">
      <c r="A7005" t="s">
        <v>6864</v>
      </c>
      <c r="B7005" t="s">
        <v>107</v>
      </c>
      <c r="C7005" t="s">
        <v>108</v>
      </c>
      <c r="D7005" t="str">
        <f>HYPERLINK("http://service.sap.com/sap/support/notes/1456943","1456943")</f>
        <v>1456943</v>
      </c>
      <c r="E7005">
        <v>2</v>
      </c>
      <c r="F7005" t="s">
        <v>6800</v>
      </c>
    </row>
    <row r="7006" spans="1:6" x14ac:dyDescent="0.25">
      <c r="A7006" t="s">
        <v>6864</v>
      </c>
      <c r="B7006" t="s">
        <v>6092</v>
      </c>
      <c r="C7006" t="s">
        <v>6093</v>
      </c>
      <c r="D7006" t="str">
        <f>HYPERLINK("http://service.sap.com/sap/support/notes/1524082","1524082")</f>
        <v>1524082</v>
      </c>
      <c r="E7006">
        <v>2</v>
      </c>
      <c r="F7006" t="s">
        <v>6801</v>
      </c>
    </row>
    <row r="7007" spans="1:6" x14ac:dyDescent="0.25">
      <c r="A7007" t="s">
        <v>6864</v>
      </c>
      <c r="B7007" t="s">
        <v>724</v>
      </c>
      <c r="C7007" t="s">
        <v>725</v>
      </c>
      <c r="D7007" t="str">
        <f>HYPERLINK("http://service.sap.com/sap/support/notes/1513891","1513891")</f>
        <v>1513891</v>
      </c>
      <c r="E7007">
        <v>1</v>
      </c>
      <c r="F7007" t="s">
        <v>761</v>
      </c>
    </row>
    <row r="7008" spans="1:6" x14ac:dyDescent="0.25">
      <c r="A7008" t="s">
        <v>6864</v>
      </c>
      <c r="B7008" t="s">
        <v>724</v>
      </c>
      <c r="C7008" t="s">
        <v>725</v>
      </c>
      <c r="D7008" t="str">
        <f>HYPERLINK("http://service.sap.com/sap/support/notes/1521543","1521543")</f>
        <v>1521543</v>
      </c>
      <c r="E7008">
        <v>1</v>
      </c>
      <c r="F7008" t="s">
        <v>6802</v>
      </c>
    </row>
    <row r="7009" spans="1:6" x14ac:dyDescent="0.25">
      <c r="A7009" t="s">
        <v>6864</v>
      </c>
      <c r="B7009" t="s">
        <v>790</v>
      </c>
      <c r="C7009" t="s">
        <v>4125</v>
      </c>
    </row>
    <row r="7010" spans="1:6" x14ac:dyDescent="0.25">
      <c r="A7010" t="s">
        <v>6864</v>
      </c>
      <c r="B7010" t="s">
        <v>791</v>
      </c>
      <c r="C7010" t="s">
        <v>4126</v>
      </c>
      <c r="D7010" t="str">
        <f>HYPERLINK("http://service.sap.com/sap/support/notes/1497480","1497480")</f>
        <v>1497480</v>
      </c>
      <c r="E7010">
        <v>1</v>
      </c>
      <c r="F7010" t="s">
        <v>6803</v>
      </c>
    </row>
    <row r="7011" spans="1:6" x14ac:dyDescent="0.25">
      <c r="A7011" t="s">
        <v>6864</v>
      </c>
      <c r="B7011" t="s">
        <v>791</v>
      </c>
      <c r="C7011" t="s">
        <v>4126</v>
      </c>
      <c r="D7011" t="str">
        <f>HYPERLINK("http://service.sap.com/sap/support/notes/1520220","1520220")</f>
        <v>1520220</v>
      </c>
      <c r="E7011">
        <v>1</v>
      </c>
      <c r="F7011" t="s">
        <v>6804</v>
      </c>
    </row>
    <row r="7012" spans="1:6" x14ac:dyDescent="0.25">
      <c r="A7012" t="s">
        <v>6864</v>
      </c>
      <c r="B7012" t="s">
        <v>791</v>
      </c>
      <c r="C7012" t="s">
        <v>4126</v>
      </c>
      <c r="D7012" t="str">
        <f>HYPERLINK("http://service.sap.com/sap/support/notes/1523157","1523157")</f>
        <v>1523157</v>
      </c>
      <c r="E7012">
        <v>1</v>
      </c>
      <c r="F7012" t="s">
        <v>6805</v>
      </c>
    </row>
    <row r="7013" spans="1:6" x14ac:dyDescent="0.25">
      <c r="A7013" t="s">
        <v>6864</v>
      </c>
      <c r="B7013" t="s">
        <v>791</v>
      </c>
      <c r="C7013" t="s">
        <v>4126</v>
      </c>
      <c r="D7013" t="str">
        <f>HYPERLINK("http://service.sap.com/sap/support/notes/1523216","1523216")</f>
        <v>1523216</v>
      </c>
      <c r="E7013">
        <v>1</v>
      </c>
      <c r="F7013" t="s">
        <v>6806</v>
      </c>
    </row>
    <row r="7014" spans="1:6" x14ac:dyDescent="0.25">
      <c r="A7014" t="s">
        <v>6864</v>
      </c>
      <c r="B7014" t="s">
        <v>791</v>
      </c>
      <c r="C7014" t="s">
        <v>4126</v>
      </c>
      <c r="D7014" t="str">
        <f>HYPERLINK("http://service.sap.com/sap/support/notes/1523708","1523708")</f>
        <v>1523708</v>
      </c>
      <c r="E7014">
        <v>1</v>
      </c>
      <c r="F7014" t="s">
        <v>6807</v>
      </c>
    </row>
    <row r="7015" spans="1:6" x14ac:dyDescent="0.25">
      <c r="A7015" t="s">
        <v>6864</v>
      </c>
      <c r="B7015" t="s">
        <v>794</v>
      </c>
      <c r="C7015" t="s">
        <v>6808</v>
      </c>
      <c r="D7015" t="str">
        <f>HYPERLINK("http://service.sap.com/sap/support/notes/1277564","1277564")</f>
        <v>1277564</v>
      </c>
      <c r="E7015">
        <v>8</v>
      </c>
      <c r="F7015" t="s">
        <v>6809</v>
      </c>
    </row>
    <row r="7016" spans="1:6" x14ac:dyDescent="0.25">
      <c r="A7016" t="s">
        <v>6864</v>
      </c>
      <c r="B7016" t="s">
        <v>810</v>
      </c>
      <c r="C7016" t="s">
        <v>4131</v>
      </c>
    </row>
    <row r="7017" spans="1:6" x14ac:dyDescent="0.25">
      <c r="A7017" t="s">
        <v>6864</v>
      </c>
      <c r="B7017" t="s">
        <v>811</v>
      </c>
      <c r="C7017" t="s">
        <v>4132</v>
      </c>
      <c r="D7017" t="str">
        <f>HYPERLINK("http://service.sap.com/sap/support/notes/1515465","1515465")</f>
        <v>1515465</v>
      </c>
      <c r="E7017">
        <v>1</v>
      </c>
      <c r="F7017" t="s">
        <v>6810</v>
      </c>
    </row>
    <row r="7018" spans="1:6" x14ac:dyDescent="0.25">
      <c r="A7018" t="s">
        <v>6864</v>
      </c>
      <c r="B7018" t="s">
        <v>811</v>
      </c>
      <c r="C7018" t="s">
        <v>4132</v>
      </c>
      <c r="D7018" t="str">
        <f>HYPERLINK("http://service.sap.com/sap/support/notes/1521781","1521781")</f>
        <v>1521781</v>
      </c>
      <c r="E7018">
        <v>2</v>
      </c>
      <c r="F7018" t="s">
        <v>6811</v>
      </c>
    </row>
    <row r="7019" spans="1:6" x14ac:dyDescent="0.25">
      <c r="A7019" t="s">
        <v>6864</v>
      </c>
      <c r="B7019" t="s">
        <v>4135</v>
      </c>
      <c r="C7019" t="s">
        <v>4136</v>
      </c>
      <c r="D7019" t="str">
        <f>HYPERLINK("http://service.sap.com/sap/support/notes/1494234","1494234")</f>
        <v>1494234</v>
      </c>
      <c r="E7019">
        <v>2</v>
      </c>
      <c r="F7019" t="s">
        <v>6812</v>
      </c>
    </row>
    <row r="7020" spans="1:6" x14ac:dyDescent="0.25">
      <c r="A7020" t="s">
        <v>6864</v>
      </c>
      <c r="B7020" t="s">
        <v>4135</v>
      </c>
      <c r="C7020" t="s">
        <v>4136</v>
      </c>
      <c r="D7020" t="str">
        <f>HYPERLINK("http://service.sap.com/sap/support/notes/1496118","1496118")</f>
        <v>1496118</v>
      </c>
      <c r="E7020">
        <v>4</v>
      </c>
      <c r="F7020" t="s">
        <v>6813</v>
      </c>
    </row>
    <row r="7021" spans="1:6" x14ac:dyDescent="0.25">
      <c r="A7021" t="s">
        <v>6864</v>
      </c>
      <c r="B7021" t="s">
        <v>4144</v>
      </c>
      <c r="C7021" t="s">
        <v>4145</v>
      </c>
      <c r="D7021" t="str">
        <f>HYPERLINK("http://service.sap.com/sap/support/notes/1294164","1294164")</f>
        <v>1294164</v>
      </c>
      <c r="E7021">
        <v>1</v>
      </c>
      <c r="F7021" t="s">
        <v>6135</v>
      </c>
    </row>
    <row r="7022" spans="1:6" x14ac:dyDescent="0.25">
      <c r="A7022" t="s">
        <v>6864</v>
      </c>
      <c r="B7022" t="s">
        <v>4144</v>
      </c>
      <c r="C7022" t="s">
        <v>4145</v>
      </c>
      <c r="D7022" t="str">
        <f>HYPERLINK("http://service.sap.com/sap/support/notes/1516237","1516237")</f>
        <v>1516237</v>
      </c>
      <c r="E7022">
        <v>1</v>
      </c>
      <c r="F7022" t="s">
        <v>6814</v>
      </c>
    </row>
    <row r="7023" spans="1:6" x14ac:dyDescent="0.25">
      <c r="A7023" t="s">
        <v>6864</v>
      </c>
      <c r="B7023" t="s">
        <v>4144</v>
      </c>
      <c r="C7023" t="s">
        <v>4145</v>
      </c>
      <c r="D7023" t="str">
        <f>HYPERLINK("http://service.sap.com/sap/support/notes/1519026","1519026")</f>
        <v>1519026</v>
      </c>
      <c r="E7023">
        <v>1</v>
      </c>
      <c r="F7023" t="s">
        <v>6662</v>
      </c>
    </row>
    <row r="7024" spans="1:6" x14ac:dyDescent="0.25">
      <c r="A7024" t="s">
        <v>6864</v>
      </c>
      <c r="B7024" t="s">
        <v>4144</v>
      </c>
      <c r="C7024" t="s">
        <v>4145</v>
      </c>
      <c r="D7024" t="str">
        <f>HYPERLINK("http://service.sap.com/sap/support/notes/1522868","1522868")</f>
        <v>1522868</v>
      </c>
      <c r="E7024">
        <v>1</v>
      </c>
      <c r="F7024" t="s">
        <v>6815</v>
      </c>
    </row>
    <row r="7025" spans="1:6" x14ac:dyDescent="0.25">
      <c r="A7025" t="s">
        <v>6864</v>
      </c>
      <c r="B7025" t="s">
        <v>4144</v>
      </c>
      <c r="C7025" t="s">
        <v>4145</v>
      </c>
      <c r="D7025" t="str">
        <f>HYPERLINK("http://service.sap.com/sap/support/notes/1523042","1523042")</f>
        <v>1523042</v>
      </c>
      <c r="E7025">
        <v>1</v>
      </c>
      <c r="F7025" t="s">
        <v>6816</v>
      </c>
    </row>
    <row r="7026" spans="1:6" x14ac:dyDescent="0.25">
      <c r="A7026" t="s">
        <v>6864</v>
      </c>
      <c r="B7026" t="s">
        <v>4144</v>
      </c>
      <c r="C7026" t="s">
        <v>4145</v>
      </c>
      <c r="D7026" t="str">
        <f>HYPERLINK("http://service.sap.com/sap/support/notes/1523174","1523174")</f>
        <v>1523174</v>
      </c>
      <c r="E7026">
        <v>3</v>
      </c>
      <c r="F7026" t="s">
        <v>6817</v>
      </c>
    </row>
    <row r="7027" spans="1:6" x14ac:dyDescent="0.25">
      <c r="A7027" t="s">
        <v>6864</v>
      </c>
      <c r="B7027" t="s">
        <v>4144</v>
      </c>
      <c r="C7027" t="s">
        <v>4145</v>
      </c>
      <c r="D7027" t="str">
        <f>HYPERLINK("http://service.sap.com/sap/support/notes/1526532","1526532")</f>
        <v>1526532</v>
      </c>
      <c r="E7027">
        <v>3</v>
      </c>
      <c r="F7027" t="s">
        <v>6818</v>
      </c>
    </row>
    <row r="7028" spans="1:6" x14ac:dyDescent="0.25">
      <c r="A7028" t="s">
        <v>6864</v>
      </c>
      <c r="B7028" t="s">
        <v>4144</v>
      </c>
      <c r="C7028" t="s">
        <v>4145</v>
      </c>
      <c r="D7028" t="str">
        <f>HYPERLINK("http://service.sap.com/sap/support/notes/1526601","1526601")</f>
        <v>1526601</v>
      </c>
      <c r="E7028">
        <v>1</v>
      </c>
      <c r="F7028" t="s">
        <v>6819</v>
      </c>
    </row>
    <row r="7029" spans="1:6" x14ac:dyDescent="0.25">
      <c r="A7029" t="s">
        <v>6864</v>
      </c>
      <c r="B7029" t="s">
        <v>4144</v>
      </c>
      <c r="C7029" t="s">
        <v>4145</v>
      </c>
      <c r="D7029" t="str">
        <f>HYPERLINK("http://service.sap.com/sap/support/notes/1526710","1526710")</f>
        <v>1526710</v>
      </c>
      <c r="E7029">
        <v>1</v>
      </c>
      <c r="F7029" t="s">
        <v>6820</v>
      </c>
    </row>
    <row r="7030" spans="1:6" x14ac:dyDescent="0.25">
      <c r="A7030" t="s">
        <v>6864</v>
      </c>
      <c r="B7030" t="s">
        <v>4144</v>
      </c>
      <c r="C7030" t="s">
        <v>4145</v>
      </c>
      <c r="D7030" t="str">
        <f>HYPERLINK("http://service.sap.com/sap/support/notes/1528399","1528399")</f>
        <v>1528399</v>
      </c>
      <c r="E7030">
        <v>1</v>
      </c>
      <c r="F7030" t="s">
        <v>6821</v>
      </c>
    </row>
    <row r="7031" spans="1:6" x14ac:dyDescent="0.25">
      <c r="A7031" t="s">
        <v>6864</v>
      </c>
      <c r="B7031" t="s">
        <v>4144</v>
      </c>
      <c r="C7031" t="s">
        <v>4145</v>
      </c>
      <c r="D7031" t="str">
        <f>HYPERLINK("http://service.sap.com/sap/support/notes/1531606","1531606")</f>
        <v>1531606</v>
      </c>
      <c r="E7031">
        <v>1</v>
      </c>
      <c r="F7031" t="s">
        <v>6822</v>
      </c>
    </row>
    <row r="7032" spans="1:6" x14ac:dyDescent="0.25">
      <c r="A7032" t="s">
        <v>6864</v>
      </c>
      <c r="B7032" t="s">
        <v>4144</v>
      </c>
      <c r="C7032" t="s">
        <v>4145</v>
      </c>
      <c r="D7032" t="str">
        <f>HYPERLINK("http://service.sap.com/sap/support/notes/1531936","1531936")</f>
        <v>1531936</v>
      </c>
      <c r="E7032">
        <v>1</v>
      </c>
      <c r="F7032" t="s">
        <v>6823</v>
      </c>
    </row>
    <row r="7033" spans="1:6" x14ac:dyDescent="0.25">
      <c r="A7033" t="s">
        <v>6864</v>
      </c>
      <c r="B7033" t="s">
        <v>126</v>
      </c>
      <c r="C7033" t="s">
        <v>127</v>
      </c>
    </row>
    <row r="7034" spans="1:6" x14ac:dyDescent="0.25">
      <c r="A7034" t="s">
        <v>6864</v>
      </c>
      <c r="B7034" t="s">
        <v>824</v>
      </c>
      <c r="C7034" t="s">
        <v>1777</v>
      </c>
    </row>
    <row r="7035" spans="1:6" x14ac:dyDescent="0.25">
      <c r="A7035" t="s">
        <v>6864</v>
      </c>
      <c r="B7035" t="s">
        <v>825</v>
      </c>
      <c r="C7035" t="s">
        <v>1778</v>
      </c>
      <c r="D7035" t="str">
        <f>HYPERLINK("http://service.sap.com/sap/support/notes/1400848","1400848")</f>
        <v>1400848</v>
      </c>
      <c r="E7035">
        <v>4</v>
      </c>
      <c r="F7035" t="s">
        <v>6824</v>
      </c>
    </row>
    <row r="7036" spans="1:6" x14ac:dyDescent="0.25">
      <c r="A7036" t="s">
        <v>6864</v>
      </c>
      <c r="B7036" t="s">
        <v>825</v>
      </c>
      <c r="C7036" t="s">
        <v>1778</v>
      </c>
      <c r="D7036" t="str">
        <f>HYPERLINK("http://service.sap.com/sap/support/notes/1511820","1511820")</f>
        <v>1511820</v>
      </c>
      <c r="E7036">
        <v>5</v>
      </c>
      <c r="F7036" t="s">
        <v>6825</v>
      </c>
    </row>
    <row r="7037" spans="1:6" x14ac:dyDescent="0.25">
      <c r="A7037" t="s">
        <v>6864</v>
      </c>
      <c r="B7037" t="s">
        <v>825</v>
      </c>
      <c r="C7037" t="s">
        <v>1778</v>
      </c>
      <c r="D7037" t="str">
        <f>HYPERLINK("http://service.sap.com/sap/support/notes/1515835","1515835")</f>
        <v>1515835</v>
      </c>
      <c r="E7037">
        <v>1</v>
      </c>
      <c r="F7037" t="s">
        <v>6826</v>
      </c>
    </row>
    <row r="7038" spans="1:6" x14ac:dyDescent="0.25">
      <c r="A7038" t="s">
        <v>6864</v>
      </c>
      <c r="B7038" t="s">
        <v>825</v>
      </c>
      <c r="C7038" t="s">
        <v>1778</v>
      </c>
      <c r="D7038" t="str">
        <f>HYPERLINK("http://service.sap.com/sap/support/notes/1516650","1516650")</f>
        <v>1516650</v>
      </c>
      <c r="E7038">
        <v>1</v>
      </c>
      <c r="F7038" t="s">
        <v>6827</v>
      </c>
    </row>
    <row r="7039" spans="1:6" x14ac:dyDescent="0.25">
      <c r="A7039" t="s">
        <v>6864</v>
      </c>
      <c r="B7039" t="s">
        <v>825</v>
      </c>
      <c r="C7039" t="s">
        <v>1778</v>
      </c>
      <c r="D7039" t="str">
        <f>HYPERLINK("http://service.sap.com/sap/support/notes/1519205","1519205")</f>
        <v>1519205</v>
      </c>
      <c r="E7039">
        <v>1</v>
      </c>
      <c r="F7039" t="s">
        <v>6828</v>
      </c>
    </row>
    <row r="7040" spans="1:6" x14ac:dyDescent="0.25">
      <c r="A7040" t="s">
        <v>6864</v>
      </c>
      <c r="B7040" t="s">
        <v>825</v>
      </c>
      <c r="C7040" t="s">
        <v>1778</v>
      </c>
      <c r="D7040" t="str">
        <f>HYPERLINK("http://service.sap.com/sap/support/notes/1524886","1524886")</f>
        <v>1524886</v>
      </c>
      <c r="E7040">
        <v>1</v>
      </c>
      <c r="F7040" t="s">
        <v>6829</v>
      </c>
    </row>
    <row r="7041" spans="1:6" x14ac:dyDescent="0.25">
      <c r="A7041" t="s">
        <v>6864</v>
      </c>
      <c r="B7041" t="s">
        <v>825</v>
      </c>
      <c r="C7041" t="s">
        <v>1778</v>
      </c>
      <c r="D7041" t="str">
        <f>HYPERLINK("http://service.sap.com/sap/support/notes/1526823","1526823")</f>
        <v>1526823</v>
      </c>
      <c r="E7041">
        <v>1</v>
      </c>
      <c r="F7041" t="s">
        <v>6830</v>
      </c>
    </row>
    <row r="7042" spans="1:6" x14ac:dyDescent="0.25">
      <c r="A7042" t="s">
        <v>6864</v>
      </c>
      <c r="B7042" t="s">
        <v>6368</v>
      </c>
      <c r="C7042" t="s">
        <v>1784</v>
      </c>
      <c r="D7042" t="str">
        <f>HYPERLINK("http://service.sap.com/sap/support/notes/1524131","1524131")</f>
        <v>1524131</v>
      </c>
      <c r="E7042">
        <v>3</v>
      </c>
      <c r="F7042" t="s">
        <v>6831</v>
      </c>
    </row>
    <row r="7043" spans="1:6" x14ac:dyDescent="0.25">
      <c r="A7043" t="s">
        <v>6864</v>
      </c>
      <c r="B7043" t="s">
        <v>831</v>
      </c>
      <c r="C7043" t="s">
        <v>2598</v>
      </c>
    </row>
    <row r="7044" spans="1:6" x14ac:dyDescent="0.25">
      <c r="A7044" t="s">
        <v>6864</v>
      </c>
      <c r="B7044" t="s">
        <v>849</v>
      </c>
      <c r="C7044" t="s">
        <v>4450</v>
      </c>
      <c r="D7044" t="str">
        <f>HYPERLINK("http://service.sap.com/sap/support/notes/1527866","1527866")</f>
        <v>1527866</v>
      </c>
      <c r="E7044">
        <v>2</v>
      </c>
      <c r="F7044" t="s">
        <v>6832</v>
      </c>
    </row>
    <row r="7045" spans="1:6" x14ac:dyDescent="0.25">
      <c r="A7045" t="s">
        <v>6864</v>
      </c>
      <c r="B7045" t="s">
        <v>867</v>
      </c>
      <c r="C7045" t="s">
        <v>4451</v>
      </c>
    </row>
    <row r="7046" spans="1:6" x14ac:dyDescent="0.25">
      <c r="A7046" t="s">
        <v>6864</v>
      </c>
      <c r="B7046" t="s">
        <v>4452</v>
      </c>
      <c r="C7046" t="s">
        <v>4048</v>
      </c>
      <c r="D7046" t="str">
        <f>HYPERLINK("http://service.sap.com/sap/support/notes/1124917","1124917")</f>
        <v>1124917</v>
      </c>
      <c r="E7046">
        <v>18</v>
      </c>
      <c r="F7046" t="s">
        <v>6833</v>
      </c>
    </row>
    <row r="7047" spans="1:6" x14ac:dyDescent="0.25">
      <c r="A7047" t="s">
        <v>6864</v>
      </c>
      <c r="B7047" t="s">
        <v>4452</v>
      </c>
      <c r="C7047" t="s">
        <v>4048</v>
      </c>
      <c r="D7047" t="str">
        <f>HYPERLINK("http://service.sap.com/sap/support/notes/1168656","1168656")</f>
        <v>1168656</v>
      </c>
      <c r="E7047">
        <v>2</v>
      </c>
      <c r="F7047" t="s">
        <v>6834</v>
      </c>
    </row>
    <row r="7048" spans="1:6" x14ac:dyDescent="0.25">
      <c r="A7048" t="s">
        <v>6864</v>
      </c>
      <c r="B7048" t="s">
        <v>4452</v>
      </c>
      <c r="C7048" t="s">
        <v>4048</v>
      </c>
      <c r="D7048" t="str">
        <f>HYPERLINK("http://service.sap.com/sap/support/notes/1425034","1425034")</f>
        <v>1425034</v>
      </c>
      <c r="E7048">
        <v>4</v>
      </c>
      <c r="F7048" t="s">
        <v>6673</v>
      </c>
    </row>
    <row r="7049" spans="1:6" x14ac:dyDescent="0.25">
      <c r="A7049" t="s">
        <v>6864</v>
      </c>
      <c r="B7049" t="s">
        <v>4452</v>
      </c>
      <c r="C7049" t="s">
        <v>4048</v>
      </c>
      <c r="D7049" t="str">
        <f>HYPERLINK("http://service.sap.com/sap/support/notes/1429720","1429720")</f>
        <v>1429720</v>
      </c>
      <c r="E7049">
        <v>1</v>
      </c>
      <c r="F7049" t="s">
        <v>6835</v>
      </c>
    </row>
    <row r="7050" spans="1:6" x14ac:dyDescent="0.25">
      <c r="A7050" t="s">
        <v>6864</v>
      </c>
      <c r="B7050" t="s">
        <v>4452</v>
      </c>
      <c r="C7050" t="s">
        <v>4048</v>
      </c>
      <c r="D7050" t="str">
        <f>HYPERLINK("http://service.sap.com/sap/support/notes/1437658","1437658")</f>
        <v>1437658</v>
      </c>
      <c r="E7050">
        <v>2</v>
      </c>
      <c r="F7050" t="s">
        <v>6836</v>
      </c>
    </row>
    <row r="7051" spans="1:6" x14ac:dyDescent="0.25">
      <c r="A7051" t="s">
        <v>6864</v>
      </c>
      <c r="B7051" t="s">
        <v>4452</v>
      </c>
      <c r="C7051" t="s">
        <v>4048</v>
      </c>
      <c r="D7051" t="str">
        <f>HYPERLINK("http://service.sap.com/sap/support/notes/1442967","1442967")</f>
        <v>1442967</v>
      </c>
      <c r="E7051">
        <v>2</v>
      </c>
      <c r="F7051" t="s">
        <v>6837</v>
      </c>
    </row>
    <row r="7052" spans="1:6" x14ac:dyDescent="0.25">
      <c r="A7052" t="s">
        <v>6864</v>
      </c>
      <c r="B7052" t="s">
        <v>4452</v>
      </c>
      <c r="C7052" t="s">
        <v>4048</v>
      </c>
      <c r="D7052" t="str">
        <f>HYPERLINK("http://service.sap.com/sap/support/notes/1458381","1458381")</f>
        <v>1458381</v>
      </c>
      <c r="E7052">
        <v>3</v>
      </c>
      <c r="F7052" t="s">
        <v>6838</v>
      </c>
    </row>
    <row r="7053" spans="1:6" x14ac:dyDescent="0.25">
      <c r="A7053" t="s">
        <v>6864</v>
      </c>
      <c r="B7053" t="s">
        <v>4452</v>
      </c>
      <c r="C7053" t="s">
        <v>4048</v>
      </c>
      <c r="D7053" t="str">
        <f>HYPERLINK("http://service.sap.com/sap/support/notes/1465923","1465923")</f>
        <v>1465923</v>
      </c>
      <c r="E7053">
        <v>2</v>
      </c>
      <c r="F7053" t="s">
        <v>6839</v>
      </c>
    </row>
    <row r="7054" spans="1:6" x14ac:dyDescent="0.25">
      <c r="A7054" t="s">
        <v>6864</v>
      </c>
      <c r="B7054" t="s">
        <v>4452</v>
      </c>
      <c r="C7054" t="s">
        <v>4048</v>
      </c>
      <c r="D7054" t="str">
        <f>HYPERLINK("http://service.sap.com/sap/support/notes/1471620","1471620")</f>
        <v>1471620</v>
      </c>
      <c r="E7054">
        <v>2</v>
      </c>
      <c r="F7054" t="s">
        <v>6840</v>
      </c>
    </row>
    <row r="7055" spans="1:6" x14ac:dyDescent="0.25">
      <c r="A7055" t="s">
        <v>6864</v>
      </c>
      <c r="B7055" t="s">
        <v>4452</v>
      </c>
      <c r="C7055" t="s">
        <v>4048</v>
      </c>
      <c r="D7055" t="str">
        <f>HYPERLINK("http://service.sap.com/sap/support/notes/1482944","1482944")</f>
        <v>1482944</v>
      </c>
      <c r="E7055">
        <v>3</v>
      </c>
      <c r="F7055" t="s">
        <v>6841</v>
      </c>
    </row>
    <row r="7056" spans="1:6" x14ac:dyDescent="0.25">
      <c r="A7056" t="s">
        <v>6864</v>
      </c>
      <c r="B7056" t="s">
        <v>4452</v>
      </c>
      <c r="C7056" t="s">
        <v>4048</v>
      </c>
      <c r="D7056" t="str">
        <f>HYPERLINK("http://service.sap.com/sap/support/notes/1486765","1486765")</f>
        <v>1486765</v>
      </c>
      <c r="E7056">
        <v>4</v>
      </c>
      <c r="F7056" t="s">
        <v>6842</v>
      </c>
    </row>
    <row r="7057" spans="1:6" x14ac:dyDescent="0.25">
      <c r="A7057" t="s">
        <v>6864</v>
      </c>
      <c r="B7057" t="s">
        <v>4452</v>
      </c>
      <c r="C7057" t="s">
        <v>4048</v>
      </c>
      <c r="D7057" t="str">
        <f>HYPERLINK("http://service.sap.com/sap/support/notes/1501377","1501377")</f>
        <v>1501377</v>
      </c>
      <c r="E7057">
        <v>5</v>
      </c>
      <c r="F7057" t="s">
        <v>6843</v>
      </c>
    </row>
    <row r="7058" spans="1:6" x14ac:dyDescent="0.25">
      <c r="A7058" t="s">
        <v>6864</v>
      </c>
      <c r="B7058" t="s">
        <v>4452</v>
      </c>
      <c r="C7058" t="s">
        <v>4048</v>
      </c>
      <c r="D7058" t="str">
        <f>HYPERLINK("http://service.sap.com/sap/support/notes/1504765","1504765")</f>
        <v>1504765</v>
      </c>
      <c r="E7058">
        <v>1</v>
      </c>
      <c r="F7058" t="s">
        <v>6844</v>
      </c>
    </row>
    <row r="7059" spans="1:6" x14ac:dyDescent="0.25">
      <c r="A7059" t="s">
        <v>6864</v>
      </c>
      <c r="B7059" t="s">
        <v>4452</v>
      </c>
      <c r="C7059" t="s">
        <v>4048</v>
      </c>
      <c r="D7059" t="str">
        <f>HYPERLINK("http://service.sap.com/sap/support/notes/1511772","1511772")</f>
        <v>1511772</v>
      </c>
      <c r="E7059">
        <v>2</v>
      </c>
      <c r="F7059" t="s">
        <v>6845</v>
      </c>
    </row>
    <row r="7060" spans="1:6" x14ac:dyDescent="0.25">
      <c r="A7060" t="s">
        <v>6864</v>
      </c>
      <c r="B7060" t="s">
        <v>4452</v>
      </c>
      <c r="C7060" t="s">
        <v>4048</v>
      </c>
      <c r="D7060" t="str">
        <f>HYPERLINK("http://service.sap.com/sap/support/notes/1512487","1512487")</f>
        <v>1512487</v>
      </c>
      <c r="E7060">
        <v>1</v>
      </c>
      <c r="F7060" t="s">
        <v>6846</v>
      </c>
    </row>
    <row r="7061" spans="1:6" x14ac:dyDescent="0.25">
      <c r="A7061" t="s">
        <v>6864</v>
      </c>
      <c r="B7061" t="s">
        <v>4452</v>
      </c>
      <c r="C7061" t="s">
        <v>4048</v>
      </c>
      <c r="D7061" t="str">
        <f>HYPERLINK("http://service.sap.com/sap/support/notes/1513274","1513274")</f>
        <v>1513274</v>
      </c>
      <c r="E7061">
        <v>1</v>
      </c>
      <c r="F7061" t="s">
        <v>6847</v>
      </c>
    </row>
    <row r="7062" spans="1:6" x14ac:dyDescent="0.25">
      <c r="A7062" t="s">
        <v>6864</v>
      </c>
      <c r="B7062" t="s">
        <v>4452</v>
      </c>
      <c r="C7062" t="s">
        <v>4048</v>
      </c>
      <c r="D7062" t="str">
        <f>HYPERLINK("http://service.sap.com/sap/support/notes/1517334","1517334")</f>
        <v>1517334</v>
      </c>
      <c r="E7062">
        <v>1</v>
      </c>
      <c r="F7062" t="s">
        <v>6848</v>
      </c>
    </row>
    <row r="7063" spans="1:6" x14ac:dyDescent="0.25">
      <c r="A7063" t="s">
        <v>6864</v>
      </c>
      <c r="B7063" t="s">
        <v>4452</v>
      </c>
      <c r="C7063" t="s">
        <v>4048</v>
      </c>
      <c r="D7063" t="str">
        <f>HYPERLINK("http://service.sap.com/sap/support/notes/1521851","1521851")</f>
        <v>1521851</v>
      </c>
      <c r="E7063">
        <v>3</v>
      </c>
      <c r="F7063" t="s">
        <v>6849</v>
      </c>
    </row>
    <row r="7064" spans="1:6" x14ac:dyDescent="0.25">
      <c r="A7064" t="s">
        <v>6864</v>
      </c>
      <c r="B7064" t="s">
        <v>4452</v>
      </c>
      <c r="C7064" t="s">
        <v>4048</v>
      </c>
      <c r="D7064" t="str">
        <f>HYPERLINK("http://service.sap.com/sap/support/notes/1526923","1526923")</f>
        <v>1526923</v>
      </c>
      <c r="E7064">
        <v>1</v>
      </c>
      <c r="F7064" t="s">
        <v>6850</v>
      </c>
    </row>
    <row r="7065" spans="1:6" x14ac:dyDescent="0.25">
      <c r="A7065" t="s">
        <v>6864</v>
      </c>
      <c r="B7065" t="s">
        <v>131</v>
      </c>
      <c r="C7065" t="s">
        <v>132</v>
      </c>
    </row>
    <row r="7066" spans="1:6" x14ac:dyDescent="0.25">
      <c r="A7066" t="s">
        <v>6864</v>
      </c>
      <c r="B7066" t="s">
        <v>155</v>
      </c>
      <c r="C7066" t="s">
        <v>156</v>
      </c>
      <c r="D7066" t="str">
        <f>HYPERLINK("http://service.sap.com/sap/support/notes/815445","815445")</f>
        <v>815445</v>
      </c>
      <c r="E7066">
        <v>1</v>
      </c>
      <c r="F7066" t="s">
        <v>157</v>
      </c>
    </row>
    <row r="7067" spans="1:6" x14ac:dyDescent="0.25">
      <c r="A7067" t="s">
        <v>6864</v>
      </c>
      <c r="B7067" t="s">
        <v>155</v>
      </c>
      <c r="C7067" t="s">
        <v>156</v>
      </c>
      <c r="D7067" t="str">
        <f>HYPERLINK("http://service.sap.com/sap/support/notes/1379627","1379627")</f>
        <v>1379627</v>
      </c>
      <c r="E7067">
        <v>1</v>
      </c>
      <c r="F7067" t="s">
        <v>6851</v>
      </c>
    </row>
    <row r="7068" spans="1:6" x14ac:dyDescent="0.25">
      <c r="A7068" t="s">
        <v>6864</v>
      </c>
      <c r="B7068" t="s">
        <v>155</v>
      </c>
      <c r="C7068" t="s">
        <v>156</v>
      </c>
      <c r="D7068" t="str">
        <f>HYPERLINK("http://service.sap.com/sap/support/notes/1499029","1499029")</f>
        <v>1499029</v>
      </c>
      <c r="E7068">
        <v>1</v>
      </c>
      <c r="F7068" t="s">
        <v>6852</v>
      </c>
    </row>
    <row r="7069" spans="1:6" x14ac:dyDescent="0.25">
      <c r="A7069" t="s">
        <v>6864</v>
      </c>
      <c r="B7069" t="s">
        <v>155</v>
      </c>
      <c r="C7069" t="s">
        <v>156</v>
      </c>
      <c r="D7069" t="str">
        <f>HYPERLINK("http://service.sap.com/sap/support/notes/1512391","1512391")</f>
        <v>1512391</v>
      </c>
      <c r="E7069">
        <v>1</v>
      </c>
      <c r="F7069" t="s">
        <v>919</v>
      </c>
    </row>
    <row r="7070" spans="1:6" x14ac:dyDescent="0.25">
      <c r="A7070" t="s">
        <v>6864</v>
      </c>
      <c r="B7070" t="s">
        <v>155</v>
      </c>
      <c r="C7070" t="s">
        <v>156</v>
      </c>
      <c r="D7070" t="str">
        <f>HYPERLINK("http://service.sap.com/sap/support/notes/1522119","1522119")</f>
        <v>1522119</v>
      </c>
      <c r="E7070">
        <v>1</v>
      </c>
      <c r="F7070" t="s">
        <v>924</v>
      </c>
    </row>
    <row r="7071" spans="1:6" x14ac:dyDescent="0.25">
      <c r="A7071" t="s">
        <v>6864</v>
      </c>
      <c r="B7071" t="s">
        <v>155</v>
      </c>
      <c r="C7071" t="s">
        <v>156</v>
      </c>
      <c r="D7071" t="str">
        <f>HYPERLINK("http://service.sap.com/sap/support/notes/1529497","1529497")</f>
        <v>1529497</v>
      </c>
      <c r="E7071">
        <v>1</v>
      </c>
      <c r="F7071" t="s">
        <v>926</v>
      </c>
    </row>
    <row r="7072" spans="1:6" x14ac:dyDescent="0.25">
      <c r="A7072" t="s">
        <v>6864</v>
      </c>
      <c r="B7072" t="s">
        <v>168</v>
      </c>
      <c r="C7072" t="s">
        <v>169</v>
      </c>
      <c r="D7072" t="str">
        <f>HYPERLINK("http://service.sap.com/sap/support/notes/1461958","1461958")</f>
        <v>1461958</v>
      </c>
      <c r="E7072">
        <v>1</v>
      </c>
      <c r="F7072" t="s">
        <v>6853</v>
      </c>
    </row>
    <row r="7073" spans="1:6" x14ac:dyDescent="0.25">
      <c r="A7073" t="s">
        <v>6864</v>
      </c>
      <c r="B7073" t="s">
        <v>168</v>
      </c>
      <c r="C7073" t="s">
        <v>169</v>
      </c>
      <c r="D7073" t="str">
        <f>HYPERLINK("http://service.sap.com/sap/support/notes/1478585","1478585")</f>
        <v>1478585</v>
      </c>
      <c r="E7073">
        <v>2</v>
      </c>
      <c r="F7073" t="s">
        <v>170</v>
      </c>
    </row>
    <row r="7074" spans="1:6" x14ac:dyDescent="0.25">
      <c r="A7074" t="s">
        <v>6864</v>
      </c>
      <c r="B7074" t="s">
        <v>168</v>
      </c>
      <c r="C7074" t="s">
        <v>169</v>
      </c>
      <c r="D7074" t="str">
        <f>HYPERLINK("http://service.sap.com/sap/support/notes/1532547","1532547")</f>
        <v>1532547</v>
      </c>
      <c r="E7074">
        <v>1</v>
      </c>
      <c r="F7074" t="s">
        <v>6854</v>
      </c>
    </row>
    <row r="7075" spans="1:6" x14ac:dyDescent="0.25">
      <c r="A7075" t="s">
        <v>6864</v>
      </c>
      <c r="B7075" t="s">
        <v>171</v>
      </c>
      <c r="C7075" t="s">
        <v>153</v>
      </c>
      <c r="D7075" t="str">
        <f>HYPERLINK("http://service.sap.com/sap/support/notes/1514827","1514827")</f>
        <v>1514827</v>
      </c>
      <c r="E7075">
        <v>6</v>
      </c>
      <c r="F7075" t="s">
        <v>6855</v>
      </c>
    </row>
    <row r="7076" spans="1:6" x14ac:dyDescent="0.25">
      <c r="A7076" t="s">
        <v>6864</v>
      </c>
      <c r="B7076" t="s">
        <v>191</v>
      </c>
      <c r="C7076" t="s">
        <v>192</v>
      </c>
      <c r="D7076" t="str">
        <f>HYPERLINK("http://service.sap.com/sap/support/notes/1518608","1518608")</f>
        <v>1518608</v>
      </c>
      <c r="E7076">
        <v>2</v>
      </c>
      <c r="F7076" t="s">
        <v>956</v>
      </c>
    </row>
    <row r="7077" spans="1:6" x14ac:dyDescent="0.25">
      <c r="A7077" t="s">
        <v>6864</v>
      </c>
      <c r="B7077" t="s">
        <v>191</v>
      </c>
      <c r="C7077" t="s">
        <v>192</v>
      </c>
      <c r="D7077" t="str">
        <f>HYPERLINK("http://service.sap.com/sap/support/notes/1534990","1534990")</f>
        <v>1534990</v>
      </c>
      <c r="E7077">
        <v>1</v>
      </c>
      <c r="F7077" t="s">
        <v>6856</v>
      </c>
    </row>
    <row r="7078" spans="1:6" x14ac:dyDescent="0.25">
      <c r="A7078" t="s">
        <v>6864</v>
      </c>
      <c r="B7078" t="s">
        <v>226</v>
      </c>
      <c r="C7078" t="s">
        <v>52</v>
      </c>
    </row>
    <row r="7079" spans="1:6" x14ac:dyDescent="0.25">
      <c r="A7079" t="s">
        <v>6864</v>
      </c>
      <c r="B7079" t="s">
        <v>235</v>
      </c>
      <c r="C7079" t="s">
        <v>236</v>
      </c>
    </row>
    <row r="7080" spans="1:6" x14ac:dyDescent="0.25">
      <c r="A7080" t="s">
        <v>6864</v>
      </c>
      <c r="B7080" t="s">
        <v>246</v>
      </c>
      <c r="C7080" t="s">
        <v>247</v>
      </c>
      <c r="D7080" t="str">
        <f>HYPERLINK("http://service.sap.com/sap/support/notes/1527444","1527444")</f>
        <v>1527444</v>
      </c>
      <c r="E7080">
        <v>3</v>
      </c>
      <c r="F7080" t="s">
        <v>1007</v>
      </c>
    </row>
    <row r="7081" spans="1:6" x14ac:dyDescent="0.25">
      <c r="A7081" t="s">
        <v>6864</v>
      </c>
      <c r="B7081" t="s">
        <v>246</v>
      </c>
      <c r="C7081" t="s">
        <v>247</v>
      </c>
      <c r="D7081" t="str">
        <f>HYPERLINK("http://service.sap.com/sap/support/notes/1531581","1531581")</f>
        <v>1531581</v>
      </c>
      <c r="E7081">
        <v>1</v>
      </c>
      <c r="F7081" t="s">
        <v>6857</v>
      </c>
    </row>
    <row r="7082" spans="1:6" x14ac:dyDescent="0.25">
      <c r="A7082" t="s">
        <v>6864</v>
      </c>
      <c r="B7082" t="s">
        <v>343</v>
      </c>
      <c r="C7082" t="s">
        <v>344</v>
      </c>
    </row>
    <row r="7083" spans="1:6" x14ac:dyDescent="0.25">
      <c r="A7083" t="s">
        <v>6864</v>
      </c>
      <c r="B7083" t="s">
        <v>349</v>
      </c>
      <c r="C7083" t="s">
        <v>299</v>
      </c>
    </row>
    <row r="7084" spans="1:6" x14ac:dyDescent="0.25">
      <c r="A7084" t="s">
        <v>6864</v>
      </c>
      <c r="B7084" t="s">
        <v>350</v>
      </c>
      <c r="C7084" t="s">
        <v>351</v>
      </c>
      <c r="D7084" t="str">
        <f>HYPERLINK("http://service.sap.com/sap/support/notes/1517892","1517892")</f>
        <v>1517892</v>
      </c>
      <c r="E7084">
        <v>2</v>
      </c>
      <c r="F7084" t="s">
        <v>1133</v>
      </c>
    </row>
    <row r="7085" spans="1:6" x14ac:dyDescent="0.25">
      <c r="A7085" t="s">
        <v>6864</v>
      </c>
      <c r="B7085" t="s">
        <v>363</v>
      </c>
      <c r="C7085" t="s">
        <v>74</v>
      </c>
      <c r="D7085" t="str">
        <f>HYPERLINK("http://service.sap.com/sap/support/notes/1478757","1478757")</f>
        <v>1478757</v>
      </c>
      <c r="E7085">
        <v>1</v>
      </c>
      <c r="F7085" t="s">
        <v>6858</v>
      </c>
    </row>
    <row r="7086" spans="1:6" x14ac:dyDescent="0.25">
      <c r="A7086" t="s">
        <v>6864</v>
      </c>
      <c r="B7086" t="s">
        <v>363</v>
      </c>
      <c r="C7086" t="s">
        <v>74</v>
      </c>
      <c r="D7086" t="str">
        <f>HYPERLINK("http://service.sap.com/sap/support/notes/1528165","1528165")</f>
        <v>1528165</v>
      </c>
      <c r="E7086">
        <v>1</v>
      </c>
      <c r="F7086" t="s">
        <v>1161</v>
      </c>
    </row>
    <row r="7087" spans="1:6" x14ac:dyDescent="0.25">
      <c r="A7087" t="s">
        <v>6864</v>
      </c>
      <c r="B7087" t="s">
        <v>396</v>
      </c>
      <c r="C7087" t="s">
        <v>397</v>
      </c>
    </row>
    <row r="7088" spans="1:6" x14ac:dyDescent="0.25">
      <c r="A7088" t="s">
        <v>6864</v>
      </c>
      <c r="B7088" t="s">
        <v>1202</v>
      </c>
      <c r="C7088" t="s">
        <v>1427</v>
      </c>
      <c r="D7088" t="str">
        <f>HYPERLINK("http://service.sap.com/sap/support/notes/1466132","1466132")</f>
        <v>1466132</v>
      </c>
      <c r="E7088">
        <v>1</v>
      </c>
      <c r="F7088" t="s">
        <v>6859</v>
      </c>
    </row>
    <row r="7089" spans="1:6" x14ac:dyDescent="0.25">
      <c r="A7089" t="s">
        <v>6864</v>
      </c>
      <c r="B7089" t="s">
        <v>460</v>
      </c>
      <c r="C7089" t="s">
        <v>461</v>
      </c>
      <c r="D7089" t="str">
        <f>HYPERLINK("http://service.sap.com/sap/support/notes/1524187","1524187")</f>
        <v>1524187</v>
      </c>
      <c r="E7089">
        <v>2</v>
      </c>
      <c r="F7089" t="s">
        <v>1252</v>
      </c>
    </row>
    <row r="7090" spans="1:6" x14ac:dyDescent="0.25">
      <c r="A7090" t="s">
        <v>6864</v>
      </c>
      <c r="B7090" t="s">
        <v>499</v>
      </c>
      <c r="C7090" t="s">
        <v>108</v>
      </c>
    </row>
    <row r="7091" spans="1:6" x14ac:dyDescent="0.25">
      <c r="A7091" t="s">
        <v>6864</v>
      </c>
      <c r="B7091" t="s">
        <v>1269</v>
      </c>
      <c r="C7091" t="s">
        <v>1270</v>
      </c>
      <c r="D7091" t="str">
        <f>HYPERLINK("http://service.sap.com/sap/support/notes/1416426","1416426")</f>
        <v>1416426</v>
      </c>
      <c r="E7091">
        <v>1</v>
      </c>
      <c r="F7091" t="s">
        <v>1271</v>
      </c>
    </row>
    <row r="7092" spans="1:6" x14ac:dyDescent="0.25">
      <c r="A7092" t="s">
        <v>6864</v>
      </c>
      <c r="B7092" t="s">
        <v>505</v>
      </c>
      <c r="C7092" t="s">
        <v>299</v>
      </c>
      <c r="D7092" t="str">
        <f>HYPERLINK("http://service.sap.com/sap/support/notes/1525825","1525825")</f>
        <v>1525825</v>
      </c>
      <c r="E7092">
        <v>1</v>
      </c>
      <c r="F7092" t="s">
        <v>1279</v>
      </c>
    </row>
    <row r="7093" spans="1:6" x14ac:dyDescent="0.25">
      <c r="A7093" t="s">
        <v>6864</v>
      </c>
      <c r="B7093" t="s">
        <v>531</v>
      </c>
      <c r="C7093" t="s">
        <v>532</v>
      </c>
    </row>
    <row r="7094" spans="1:6" x14ac:dyDescent="0.25">
      <c r="A7094" t="s">
        <v>6864</v>
      </c>
      <c r="B7094" t="s">
        <v>1305</v>
      </c>
      <c r="C7094" t="s">
        <v>653</v>
      </c>
      <c r="D7094" t="str">
        <f>HYPERLINK("http://service.sap.com/sap/support/notes/1501460","1501460")</f>
        <v>1501460</v>
      </c>
      <c r="E7094">
        <v>2</v>
      </c>
      <c r="F7094" t="s">
        <v>6860</v>
      </c>
    </row>
    <row r="7095" spans="1:6" x14ac:dyDescent="0.25">
      <c r="A7095" t="s">
        <v>6864</v>
      </c>
      <c r="B7095" t="s">
        <v>1320</v>
      </c>
      <c r="C7095" t="s">
        <v>1321</v>
      </c>
      <c r="D7095" t="str">
        <f>HYPERLINK("http://service.sap.com/sap/support/notes/1500769","1500769")</f>
        <v>1500769</v>
      </c>
      <c r="E7095">
        <v>4</v>
      </c>
      <c r="F7095" t="s">
        <v>6861</v>
      </c>
    </row>
    <row r="7096" spans="1:6" x14ac:dyDescent="0.25">
      <c r="A7096" t="s">
        <v>6864</v>
      </c>
      <c r="B7096" t="s">
        <v>1342</v>
      </c>
      <c r="C7096" t="s">
        <v>1343</v>
      </c>
    </row>
    <row r="7097" spans="1:6" x14ac:dyDescent="0.25">
      <c r="A7097" t="s">
        <v>6864</v>
      </c>
      <c r="B7097" t="s">
        <v>6392</v>
      </c>
      <c r="C7097" t="s">
        <v>6393</v>
      </c>
      <c r="D7097" t="str">
        <f>HYPERLINK("http://service.sap.com/sap/support/notes/1527625","1527625")</f>
        <v>1527625</v>
      </c>
      <c r="E7097">
        <v>2</v>
      </c>
      <c r="F7097" t="s">
        <v>6862</v>
      </c>
    </row>
    <row r="7098" spans="1:6" x14ac:dyDescent="0.25">
      <c r="A7098" t="s">
        <v>6864</v>
      </c>
      <c r="B7098" t="s">
        <v>4309</v>
      </c>
      <c r="C7098" t="s">
        <v>4310</v>
      </c>
      <c r="D7098" t="str">
        <f>HYPERLINK("http://service.sap.com/sap/support/notes/1505472","1505472")</f>
        <v>1505472</v>
      </c>
      <c r="E7098">
        <v>1</v>
      </c>
      <c r="F7098" t="s">
        <v>6863</v>
      </c>
    </row>
    <row r="7099" spans="1:6" x14ac:dyDescent="0.25">
      <c r="A7099" t="s">
        <v>6864</v>
      </c>
      <c r="B7099" t="s">
        <v>1361</v>
      </c>
      <c r="C7099" t="s">
        <v>1362</v>
      </c>
      <c r="D7099" t="str">
        <f>HYPERLINK("http://service.sap.com/sap/support/notes/1529512","1529512")</f>
        <v>1529512</v>
      </c>
      <c r="E7099">
        <v>2</v>
      </c>
      <c r="F7099" t="s">
        <v>1367</v>
      </c>
    </row>
    <row r="7100" spans="1:6" x14ac:dyDescent="0.25">
      <c r="A7100" t="s">
        <v>6864</v>
      </c>
      <c r="B7100" t="s">
        <v>543</v>
      </c>
      <c r="C7100" t="s">
        <v>544</v>
      </c>
    </row>
    <row r="7101" spans="1:6" x14ac:dyDescent="0.25">
      <c r="A7101" t="s">
        <v>6864</v>
      </c>
      <c r="B7101" t="s">
        <v>5776</v>
      </c>
      <c r="C7101" t="s">
        <v>5777</v>
      </c>
    </row>
    <row r="7102" spans="1:6" x14ac:dyDescent="0.25">
      <c r="A7102" t="s">
        <v>6864</v>
      </c>
      <c r="B7102" t="s">
        <v>5778</v>
      </c>
      <c r="C7102" t="s">
        <v>5779</v>
      </c>
      <c r="D7102" t="str">
        <f>HYPERLINK("http://service.sap.com/sap/support/notes/1443145","1443145")</f>
        <v>1443145</v>
      </c>
      <c r="E7102">
        <v>1</v>
      </c>
      <c r="F7102" t="s">
        <v>5780</v>
      </c>
    </row>
    <row r="7103" spans="1:6" x14ac:dyDescent="0.25">
      <c r="A7103" t="s">
        <v>6864</v>
      </c>
      <c r="B7103" t="s">
        <v>5778</v>
      </c>
      <c r="C7103" t="s">
        <v>5779</v>
      </c>
      <c r="D7103" t="str">
        <f>HYPERLINK("http://service.sap.com/sap/support/notes/1503118","1503118")</f>
        <v>1503118</v>
      </c>
      <c r="E7103">
        <v>2</v>
      </c>
      <c r="F7103" t="s">
        <v>6539</v>
      </c>
    </row>
    <row r="7104" spans="1:6" x14ac:dyDescent="0.25">
      <c r="A7104" t="s">
        <v>6866</v>
      </c>
      <c r="B7104" t="s">
        <v>27</v>
      </c>
      <c r="C7104" t="s">
        <v>13</v>
      </c>
    </row>
    <row r="7105" spans="1:6" x14ac:dyDescent="0.25">
      <c r="A7105" t="s">
        <v>6866</v>
      </c>
      <c r="B7105" t="s">
        <v>38</v>
      </c>
      <c r="C7105" t="s">
        <v>39</v>
      </c>
    </row>
    <row r="7106" spans="1:6" x14ac:dyDescent="0.25">
      <c r="A7106" t="s">
        <v>6866</v>
      </c>
      <c r="B7106" t="s">
        <v>86</v>
      </c>
      <c r="C7106" t="s">
        <v>87</v>
      </c>
      <c r="D7106" t="str">
        <f>HYPERLINK("http://service.sap.com/sap/support/notes/1462270","1462270")</f>
        <v>1462270</v>
      </c>
      <c r="E7106">
        <v>1</v>
      </c>
      <c r="F7106" t="s">
        <v>6865</v>
      </c>
    </row>
    <row r="7107" spans="1:6" x14ac:dyDescent="0.25">
      <c r="A7107" t="s">
        <v>6866</v>
      </c>
      <c r="B7107" t="s">
        <v>131</v>
      </c>
      <c r="C7107" t="s">
        <v>132</v>
      </c>
    </row>
    <row r="7108" spans="1:6" x14ac:dyDescent="0.25">
      <c r="A7108" t="s">
        <v>6866</v>
      </c>
      <c r="B7108" t="s">
        <v>191</v>
      </c>
      <c r="C7108" t="s">
        <v>192</v>
      </c>
      <c r="D7108" t="str">
        <f>HYPERLINK("http://service.sap.com/sap/support/notes/1534990","1534990")</f>
        <v>1534990</v>
      </c>
      <c r="E7108">
        <v>1</v>
      </c>
      <c r="F7108" t="s">
        <v>6856</v>
      </c>
    </row>
    <row r="7109" spans="1:6" x14ac:dyDescent="0.25">
      <c r="A7109" t="s">
        <v>6866</v>
      </c>
      <c r="B7109" t="s">
        <v>499</v>
      </c>
      <c r="C7109" t="s">
        <v>108</v>
      </c>
      <c r="D7109" t="str">
        <f>HYPERLINK("http://service.sap.com/sap/support/notes/1530008","1530008")</f>
        <v>1530008</v>
      </c>
      <c r="E7109">
        <v>4</v>
      </c>
      <c r="F7109" t="s">
        <v>1438</v>
      </c>
    </row>
    <row r="7110" spans="1:6" x14ac:dyDescent="0.25">
      <c r="A7110" t="s">
        <v>6866</v>
      </c>
      <c r="B7110" t="s">
        <v>543</v>
      </c>
      <c r="C7110" t="s">
        <v>544</v>
      </c>
    </row>
    <row r="7111" spans="1:6" x14ac:dyDescent="0.25">
      <c r="A7111" t="s">
        <v>6866</v>
      </c>
      <c r="B7111" t="s">
        <v>5776</v>
      </c>
      <c r="C7111" t="s">
        <v>5777</v>
      </c>
    </row>
    <row r="7112" spans="1:6" x14ac:dyDescent="0.25">
      <c r="A7112" t="s">
        <v>6866</v>
      </c>
      <c r="B7112" t="s">
        <v>5778</v>
      </c>
      <c r="C7112" t="s">
        <v>5779</v>
      </c>
      <c r="D7112" t="str">
        <f>HYPERLINK("http://service.sap.com/sap/support/notes/1443145","1443145")</f>
        <v>1443145</v>
      </c>
      <c r="E7112">
        <v>1</v>
      </c>
      <c r="F7112" t="s">
        <v>5780</v>
      </c>
    </row>
    <row r="7113" spans="1:6" x14ac:dyDescent="0.25">
      <c r="A7113" t="s">
        <v>6999</v>
      </c>
      <c r="B7113" t="s">
        <v>5</v>
      </c>
      <c r="C7113" t="s">
        <v>6</v>
      </c>
    </row>
    <row r="7114" spans="1:6" x14ac:dyDescent="0.25">
      <c r="A7114" t="s">
        <v>6999</v>
      </c>
      <c r="B7114" t="s">
        <v>7</v>
      </c>
      <c r="C7114" t="s">
        <v>8</v>
      </c>
    </row>
    <row r="7115" spans="1:6" x14ac:dyDescent="0.25">
      <c r="A7115" t="s">
        <v>6999</v>
      </c>
      <c r="B7115" t="s">
        <v>12</v>
      </c>
      <c r="C7115" t="s">
        <v>13</v>
      </c>
      <c r="D7115" t="str">
        <f>HYPERLINK("http://service.sap.com/sap/support/notes/1534080","1534080")</f>
        <v>1534080</v>
      </c>
      <c r="E7115">
        <v>1</v>
      </c>
      <c r="F7115" t="s">
        <v>6867</v>
      </c>
    </row>
    <row r="7116" spans="1:6" x14ac:dyDescent="0.25">
      <c r="A7116" t="s">
        <v>6999</v>
      </c>
      <c r="B7116" t="s">
        <v>573</v>
      </c>
      <c r="C7116" t="s">
        <v>4037</v>
      </c>
    </row>
    <row r="7117" spans="1:6" x14ac:dyDescent="0.25">
      <c r="A7117" t="s">
        <v>6999</v>
      </c>
      <c r="B7117" t="s">
        <v>4043</v>
      </c>
      <c r="C7117" t="s">
        <v>4044</v>
      </c>
    </row>
    <row r="7118" spans="1:6" x14ac:dyDescent="0.25">
      <c r="A7118" t="s">
        <v>6999</v>
      </c>
      <c r="B7118" t="s">
        <v>4045</v>
      </c>
      <c r="C7118" t="s">
        <v>4046</v>
      </c>
    </row>
    <row r="7119" spans="1:6" x14ac:dyDescent="0.25">
      <c r="A7119" t="s">
        <v>6999</v>
      </c>
      <c r="B7119" t="s">
        <v>4047</v>
      </c>
      <c r="C7119" t="s">
        <v>4048</v>
      </c>
      <c r="D7119" t="str">
        <f>HYPERLINK("http://service.sap.com/sap/support/notes/1158538","1158538")</f>
        <v>1158538</v>
      </c>
      <c r="E7119">
        <v>4</v>
      </c>
      <c r="F7119" t="s">
        <v>6868</v>
      </c>
    </row>
    <row r="7120" spans="1:6" x14ac:dyDescent="0.25">
      <c r="A7120" t="s">
        <v>6999</v>
      </c>
      <c r="B7120" t="s">
        <v>585</v>
      </c>
      <c r="C7120" t="s">
        <v>1443</v>
      </c>
    </row>
    <row r="7121" spans="1:6" x14ac:dyDescent="0.25">
      <c r="A7121" t="s">
        <v>6999</v>
      </c>
      <c r="B7121" t="s">
        <v>586</v>
      </c>
      <c r="C7121" t="s">
        <v>1444</v>
      </c>
    </row>
    <row r="7122" spans="1:6" x14ac:dyDescent="0.25">
      <c r="A7122" t="s">
        <v>6999</v>
      </c>
      <c r="B7122" t="s">
        <v>587</v>
      </c>
      <c r="C7122" t="s">
        <v>1445</v>
      </c>
    </row>
    <row r="7123" spans="1:6" x14ac:dyDescent="0.25">
      <c r="A7123" t="s">
        <v>6999</v>
      </c>
      <c r="B7123" t="s">
        <v>588</v>
      </c>
      <c r="C7123" t="s">
        <v>1446</v>
      </c>
      <c r="D7123" t="str">
        <f>HYPERLINK("http://service.sap.com/sap/support/notes/1540576","1540576")</f>
        <v>1540576</v>
      </c>
      <c r="E7123">
        <v>1</v>
      </c>
      <c r="F7123" t="s">
        <v>6869</v>
      </c>
    </row>
    <row r="7124" spans="1:6" x14ac:dyDescent="0.25">
      <c r="A7124" t="s">
        <v>6999</v>
      </c>
      <c r="B7124" t="s">
        <v>20</v>
      </c>
      <c r="C7124" t="s">
        <v>21</v>
      </c>
    </row>
    <row r="7125" spans="1:6" x14ac:dyDescent="0.25">
      <c r="A7125" t="s">
        <v>6999</v>
      </c>
      <c r="B7125" t="s">
        <v>22</v>
      </c>
      <c r="C7125" t="s">
        <v>23</v>
      </c>
      <c r="D7125" t="str">
        <f>HYPERLINK("http://service.sap.com/sap/support/notes/1533777","1533777")</f>
        <v>1533777</v>
      </c>
      <c r="E7125">
        <v>1</v>
      </c>
      <c r="F7125" t="s">
        <v>6870</v>
      </c>
    </row>
    <row r="7126" spans="1:6" x14ac:dyDescent="0.25">
      <c r="A7126" t="s">
        <v>6999</v>
      </c>
      <c r="B7126" t="s">
        <v>22</v>
      </c>
      <c r="C7126" t="s">
        <v>23</v>
      </c>
      <c r="D7126" t="str">
        <f>HYPERLINK("http://service.sap.com/sap/support/notes/1535417","1535417")</f>
        <v>1535417</v>
      </c>
      <c r="E7126">
        <v>2</v>
      </c>
      <c r="F7126" t="s">
        <v>6871</v>
      </c>
    </row>
    <row r="7127" spans="1:6" x14ac:dyDescent="0.25">
      <c r="A7127" t="s">
        <v>6999</v>
      </c>
      <c r="B7127" t="s">
        <v>22</v>
      </c>
      <c r="C7127" t="s">
        <v>23</v>
      </c>
      <c r="D7127" t="str">
        <f>HYPERLINK("http://service.sap.com/sap/support/notes/1537001","1537001")</f>
        <v>1537001</v>
      </c>
      <c r="E7127">
        <v>1</v>
      </c>
      <c r="F7127" t="s">
        <v>6872</v>
      </c>
    </row>
    <row r="7128" spans="1:6" x14ac:dyDescent="0.25">
      <c r="A7128" t="s">
        <v>6999</v>
      </c>
      <c r="B7128" t="s">
        <v>22</v>
      </c>
      <c r="C7128" t="s">
        <v>23</v>
      </c>
      <c r="D7128" t="str">
        <f>HYPERLINK("http://service.sap.com/sap/support/notes/1537067","1537067")</f>
        <v>1537067</v>
      </c>
      <c r="E7128">
        <v>6</v>
      </c>
      <c r="F7128" t="s">
        <v>6873</v>
      </c>
    </row>
    <row r="7129" spans="1:6" x14ac:dyDescent="0.25">
      <c r="A7129" t="s">
        <v>6999</v>
      </c>
      <c r="B7129" t="s">
        <v>22</v>
      </c>
      <c r="C7129" t="s">
        <v>23</v>
      </c>
      <c r="D7129" t="str">
        <f>HYPERLINK("http://service.sap.com/sap/support/notes/1539625","1539625")</f>
        <v>1539625</v>
      </c>
      <c r="E7129">
        <v>1</v>
      </c>
      <c r="F7129" t="s">
        <v>6874</v>
      </c>
    </row>
    <row r="7130" spans="1:6" x14ac:dyDescent="0.25">
      <c r="A7130" t="s">
        <v>6999</v>
      </c>
      <c r="B7130" t="s">
        <v>22</v>
      </c>
      <c r="C7130" t="s">
        <v>23</v>
      </c>
      <c r="D7130" t="str">
        <f>HYPERLINK("http://service.sap.com/sap/support/notes/1541667","1541667")</f>
        <v>1541667</v>
      </c>
      <c r="E7130">
        <v>1</v>
      </c>
      <c r="F7130" t="s">
        <v>6875</v>
      </c>
    </row>
    <row r="7131" spans="1:6" x14ac:dyDescent="0.25">
      <c r="A7131" t="s">
        <v>6999</v>
      </c>
      <c r="B7131" t="s">
        <v>22</v>
      </c>
      <c r="C7131" t="s">
        <v>23</v>
      </c>
      <c r="D7131" t="str">
        <f>HYPERLINK("http://service.sap.com/sap/support/notes/1542417","1542417")</f>
        <v>1542417</v>
      </c>
      <c r="E7131">
        <v>2</v>
      </c>
      <c r="F7131" t="s">
        <v>6876</v>
      </c>
    </row>
    <row r="7132" spans="1:6" x14ac:dyDescent="0.25">
      <c r="A7132" t="s">
        <v>6999</v>
      </c>
      <c r="B7132" t="s">
        <v>24</v>
      </c>
      <c r="C7132" t="s">
        <v>25</v>
      </c>
      <c r="D7132" t="str">
        <f>HYPERLINK("http://service.sap.com/sap/support/notes/1515805","1515805")</f>
        <v>1515805</v>
      </c>
      <c r="E7132">
        <v>3</v>
      </c>
      <c r="F7132" t="s">
        <v>6566</v>
      </c>
    </row>
    <row r="7133" spans="1:6" x14ac:dyDescent="0.25">
      <c r="A7133" t="s">
        <v>6999</v>
      </c>
      <c r="B7133" t="s">
        <v>24</v>
      </c>
      <c r="C7133" t="s">
        <v>25</v>
      </c>
      <c r="D7133" t="str">
        <f>HYPERLINK("http://service.sap.com/sap/support/notes/1517409","1517409")</f>
        <v>1517409</v>
      </c>
      <c r="E7133">
        <v>2</v>
      </c>
      <c r="F7133" t="s">
        <v>6877</v>
      </c>
    </row>
    <row r="7134" spans="1:6" x14ac:dyDescent="0.25">
      <c r="A7134" t="s">
        <v>6999</v>
      </c>
      <c r="B7134" t="s">
        <v>24</v>
      </c>
      <c r="C7134" t="s">
        <v>25</v>
      </c>
      <c r="D7134" t="str">
        <f>HYPERLINK("http://service.sap.com/sap/support/notes/1523714","1523714")</f>
        <v>1523714</v>
      </c>
      <c r="E7134">
        <v>3</v>
      </c>
      <c r="F7134" t="s">
        <v>6878</v>
      </c>
    </row>
    <row r="7135" spans="1:6" x14ac:dyDescent="0.25">
      <c r="A7135" t="s">
        <v>6999</v>
      </c>
      <c r="B7135" t="s">
        <v>24</v>
      </c>
      <c r="C7135" t="s">
        <v>25</v>
      </c>
      <c r="D7135" t="str">
        <f>HYPERLINK("http://service.sap.com/sap/support/notes/1527750","1527750")</f>
        <v>1527750</v>
      </c>
      <c r="E7135">
        <v>6</v>
      </c>
      <c r="F7135" t="s">
        <v>6879</v>
      </c>
    </row>
    <row r="7136" spans="1:6" x14ac:dyDescent="0.25">
      <c r="A7136" t="s">
        <v>6999</v>
      </c>
      <c r="B7136" t="s">
        <v>24</v>
      </c>
      <c r="C7136" t="s">
        <v>25</v>
      </c>
      <c r="D7136" t="str">
        <f>HYPERLINK("http://service.sap.com/sap/support/notes/1532602","1532602")</f>
        <v>1532602</v>
      </c>
      <c r="E7136">
        <v>1</v>
      </c>
      <c r="F7136" t="s">
        <v>6880</v>
      </c>
    </row>
    <row r="7137" spans="1:6" x14ac:dyDescent="0.25">
      <c r="A7137" t="s">
        <v>6999</v>
      </c>
      <c r="B7137" t="s">
        <v>24</v>
      </c>
      <c r="C7137" t="s">
        <v>25</v>
      </c>
      <c r="D7137" t="str">
        <f>HYPERLINK("http://service.sap.com/sap/support/notes/1532786","1532786")</f>
        <v>1532786</v>
      </c>
      <c r="E7137">
        <v>1</v>
      </c>
      <c r="F7137" t="s">
        <v>6881</v>
      </c>
    </row>
    <row r="7138" spans="1:6" x14ac:dyDescent="0.25">
      <c r="A7138" t="s">
        <v>6999</v>
      </c>
      <c r="B7138" t="s">
        <v>24</v>
      </c>
      <c r="C7138" t="s">
        <v>25</v>
      </c>
      <c r="D7138" t="str">
        <f>HYPERLINK("http://service.sap.com/sap/support/notes/1533107","1533107")</f>
        <v>1533107</v>
      </c>
      <c r="E7138">
        <v>1</v>
      </c>
      <c r="F7138" t="s">
        <v>6882</v>
      </c>
    </row>
    <row r="7139" spans="1:6" x14ac:dyDescent="0.25">
      <c r="A7139" t="s">
        <v>6999</v>
      </c>
      <c r="B7139" t="s">
        <v>24</v>
      </c>
      <c r="C7139" t="s">
        <v>25</v>
      </c>
      <c r="D7139" t="str">
        <f>HYPERLINK("http://service.sap.com/sap/support/notes/1533185","1533185")</f>
        <v>1533185</v>
      </c>
      <c r="E7139">
        <v>2</v>
      </c>
      <c r="F7139" t="s">
        <v>6883</v>
      </c>
    </row>
    <row r="7140" spans="1:6" x14ac:dyDescent="0.25">
      <c r="A7140" t="s">
        <v>6999</v>
      </c>
      <c r="B7140" t="s">
        <v>24</v>
      </c>
      <c r="C7140" t="s">
        <v>25</v>
      </c>
      <c r="D7140" t="str">
        <f>HYPERLINK("http://service.sap.com/sap/support/notes/1533592","1533592")</f>
        <v>1533592</v>
      </c>
      <c r="E7140">
        <v>1</v>
      </c>
      <c r="F7140" t="s">
        <v>6884</v>
      </c>
    </row>
    <row r="7141" spans="1:6" x14ac:dyDescent="0.25">
      <c r="A7141" t="s">
        <v>6999</v>
      </c>
      <c r="B7141" t="s">
        <v>24</v>
      </c>
      <c r="C7141" t="s">
        <v>25</v>
      </c>
      <c r="D7141" t="str">
        <f>HYPERLINK("http://service.sap.com/sap/support/notes/1533696","1533696")</f>
        <v>1533696</v>
      </c>
      <c r="E7141">
        <v>1</v>
      </c>
      <c r="F7141" t="s">
        <v>6885</v>
      </c>
    </row>
    <row r="7142" spans="1:6" x14ac:dyDescent="0.25">
      <c r="A7142" t="s">
        <v>6999</v>
      </c>
      <c r="B7142" t="s">
        <v>24</v>
      </c>
      <c r="C7142" t="s">
        <v>25</v>
      </c>
      <c r="D7142" t="str">
        <f>HYPERLINK("http://service.sap.com/sap/support/notes/1534151","1534151")</f>
        <v>1534151</v>
      </c>
      <c r="E7142">
        <v>1</v>
      </c>
      <c r="F7142" t="s">
        <v>6886</v>
      </c>
    </row>
    <row r="7143" spans="1:6" x14ac:dyDescent="0.25">
      <c r="A7143" t="s">
        <v>6999</v>
      </c>
      <c r="B7143" t="s">
        <v>24</v>
      </c>
      <c r="C7143" t="s">
        <v>25</v>
      </c>
      <c r="D7143" t="str">
        <f>HYPERLINK("http://service.sap.com/sap/support/notes/1534243","1534243")</f>
        <v>1534243</v>
      </c>
      <c r="E7143">
        <v>2</v>
      </c>
      <c r="F7143" t="s">
        <v>6887</v>
      </c>
    </row>
    <row r="7144" spans="1:6" x14ac:dyDescent="0.25">
      <c r="A7144" t="s">
        <v>6999</v>
      </c>
      <c r="B7144" t="s">
        <v>24</v>
      </c>
      <c r="C7144" t="s">
        <v>25</v>
      </c>
      <c r="D7144" t="str">
        <f>HYPERLINK("http://service.sap.com/sap/support/notes/1534257","1534257")</f>
        <v>1534257</v>
      </c>
      <c r="E7144">
        <v>3</v>
      </c>
      <c r="F7144" t="s">
        <v>6888</v>
      </c>
    </row>
    <row r="7145" spans="1:6" x14ac:dyDescent="0.25">
      <c r="A7145" t="s">
        <v>6999</v>
      </c>
      <c r="B7145" t="s">
        <v>24</v>
      </c>
      <c r="C7145" t="s">
        <v>25</v>
      </c>
      <c r="D7145" t="str">
        <f>HYPERLINK("http://service.sap.com/sap/support/notes/1535418","1535418")</f>
        <v>1535418</v>
      </c>
      <c r="E7145">
        <v>1</v>
      </c>
      <c r="F7145" t="s">
        <v>6889</v>
      </c>
    </row>
    <row r="7146" spans="1:6" x14ac:dyDescent="0.25">
      <c r="A7146" t="s">
        <v>6999</v>
      </c>
      <c r="B7146" t="s">
        <v>24</v>
      </c>
      <c r="C7146" t="s">
        <v>25</v>
      </c>
      <c r="D7146" t="str">
        <f>HYPERLINK("http://service.sap.com/sap/support/notes/1535516","1535516")</f>
        <v>1535516</v>
      </c>
      <c r="E7146">
        <v>1</v>
      </c>
      <c r="F7146" t="s">
        <v>6890</v>
      </c>
    </row>
    <row r="7147" spans="1:6" x14ac:dyDescent="0.25">
      <c r="A7147" t="s">
        <v>6999</v>
      </c>
      <c r="B7147" t="s">
        <v>24</v>
      </c>
      <c r="C7147" t="s">
        <v>25</v>
      </c>
      <c r="D7147" t="str">
        <f>HYPERLINK("http://service.sap.com/sap/support/notes/1536598","1536598")</f>
        <v>1536598</v>
      </c>
      <c r="E7147">
        <v>1</v>
      </c>
      <c r="F7147" t="s">
        <v>6891</v>
      </c>
    </row>
    <row r="7148" spans="1:6" x14ac:dyDescent="0.25">
      <c r="A7148" t="s">
        <v>6999</v>
      </c>
      <c r="B7148" t="s">
        <v>24</v>
      </c>
      <c r="C7148" t="s">
        <v>25</v>
      </c>
      <c r="D7148" t="str">
        <f>HYPERLINK("http://service.sap.com/sap/support/notes/1536657","1536657")</f>
        <v>1536657</v>
      </c>
      <c r="E7148">
        <v>2</v>
      </c>
      <c r="F7148" t="s">
        <v>6892</v>
      </c>
    </row>
    <row r="7149" spans="1:6" x14ac:dyDescent="0.25">
      <c r="A7149" t="s">
        <v>6999</v>
      </c>
      <c r="B7149" t="s">
        <v>24</v>
      </c>
      <c r="C7149" t="s">
        <v>25</v>
      </c>
      <c r="D7149" t="str">
        <f>HYPERLINK("http://service.sap.com/sap/support/notes/1536795","1536795")</f>
        <v>1536795</v>
      </c>
      <c r="E7149">
        <v>1</v>
      </c>
      <c r="F7149" t="s">
        <v>6893</v>
      </c>
    </row>
    <row r="7150" spans="1:6" x14ac:dyDescent="0.25">
      <c r="A7150" t="s">
        <v>6999</v>
      </c>
      <c r="B7150" t="s">
        <v>24</v>
      </c>
      <c r="C7150" t="s">
        <v>25</v>
      </c>
      <c r="D7150" t="str">
        <f>HYPERLINK("http://service.sap.com/sap/support/notes/1537681","1537681")</f>
        <v>1537681</v>
      </c>
      <c r="E7150">
        <v>1</v>
      </c>
      <c r="F7150" t="s">
        <v>6894</v>
      </c>
    </row>
    <row r="7151" spans="1:6" x14ac:dyDescent="0.25">
      <c r="A7151" t="s">
        <v>6999</v>
      </c>
      <c r="B7151" t="s">
        <v>24</v>
      </c>
      <c r="C7151" t="s">
        <v>25</v>
      </c>
      <c r="D7151" t="str">
        <f>HYPERLINK("http://service.sap.com/sap/support/notes/1537759","1537759")</f>
        <v>1537759</v>
      </c>
      <c r="E7151">
        <v>1</v>
      </c>
      <c r="F7151" t="s">
        <v>6895</v>
      </c>
    </row>
    <row r="7152" spans="1:6" x14ac:dyDescent="0.25">
      <c r="A7152" t="s">
        <v>6999</v>
      </c>
      <c r="B7152" t="s">
        <v>24</v>
      </c>
      <c r="C7152" t="s">
        <v>25</v>
      </c>
      <c r="D7152" t="str">
        <f>HYPERLINK("http://service.sap.com/sap/support/notes/1538198","1538198")</f>
        <v>1538198</v>
      </c>
      <c r="E7152">
        <v>1</v>
      </c>
      <c r="F7152" t="s">
        <v>6896</v>
      </c>
    </row>
    <row r="7153" spans="1:6" x14ac:dyDescent="0.25">
      <c r="A7153" t="s">
        <v>6999</v>
      </c>
      <c r="B7153" t="s">
        <v>24</v>
      </c>
      <c r="C7153" t="s">
        <v>25</v>
      </c>
      <c r="D7153" t="str">
        <f>HYPERLINK("http://service.sap.com/sap/support/notes/1538821","1538821")</f>
        <v>1538821</v>
      </c>
      <c r="E7153">
        <v>1</v>
      </c>
      <c r="F7153" t="s">
        <v>6897</v>
      </c>
    </row>
    <row r="7154" spans="1:6" x14ac:dyDescent="0.25">
      <c r="A7154" t="s">
        <v>6999</v>
      </c>
      <c r="B7154" t="s">
        <v>24</v>
      </c>
      <c r="C7154" t="s">
        <v>25</v>
      </c>
      <c r="D7154" t="str">
        <f>HYPERLINK("http://service.sap.com/sap/support/notes/1539363","1539363")</f>
        <v>1539363</v>
      </c>
      <c r="E7154">
        <v>1</v>
      </c>
      <c r="F7154" t="s">
        <v>6898</v>
      </c>
    </row>
    <row r="7155" spans="1:6" x14ac:dyDescent="0.25">
      <c r="A7155" t="s">
        <v>6999</v>
      </c>
      <c r="B7155" t="s">
        <v>24</v>
      </c>
      <c r="C7155" t="s">
        <v>25</v>
      </c>
      <c r="D7155" t="str">
        <f>HYPERLINK("http://service.sap.com/sap/support/notes/1539728","1539728")</f>
        <v>1539728</v>
      </c>
      <c r="E7155">
        <v>1</v>
      </c>
      <c r="F7155" t="s">
        <v>6899</v>
      </c>
    </row>
    <row r="7156" spans="1:6" x14ac:dyDescent="0.25">
      <c r="A7156" t="s">
        <v>6999</v>
      </c>
      <c r="B7156" t="s">
        <v>24</v>
      </c>
      <c r="C7156" t="s">
        <v>25</v>
      </c>
      <c r="D7156" t="str">
        <f>HYPERLINK("http://service.sap.com/sap/support/notes/1539791","1539791")</f>
        <v>1539791</v>
      </c>
      <c r="E7156">
        <v>1</v>
      </c>
      <c r="F7156" t="s">
        <v>6900</v>
      </c>
    </row>
    <row r="7157" spans="1:6" x14ac:dyDescent="0.25">
      <c r="A7157" t="s">
        <v>6999</v>
      </c>
      <c r="B7157" t="s">
        <v>24</v>
      </c>
      <c r="C7157" t="s">
        <v>25</v>
      </c>
      <c r="D7157" t="str">
        <f>HYPERLINK("http://service.sap.com/sap/support/notes/1539902","1539902")</f>
        <v>1539902</v>
      </c>
      <c r="E7157">
        <v>2</v>
      </c>
      <c r="F7157" t="s">
        <v>6901</v>
      </c>
    </row>
    <row r="7158" spans="1:6" x14ac:dyDescent="0.25">
      <c r="A7158" t="s">
        <v>6999</v>
      </c>
      <c r="B7158" t="s">
        <v>24</v>
      </c>
      <c r="C7158" t="s">
        <v>25</v>
      </c>
      <c r="D7158" t="str">
        <f>HYPERLINK("http://service.sap.com/sap/support/notes/1539970","1539970")</f>
        <v>1539970</v>
      </c>
      <c r="E7158">
        <v>1</v>
      </c>
      <c r="F7158" t="s">
        <v>6902</v>
      </c>
    </row>
    <row r="7159" spans="1:6" x14ac:dyDescent="0.25">
      <c r="A7159" t="s">
        <v>6999</v>
      </c>
      <c r="B7159" t="s">
        <v>24</v>
      </c>
      <c r="C7159" t="s">
        <v>25</v>
      </c>
      <c r="D7159" t="str">
        <f>HYPERLINK("http://service.sap.com/sap/support/notes/1540789","1540789")</f>
        <v>1540789</v>
      </c>
      <c r="E7159">
        <v>1</v>
      </c>
      <c r="F7159" t="s">
        <v>6903</v>
      </c>
    </row>
    <row r="7160" spans="1:6" x14ac:dyDescent="0.25">
      <c r="A7160" t="s">
        <v>6999</v>
      </c>
      <c r="B7160" t="s">
        <v>24</v>
      </c>
      <c r="C7160" t="s">
        <v>25</v>
      </c>
      <c r="D7160" t="str">
        <f>HYPERLINK("http://service.sap.com/sap/support/notes/1541456","1541456")</f>
        <v>1541456</v>
      </c>
      <c r="E7160">
        <v>2</v>
      </c>
      <c r="F7160" t="s">
        <v>6904</v>
      </c>
    </row>
    <row r="7161" spans="1:6" x14ac:dyDescent="0.25">
      <c r="A7161" t="s">
        <v>6999</v>
      </c>
      <c r="B7161" t="s">
        <v>24</v>
      </c>
      <c r="C7161" t="s">
        <v>25</v>
      </c>
      <c r="D7161" t="str">
        <f>HYPERLINK("http://service.sap.com/sap/support/notes/1542006","1542006")</f>
        <v>1542006</v>
      </c>
      <c r="E7161">
        <v>1</v>
      </c>
      <c r="F7161" t="s">
        <v>6905</v>
      </c>
    </row>
    <row r="7162" spans="1:6" x14ac:dyDescent="0.25">
      <c r="A7162" t="s">
        <v>6999</v>
      </c>
      <c r="B7162" t="s">
        <v>24</v>
      </c>
      <c r="C7162" t="s">
        <v>25</v>
      </c>
      <c r="D7162" t="str">
        <f>HYPERLINK("http://service.sap.com/sap/support/notes/1542349","1542349")</f>
        <v>1542349</v>
      </c>
      <c r="E7162">
        <v>1</v>
      </c>
      <c r="F7162" t="s">
        <v>6906</v>
      </c>
    </row>
    <row r="7163" spans="1:6" x14ac:dyDescent="0.25">
      <c r="A7163" t="s">
        <v>6999</v>
      </c>
      <c r="B7163" t="s">
        <v>24</v>
      </c>
      <c r="C7163" t="s">
        <v>25</v>
      </c>
      <c r="D7163" t="str">
        <f>HYPERLINK("http://service.sap.com/sap/support/notes/1542356","1542356")</f>
        <v>1542356</v>
      </c>
      <c r="E7163">
        <v>1</v>
      </c>
      <c r="F7163" t="s">
        <v>6907</v>
      </c>
    </row>
    <row r="7164" spans="1:6" x14ac:dyDescent="0.25">
      <c r="A7164" t="s">
        <v>6999</v>
      </c>
      <c r="B7164" t="s">
        <v>24</v>
      </c>
      <c r="C7164" t="s">
        <v>25</v>
      </c>
      <c r="D7164" t="str">
        <f>HYPERLINK("http://service.sap.com/sap/support/notes/1542437","1542437")</f>
        <v>1542437</v>
      </c>
      <c r="E7164">
        <v>1</v>
      </c>
      <c r="F7164" t="s">
        <v>6908</v>
      </c>
    </row>
    <row r="7165" spans="1:6" x14ac:dyDescent="0.25">
      <c r="A7165" t="s">
        <v>6999</v>
      </c>
      <c r="B7165" t="s">
        <v>24</v>
      </c>
      <c r="C7165" t="s">
        <v>25</v>
      </c>
      <c r="D7165" t="str">
        <f>HYPERLINK("http://service.sap.com/sap/support/notes/1542788","1542788")</f>
        <v>1542788</v>
      </c>
      <c r="E7165">
        <v>2</v>
      </c>
      <c r="F7165" t="s">
        <v>6909</v>
      </c>
    </row>
    <row r="7166" spans="1:6" x14ac:dyDescent="0.25">
      <c r="A7166" t="s">
        <v>6999</v>
      </c>
      <c r="B7166" t="s">
        <v>24</v>
      </c>
      <c r="C7166" t="s">
        <v>25</v>
      </c>
      <c r="D7166" t="str">
        <f>HYPERLINK("http://service.sap.com/sap/support/notes/1542808","1542808")</f>
        <v>1542808</v>
      </c>
      <c r="E7166">
        <v>4</v>
      </c>
      <c r="F7166" t="s">
        <v>6910</v>
      </c>
    </row>
    <row r="7167" spans="1:6" x14ac:dyDescent="0.25">
      <c r="A7167" t="s">
        <v>6999</v>
      </c>
      <c r="B7167" t="s">
        <v>24</v>
      </c>
      <c r="C7167" t="s">
        <v>25</v>
      </c>
      <c r="D7167" t="str">
        <f>HYPERLINK("http://service.sap.com/sap/support/notes/1543624","1543624")</f>
        <v>1543624</v>
      </c>
      <c r="E7167">
        <v>3</v>
      </c>
      <c r="F7167" t="s">
        <v>6911</v>
      </c>
    </row>
    <row r="7168" spans="1:6" x14ac:dyDescent="0.25">
      <c r="A7168" t="s">
        <v>6999</v>
      </c>
      <c r="B7168" t="s">
        <v>24</v>
      </c>
      <c r="C7168" t="s">
        <v>25</v>
      </c>
      <c r="D7168" t="str">
        <f>HYPERLINK("http://service.sap.com/sap/support/notes/1543967","1543967")</f>
        <v>1543967</v>
      </c>
      <c r="E7168">
        <v>1</v>
      </c>
      <c r="F7168" t="s">
        <v>6912</v>
      </c>
    </row>
    <row r="7169" spans="1:6" x14ac:dyDescent="0.25">
      <c r="A7169" t="s">
        <v>6999</v>
      </c>
      <c r="B7169" t="s">
        <v>24</v>
      </c>
      <c r="C7169" t="s">
        <v>25</v>
      </c>
      <c r="D7169" t="str">
        <f>HYPERLINK("http://service.sap.com/sap/support/notes/1544221","1544221")</f>
        <v>1544221</v>
      </c>
      <c r="E7169">
        <v>2</v>
      </c>
      <c r="F7169" t="s">
        <v>6913</v>
      </c>
    </row>
    <row r="7170" spans="1:6" x14ac:dyDescent="0.25">
      <c r="A7170" t="s">
        <v>6999</v>
      </c>
      <c r="B7170" t="s">
        <v>24</v>
      </c>
      <c r="C7170" t="s">
        <v>25</v>
      </c>
      <c r="D7170" t="str">
        <f>HYPERLINK("http://service.sap.com/sap/support/notes/1544327","1544327")</f>
        <v>1544327</v>
      </c>
      <c r="E7170">
        <v>1</v>
      </c>
      <c r="F7170" t="s">
        <v>6914</v>
      </c>
    </row>
    <row r="7171" spans="1:6" x14ac:dyDescent="0.25">
      <c r="A7171" t="s">
        <v>6999</v>
      </c>
      <c r="B7171" t="s">
        <v>4074</v>
      </c>
      <c r="C7171" t="s">
        <v>4075</v>
      </c>
      <c r="D7171" t="str">
        <f>HYPERLINK("http://service.sap.com/sap/support/notes/1497361","1497361")</f>
        <v>1497361</v>
      </c>
      <c r="E7171">
        <v>1</v>
      </c>
      <c r="F7171" t="s">
        <v>6915</v>
      </c>
    </row>
    <row r="7172" spans="1:6" x14ac:dyDescent="0.25">
      <c r="A7172" t="s">
        <v>6999</v>
      </c>
      <c r="B7172" t="s">
        <v>4074</v>
      </c>
      <c r="C7172" t="s">
        <v>4075</v>
      </c>
      <c r="D7172" t="str">
        <f>HYPERLINK("http://service.sap.com/sap/support/notes/1525391","1525391")</f>
        <v>1525391</v>
      </c>
      <c r="E7172">
        <v>1</v>
      </c>
      <c r="F7172" t="s">
        <v>6916</v>
      </c>
    </row>
    <row r="7173" spans="1:6" x14ac:dyDescent="0.25">
      <c r="A7173" t="s">
        <v>6999</v>
      </c>
      <c r="B7173" t="s">
        <v>4074</v>
      </c>
      <c r="C7173" t="s">
        <v>4075</v>
      </c>
      <c r="D7173" t="str">
        <f>HYPERLINK("http://service.sap.com/sap/support/notes/1526977","1526977")</f>
        <v>1526977</v>
      </c>
      <c r="E7173">
        <v>5</v>
      </c>
      <c r="F7173" t="s">
        <v>6742</v>
      </c>
    </row>
    <row r="7174" spans="1:6" x14ac:dyDescent="0.25">
      <c r="A7174" t="s">
        <v>6999</v>
      </c>
      <c r="B7174" t="s">
        <v>4074</v>
      </c>
      <c r="C7174" t="s">
        <v>4075</v>
      </c>
      <c r="D7174" t="str">
        <f>HYPERLINK("http://service.sap.com/sap/support/notes/1526988","1526988")</f>
        <v>1526988</v>
      </c>
      <c r="E7174">
        <v>1</v>
      </c>
      <c r="F7174" t="s">
        <v>6917</v>
      </c>
    </row>
    <row r="7175" spans="1:6" x14ac:dyDescent="0.25">
      <c r="A7175" t="s">
        <v>6999</v>
      </c>
      <c r="B7175" t="s">
        <v>4074</v>
      </c>
      <c r="C7175" t="s">
        <v>4075</v>
      </c>
      <c r="D7175" t="str">
        <f>HYPERLINK("http://service.sap.com/sap/support/notes/1532648","1532648")</f>
        <v>1532648</v>
      </c>
      <c r="E7175">
        <v>1</v>
      </c>
      <c r="F7175" t="s">
        <v>6918</v>
      </c>
    </row>
    <row r="7176" spans="1:6" x14ac:dyDescent="0.25">
      <c r="A7176" t="s">
        <v>6999</v>
      </c>
      <c r="B7176" t="s">
        <v>4074</v>
      </c>
      <c r="C7176" t="s">
        <v>4075</v>
      </c>
      <c r="D7176" t="str">
        <f>HYPERLINK("http://service.sap.com/sap/support/notes/1535207","1535207")</f>
        <v>1535207</v>
      </c>
      <c r="E7176">
        <v>1</v>
      </c>
      <c r="F7176" t="s">
        <v>6919</v>
      </c>
    </row>
    <row r="7177" spans="1:6" x14ac:dyDescent="0.25">
      <c r="A7177" t="s">
        <v>6999</v>
      </c>
      <c r="B7177" t="s">
        <v>4074</v>
      </c>
      <c r="C7177" t="s">
        <v>4075</v>
      </c>
      <c r="D7177" t="str">
        <f>HYPERLINK("http://service.sap.com/sap/support/notes/1537090","1537090")</f>
        <v>1537090</v>
      </c>
      <c r="E7177">
        <v>2</v>
      </c>
      <c r="F7177" t="s">
        <v>6920</v>
      </c>
    </row>
    <row r="7178" spans="1:6" x14ac:dyDescent="0.25">
      <c r="A7178" t="s">
        <v>6999</v>
      </c>
      <c r="B7178" t="s">
        <v>4074</v>
      </c>
      <c r="C7178" t="s">
        <v>4075</v>
      </c>
      <c r="D7178" t="str">
        <f>HYPERLINK("http://service.sap.com/sap/support/notes/1539465","1539465")</f>
        <v>1539465</v>
      </c>
      <c r="E7178">
        <v>1</v>
      </c>
      <c r="F7178" t="s">
        <v>6921</v>
      </c>
    </row>
    <row r="7179" spans="1:6" x14ac:dyDescent="0.25">
      <c r="A7179" t="s">
        <v>6999</v>
      </c>
      <c r="B7179" t="s">
        <v>5589</v>
      </c>
      <c r="C7179" t="s">
        <v>5590</v>
      </c>
      <c r="D7179" t="str">
        <f>HYPERLINK("http://service.sap.com/sap/support/notes/1535449","1535449")</f>
        <v>1535449</v>
      </c>
      <c r="E7179">
        <v>1</v>
      </c>
      <c r="F7179" t="s">
        <v>6922</v>
      </c>
    </row>
    <row r="7180" spans="1:6" x14ac:dyDescent="0.25">
      <c r="A7180" t="s">
        <v>6999</v>
      </c>
      <c r="B7180" t="s">
        <v>4081</v>
      </c>
      <c r="C7180" t="s">
        <v>4082</v>
      </c>
      <c r="D7180" t="str">
        <f>HYPERLINK("http://service.sap.com/sap/support/notes/1532396","1532396")</f>
        <v>1532396</v>
      </c>
      <c r="E7180">
        <v>1</v>
      </c>
      <c r="F7180" t="s">
        <v>6923</v>
      </c>
    </row>
    <row r="7181" spans="1:6" x14ac:dyDescent="0.25">
      <c r="A7181" t="s">
        <v>6999</v>
      </c>
      <c r="B7181" t="s">
        <v>4081</v>
      </c>
      <c r="C7181" t="s">
        <v>4082</v>
      </c>
      <c r="D7181" t="str">
        <f>HYPERLINK("http://service.sap.com/sap/support/notes/1533227","1533227")</f>
        <v>1533227</v>
      </c>
      <c r="E7181">
        <v>1</v>
      </c>
      <c r="F7181" t="s">
        <v>6924</v>
      </c>
    </row>
    <row r="7182" spans="1:6" x14ac:dyDescent="0.25">
      <c r="A7182" t="s">
        <v>6999</v>
      </c>
      <c r="B7182" t="s">
        <v>4081</v>
      </c>
      <c r="C7182" t="s">
        <v>4082</v>
      </c>
      <c r="D7182" t="str">
        <f>HYPERLINK("http://service.sap.com/sap/support/notes/1533278","1533278")</f>
        <v>1533278</v>
      </c>
      <c r="E7182">
        <v>1</v>
      </c>
      <c r="F7182" t="s">
        <v>6925</v>
      </c>
    </row>
    <row r="7183" spans="1:6" x14ac:dyDescent="0.25">
      <c r="A7183" t="s">
        <v>6999</v>
      </c>
      <c r="B7183" t="s">
        <v>4081</v>
      </c>
      <c r="C7183" t="s">
        <v>4082</v>
      </c>
      <c r="D7183" t="str">
        <f>HYPERLINK("http://service.sap.com/sap/support/notes/1533968","1533968")</f>
        <v>1533968</v>
      </c>
      <c r="E7183">
        <v>1</v>
      </c>
      <c r="F7183" t="s">
        <v>6926</v>
      </c>
    </row>
    <row r="7184" spans="1:6" x14ac:dyDescent="0.25">
      <c r="A7184" t="s">
        <v>6999</v>
      </c>
      <c r="B7184" t="s">
        <v>4081</v>
      </c>
      <c r="C7184" t="s">
        <v>4082</v>
      </c>
      <c r="D7184" t="str">
        <f>HYPERLINK("http://service.sap.com/sap/support/notes/1535687","1535687")</f>
        <v>1535687</v>
      </c>
      <c r="E7184">
        <v>1</v>
      </c>
      <c r="F7184" t="s">
        <v>6927</v>
      </c>
    </row>
    <row r="7185" spans="1:6" x14ac:dyDescent="0.25">
      <c r="A7185" t="s">
        <v>6999</v>
      </c>
      <c r="B7185" t="s">
        <v>4081</v>
      </c>
      <c r="C7185" t="s">
        <v>4082</v>
      </c>
      <c r="D7185" t="str">
        <f>HYPERLINK("http://service.sap.com/sap/support/notes/1539922","1539922")</f>
        <v>1539922</v>
      </c>
      <c r="E7185">
        <v>1</v>
      </c>
      <c r="F7185" t="s">
        <v>6928</v>
      </c>
    </row>
    <row r="7186" spans="1:6" x14ac:dyDescent="0.25">
      <c r="A7186" t="s">
        <v>6999</v>
      </c>
      <c r="B7186" t="s">
        <v>4081</v>
      </c>
      <c r="C7186" t="s">
        <v>4082</v>
      </c>
      <c r="D7186" t="str">
        <f>HYPERLINK("http://service.sap.com/sap/support/notes/1541983","1541983")</f>
        <v>1541983</v>
      </c>
      <c r="E7186">
        <v>1</v>
      </c>
      <c r="F7186" t="s">
        <v>6929</v>
      </c>
    </row>
    <row r="7187" spans="1:6" x14ac:dyDescent="0.25">
      <c r="A7187" t="s">
        <v>6999</v>
      </c>
      <c r="B7187" t="s">
        <v>4081</v>
      </c>
      <c r="C7187" t="s">
        <v>4082</v>
      </c>
      <c r="D7187" t="str">
        <f>HYPERLINK("http://service.sap.com/sap/support/notes/1543272","1543272")</f>
        <v>1543272</v>
      </c>
      <c r="E7187">
        <v>1</v>
      </c>
      <c r="F7187" t="s">
        <v>6930</v>
      </c>
    </row>
    <row r="7188" spans="1:6" x14ac:dyDescent="0.25">
      <c r="A7188" t="s">
        <v>6999</v>
      </c>
      <c r="B7188" t="s">
        <v>5601</v>
      </c>
      <c r="C7188" t="s">
        <v>5602</v>
      </c>
      <c r="D7188" t="str">
        <f>HYPERLINK("http://service.sap.com/sap/support/notes/1534995","1534995")</f>
        <v>1534995</v>
      </c>
      <c r="E7188">
        <v>3</v>
      </c>
      <c r="F7188" t="s">
        <v>6931</v>
      </c>
    </row>
    <row r="7189" spans="1:6" x14ac:dyDescent="0.25">
      <c r="A7189" t="s">
        <v>6999</v>
      </c>
      <c r="B7189" t="s">
        <v>6932</v>
      </c>
      <c r="C7189" t="s">
        <v>6933</v>
      </c>
    </row>
    <row r="7190" spans="1:6" x14ac:dyDescent="0.25">
      <c r="A7190" t="s">
        <v>6999</v>
      </c>
      <c r="B7190" t="s">
        <v>6934</v>
      </c>
      <c r="C7190" t="s">
        <v>6935</v>
      </c>
    </row>
    <row r="7191" spans="1:6" x14ac:dyDescent="0.25">
      <c r="A7191" t="s">
        <v>6999</v>
      </c>
      <c r="B7191" t="s">
        <v>6936</v>
      </c>
      <c r="C7191" t="s">
        <v>6937</v>
      </c>
      <c r="D7191" t="str">
        <f>HYPERLINK("http://service.sap.com/sap/support/notes/1542328","1542328")</f>
        <v>1542328</v>
      </c>
      <c r="E7191">
        <v>1</v>
      </c>
      <c r="F7191" t="s">
        <v>6938</v>
      </c>
    </row>
    <row r="7192" spans="1:6" x14ac:dyDescent="0.25">
      <c r="A7192" t="s">
        <v>6999</v>
      </c>
      <c r="B7192" t="s">
        <v>27</v>
      </c>
      <c r="C7192" t="s">
        <v>13</v>
      </c>
    </row>
    <row r="7193" spans="1:6" x14ac:dyDescent="0.25">
      <c r="A7193" t="s">
        <v>6999</v>
      </c>
      <c r="B7193" t="s">
        <v>4091</v>
      </c>
      <c r="C7193" t="s">
        <v>4092</v>
      </c>
      <c r="D7193" t="str">
        <f>HYPERLINK("http://service.sap.com/sap/support/notes/1534369","1534369")</f>
        <v>1534369</v>
      </c>
      <c r="E7193">
        <v>1</v>
      </c>
      <c r="F7193" t="s">
        <v>6939</v>
      </c>
    </row>
    <row r="7194" spans="1:6" x14ac:dyDescent="0.25">
      <c r="A7194" t="s">
        <v>6999</v>
      </c>
      <c r="B7194" t="s">
        <v>4091</v>
      </c>
      <c r="C7194" t="s">
        <v>4092</v>
      </c>
      <c r="D7194" t="str">
        <f>HYPERLINK("http://service.sap.com/sap/support/notes/1534371","1534371")</f>
        <v>1534371</v>
      </c>
      <c r="E7194">
        <v>2</v>
      </c>
      <c r="F7194" t="s">
        <v>6940</v>
      </c>
    </row>
    <row r="7195" spans="1:6" x14ac:dyDescent="0.25">
      <c r="A7195" t="s">
        <v>6999</v>
      </c>
      <c r="B7195" t="s">
        <v>4091</v>
      </c>
      <c r="C7195" t="s">
        <v>4092</v>
      </c>
      <c r="D7195" t="str">
        <f>HYPERLINK("http://service.sap.com/sap/support/notes/1541478","1541478")</f>
        <v>1541478</v>
      </c>
      <c r="E7195">
        <v>2</v>
      </c>
      <c r="F7195" t="s">
        <v>6941</v>
      </c>
    </row>
    <row r="7196" spans="1:6" x14ac:dyDescent="0.25">
      <c r="A7196" t="s">
        <v>6999</v>
      </c>
      <c r="B7196" t="s">
        <v>2161</v>
      </c>
      <c r="C7196" t="s">
        <v>2162</v>
      </c>
      <c r="D7196" t="str">
        <f>HYPERLINK("http://service.sap.com/sap/support/notes/1532640","1532640")</f>
        <v>1532640</v>
      </c>
      <c r="E7196">
        <v>1</v>
      </c>
      <c r="F7196" t="s">
        <v>6942</v>
      </c>
    </row>
    <row r="7197" spans="1:6" x14ac:dyDescent="0.25">
      <c r="A7197" t="s">
        <v>6999</v>
      </c>
      <c r="B7197" t="s">
        <v>2161</v>
      </c>
      <c r="C7197" t="s">
        <v>2162</v>
      </c>
      <c r="D7197" t="str">
        <f>HYPERLINK("http://service.sap.com/sap/support/notes/1532728","1532728")</f>
        <v>1532728</v>
      </c>
      <c r="E7197">
        <v>1</v>
      </c>
      <c r="F7197" t="s">
        <v>6943</v>
      </c>
    </row>
    <row r="7198" spans="1:6" x14ac:dyDescent="0.25">
      <c r="A7198" t="s">
        <v>6999</v>
      </c>
      <c r="B7198" t="s">
        <v>2161</v>
      </c>
      <c r="C7198" t="s">
        <v>2162</v>
      </c>
      <c r="D7198" t="str">
        <f>HYPERLINK("http://service.sap.com/sap/support/notes/1533250","1533250")</f>
        <v>1533250</v>
      </c>
      <c r="E7198">
        <v>2</v>
      </c>
      <c r="F7198" t="s">
        <v>6944</v>
      </c>
    </row>
    <row r="7199" spans="1:6" x14ac:dyDescent="0.25">
      <c r="A7199" t="s">
        <v>6999</v>
      </c>
      <c r="B7199" t="s">
        <v>2161</v>
      </c>
      <c r="C7199" t="s">
        <v>2162</v>
      </c>
      <c r="D7199" t="str">
        <f>HYPERLINK("http://service.sap.com/sap/support/notes/1535487","1535487")</f>
        <v>1535487</v>
      </c>
      <c r="E7199">
        <v>2</v>
      </c>
      <c r="F7199" t="s">
        <v>6945</v>
      </c>
    </row>
    <row r="7200" spans="1:6" x14ac:dyDescent="0.25">
      <c r="A7200" t="s">
        <v>6999</v>
      </c>
      <c r="B7200" t="s">
        <v>2161</v>
      </c>
      <c r="C7200" t="s">
        <v>2162</v>
      </c>
      <c r="D7200" t="str">
        <f>HYPERLINK("http://service.sap.com/sap/support/notes/1536115","1536115")</f>
        <v>1536115</v>
      </c>
      <c r="E7200">
        <v>1</v>
      </c>
      <c r="F7200" t="s">
        <v>6946</v>
      </c>
    </row>
    <row r="7201" spans="1:6" x14ac:dyDescent="0.25">
      <c r="A7201" t="s">
        <v>6999</v>
      </c>
      <c r="B7201" t="s">
        <v>2161</v>
      </c>
      <c r="C7201" t="s">
        <v>2162</v>
      </c>
      <c r="D7201" t="str">
        <f>HYPERLINK("http://service.sap.com/sap/support/notes/1536624","1536624")</f>
        <v>1536624</v>
      </c>
      <c r="E7201">
        <v>1</v>
      </c>
      <c r="F7201" t="s">
        <v>6947</v>
      </c>
    </row>
    <row r="7202" spans="1:6" x14ac:dyDescent="0.25">
      <c r="A7202" t="s">
        <v>6999</v>
      </c>
      <c r="B7202" t="s">
        <v>2161</v>
      </c>
      <c r="C7202" t="s">
        <v>2162</v>
      </c>
      <c r="D7202" t="str">
        <f>HYPERLINK("http://service.sap.com/sap/support/notes/1538820","1538820")</f>
        <v>1538820</v>
      </c>
      <c r="E7202">
        <v>1</v>
      </c>
      <c r="F7202" t="s">
        <v>6948</v>
      </c>
    </row>
    <row r="7203" spans="1:6" x14ac:dyDescent="0.25">
      <c r="A7203" t="s">
        <v>6999</v>
      </c>
      <c r="B7203" t="s">
        <v>2161</v>
      </c>
      <c r="C7203" t="s">
        <v>2162</v>
      </c>
      <c r="D7203" t="str">
        <f>HYPERLINK("http://service.sap.com/sap/support/notes/1539756","1539756")</f>
        <v>1539756</v>
      </c>
      <c r="E7203">
        <v>2</v>
      </c>
      <c r="F7203" t="s">
        <v>6949</v>
      </c>
    </row>
    <row r="7204" spans="1:6" x14ac:dyDescent="0.25">
      <c r="A7204" t="s">
        <v>6999</v>
      </c>
      <c r="B7204" t="s">
        <v>4105</v>
      </c>
      <c r="C7204" t="s">
        <v>4106</v>
      </c>
      <c r="D7204" t="str">
        <f>HYPERLINK("http://service.sap.com/sap/support/notes/1518144","1518144")</f>
        <v>1518144</v>
      </c>
      <c r="E7204">
        <v>1</v>
      </c>
      <c r="F7204" t="s">
        <v>6950</v>
      </c>
    </row>
    <row r="7205" spans="1:6" x14ac:dyDescent="0.25">
      <c r="A7205" t="s">
        <v>6999</v>
      </c>
      <c r="B7205" t="s">
        <v>4105</v>
      </c>
      <c r="C7205" t="s">
        <v>4106</v>
      </c>
      <c r="D7205" t="str">
        <f>HYPERLINK("http://service.sap.com/sap/support/notes/1539223","1539223")</f>
        <v>1539223</v>
      </c>
      <c r="E7205">
        <v>1</v>
      </c>
      <c r="F7205" t="s">
        <v>6951</v>
      </c>
    </row>
    <row r="7206" spans="1:6" x14ac:dyDescent="0.25">
      <c r="A7206" t="s">
        <v>6999</v>
      </c>
      <c r="B7206" t="s">
        <v>4105</v>
      </c>
      <c r="C7206" t="s">
        <v>4106</v>
      </c>
      <c r="D7206" t="str">
        <f>HYPERLINK("http://service.sap.com/sap/support/notes/1539362","1539362")</f>
        <v>1539362</v>
      </c>
      <c r="E7206">
        <v>1</v>
      </c>
      <c r="F7206" t="s">
        <v>6952</v>
      </c>
    </row>
    <row r="7207" spans="1:6" x14ac:dyDescent="0.25">
      <c r="A7207" t="s">
        <v>6999</v>
      </c>
      <c r="B7207" t="s">
        <v>4112</v>
      </c>
      <c r="C7207" t="s">
        <v>4113</v>
      </c>
      <c r="D7207" t="str">
        <f>HYPERLINK("http://service.sap.com/sap/support/notes/1535997","1535997")</f>
        <v>1535997</v>
      </c>
      <c r="E7207">
        <v>1</v>
      </c>
      <c r="F7207" t="s">
        <v>6953</v>
      </c>
    </row>
    <row r="7208" spans="1:6" x14ac:dyDescent="0.25">
      <c r="A7208" t="s">
        <v>6999</v>
      </c>
      <c r="B7208" t="s">
        <v>4112</v>
      </c>
      <c r="C7208" t="s">
        <v>4113</v>
      </c>
      <c r="D7208" t="str">
        <f>HYPERLINK("http://service.sap.com/sap/support/notes/1544483","1544483")</f>
        <v>1544483</v>
      </c>
      <c r="E7208">
        <v>1</v>
      </c>
      <c r="F7208" t="s">
        <v>6954</v>
      </c>
    </row>
    <row r="7209" spans="1:6" x14ac:dyDescent="0.25">
      <c r="A7209" t="s">
        <v>6999</v>
      </c>
      <c r="B7209" t="s">
        <v>5648</v>
      </c>
      <c r="C7209" t="s">
        <v>5649</v>
      </c>
    </row>
    <row r="7210" spans="1:6" x14ac:dyDescent="0.25">
      <c r="A7210" t="s">
        <v>6999</v>
      </c>
      <c r="B7210" t="s">
        <v>5650</v>
      </c>
      <c r="C7210" t="s">
        <v>5651</v>
      </c>
      <c r="D7210" t="str">
        <f>HYPERLINK("http://service.sap.com/sap/support/notes/1536916","1536916")</f>
        <v>1536916</v>
      </c>
      <c r="E7210">
        <v>2</v>
      </c>
      <c r="F7210" t="s">
        <v>6955</v>
      </c>
    </row>
    <row r="7211" spans="1:6" x14ac:dyDescent="0.25">
      <c r="A7211" t="s">
        <v>6999</v>
      </c>
      <c r="B7211" t="s">
        <v>5652</v>
      </c>
      <c r="C7211" t="s">
        <v>5653</v>
      </c>
      <c r="D7211" t="str">
        <f>HYPERLINK("http://service.sap.com/sap/support/notes/1527331","1527331")</f>
        <v>1527331</v>
      </c>
      <c r="E7211">
        <v>1</v>
      </c>
      <c r="F7211" t="s">
        <v>6956</v>
      </c>
    </row>
    <row r="7212" spans="1:6" x14ac:dyDescent="0.25">
      <c r="A7212" t="s">
        <v>6999</v>
      </c>
      <c r="B7212" t="s">
        <v>38</v>
      </c>
      <c r="C7212" t="s">
        <v>39</v>
      </c>
    </row>
    <row r="7213" spans="1:6" x14ac:dyDescent="0.25">
      <c r="A7213" t="s">
        <v>6999</v>
      </c>
      <c r="B7213" t="s">
        <v>6957</v>
      </c>
      <c r="C7213" t="s">
        <v>305</v>
      </c>
      <c r="D7213" t="str">
        <f>HYPERLINK("http://service.sap.com/sap/support/notes/1514554","1514554")</f>
        <v>1514554</v>
      </c>
      <c r="E7213">
        <v>2</v>
      </c>
      <c r="F7213" t="s">
        <v>6958</v>
      </c>
    </row>
    <row r="7214" spans="1:6" x14ac:dyDescent="0.25">
      <c r="A7214" t="s">
        <v>6999</v>
      </c>
      <c r="B7214" t="s">
        <v>57</v>
      </c>
      <c r="C7214" t="s">
        <v>58</v>
      </c>
    </row>
    <row r="7215" spans="1:6" x14ac:dyDescent="0.25">
      <c r="A7215" t="s">
        <v>6999</v>
      </c>
      <c r="B7215" t="s">
        <v>59</v>
      </c>
      <c r="C7215" t="s">
        <v>60</v>
      </c>
      <c r="D7215" t="str">
        <f>HYPERLINK("http://service.sap.com/sap/support/notes/1523266","1523266")</f>
        <v>1523266</v>
      </c>
      <c r="E7215">
        <v>4</v>
      </c>
      <c r="F7215" t="s">
        <v>6791</v>
      </c>
    </row>
    <row r="7216" spans="1:6" x14ac:dyDescent="0.25">
      <c r="A7216" t="s">
        <v>6999</v>
      </c>
      <c r="B7216" t="s">
        <v>59</v>
      </c>
      <c r="C7216" t="s">
        <v>60</v>
      </c>
      <c r="D7216" t="str">
        <f>HYPERLINK("http://service.sap.com/sap/support/notes/1530010","1530010")</f>
        <v>1530010</v>
      </c>
      <c r="E7216">
        <v>2</v>
      </c>
      <c r="F7216" t="s">
        <v>1749</v>
      </c>
    </row>
    <row r="7217" spans="1:6" x14ac:dyDescent="0.25">
      <c r="A7217" t="s">
        <v>6999</v>
      </c>
      <c r="B7217" t="s">
        <v>59</v>
      </c>
      <c r="C7217" t="s">
        <v>60</v>
      </c>
      <c r="D7217" t="str">
        <f>HYPERLINK("http://service.sap.com/sap/support/notes/1540043","1540043")</f>
        <v>1540043</v>
      </c>
      <c r="E7217">
        <v>4</v>
      </c>
      <c r="F7217" t="s">
        <v>1449</v>
      </c>
    </row>
    <row r="7218" spans="1:6" x14ac:dyDescent="0.25">
      <c r="A7218" t="s">
        <v>6999</v>
      </c>
      <c r="B7218" t="s">
        <v>59</v>
      </c>
      <c r="C7218" t="s">
        <v>60</v>
      </c>
      <c r="D7218" t="str">
        <f>HYPERLINK("http://service.sap.com/sap/support/notes/1542704","1542704")</f>
        <v>1542704</v>
      </c>
      <c r="E7218">
        <v>1</v>
      </c>
      <c r="F7218" t="s">
        <v>1756</v>
      </c>
    </row>
    <row r="7219" spans="1:6" x14ac:dyDescent="0.25">
      <c r="A7219" t="s">
        <v>6999</v>
      </c>
      <c r="B7219" t="s">
        <v>59</v>
      </c>
      <c r="C7219" t="s">
        <v>60</v>
      </c>
      <c r="D7219" t="str">
        <f>HYPERLINK("http://service.sap.com/sap/support/notes/1543202","1543202")</f>
        <v>1543202</v>
      </c>
      <c r="E7219">
        <v>1</v>
      </c>
      <c r="F7219" t="s">
        <v>1757</v>
      </c>
    </row>
    <row r="7220" spans="1:6" x14ac:dyDescent="0.25">
      <c r="A7220" t="s">
        <v>6999</v>
      </c>
      <c r="B7220" t="s">
        <v>73</v>
      </c>
      <c r="C7220" t="s">
        <v>74</v>
      </c>
      <c r="D7220" t="str">
        <f>HYPERLINK("http://service.sap.com/sap/support/notes/1502234","1502234")</f>
        <v>1502234</v>
      </c>
      <c r="E7220">
        <v>1</v>
      </c>
      <c r="F7220" t="s">
        <v>75</v>
      </c>
    </row>
    <row r="7221" spans="1:6" x14ac:dyDescent="0.25">
      <c r="A7221" t="s">
        <v>6999</v>
      </c>
      <c r="B7221" t="s">
        <v>73</v>
      </c>
      <c r="C7221" t="s">
        <v>74</v>
      </c>
      <c r="D7221" t="str">
        <f>HYPERLINK("http://service.sap.com/sap/support/notes/1514168","1514168")</f>
        <v>1514168</v>
      </c>
      <c r="E7221">
        <v>3</v>
      </c>
      <c r="F7221" t="s">
        <v>1759</v>
      </c>
    </row>
    <row r="7222" spans="1:6" x14ac:dyDescent="0.25">
      <c r="A7222" t="s">
        <v>6999</v>
      </c>
      <c r="B7222" t="s">
        <v>73</v>
      </c>
      <c r="C7222" t="s">
        <v>74</v>
      </c>
      <c r="D7222" t="str">
        <f>HYPERLINK("http://service.sap.com/sap/support/notes/1528793","1528793")</f>
        <v>1528793</v>
      </c>
      <c r="E7222">
        <v>2</v>
      </c>
      <c r="F7222" t="s">
        <v>6959</v>
      </c>
    </row>
    <row r="7223" spans="1:6" x14ac:dyDescent="0.25">
      <c r="A7223" t="s">
        <v>6999</v>
      </c>
      <c r="B7223" t="s">
        <v>79</v>
      </c>
      <c r="C7223" t="s">
        <v>80</v>
      </c>
      <c r="D7223" t="str">
        <f>HYPERLINK("http://service.sap.com/sap/support/notes/1523521","1523521")</f>
        <v>1523521</v>
      </c>
      <c r="E7223">
        <v>1</v>
      </c>
      <c r="F7223" t="s">
        <v>6960</v>
      </c>
    </row>
    <row r="7224" spans="1:6" x14ac:dyDescent="0.25">
      <c r="A7224" t="s">
        <v>6999</v>
      </c>
      <c r="B7224" t="s">
        <v>86</v>
      </c>
      <c r="C7224" t="s">
        <v>87</v>
      </c>
      <c r="D7224" t="str">
        <f>HYPERLINK("http://service.sap.com/sap/support/notes/1462270","1462270")</f>
        <v>1462270</v>
      </c>
      <c r="E7224">
        <v>1</v>
      </c>
      <c r="F7224" t="s">
        <v>6865</v>
      </c>
    </row>
    <row r="7225" spans="1:6" x14ac:dyDescent="0.25">
      <c r="A7225" t="s">
        <v>6999</v>
      </c>
      <c r="B7225" t="s">
        <v>86</v>
      </c>
      <c r="C7225" t="s">
        <v>87</v>
      </c>
      <c r="D7225" t="str">
        <f>HYPERLINK("http://service.sap.com/sap/support/notes/1526252","1526252")</f>
        <v>1526252</v>
      </c>
      <c r="E7225">
        <v>2</v>
      </c>
      <c r="F7225" t="s">
        <v>6961</v>
      </c>
    </row>
    <row r="7226" spans="1:6" x14ac:dyDescent="0.25">
      <c r="A7226" t="s">
        <v>6999</v>
      </c>
      <c r="B7226" t="s">
        <v>89</v>
      </c>
      <c r="C7226" t="s">
        <v>90</v>
      </c>
      <c r="D7226" t="str">
        <f>HYPERLINK("http://service.sap.com/sap/support/notes/1507786","1507786")</f>
        <v>1507786</v>
      </c>
      <c r="E7226">
        <v>1</v>
      </c>
      <c r="F7226" t="s">
        <v>6490</v>
      </c>
    </row>
    <row r="7227" spans="1:6" x14ac:dyDescent="0.25">
      <c r="A7227" t="s">
        <v>6999</v>
      </c>
      <c r="B7227" t="s">
        <v>92</v>
      </c>
      <c r="C7227" t="s">
        <v>93</v>
      </c>
      <c r="D7227" t="str">
        <f>HYPERLINK("http://service.sap.com/sap/support/notes/960754","960754")</f>
        <v>960754</v>
      </c>
      <c r="E7227">
        <v>8</v>
      </c>
      <c r="F7227" t="s">
        <v>1463</v>
      </c>
    </row>
    <row r="7228" spans="1:6" x14ac:dyDescent="0.25">
      <c r="A7228" t="s">
        <v>6999</v>
      </c>
      <c r="B7228" t="s">
        <v>92</v>
      </c>
      <c r="C7228" t="s">
        <v>93</v>
      </c>
      <c r="D7228" t="str">
        <f>HYPERLINK("http://service.sap.com/sap/support/notes/1523246","1523246")</f>
        <v>1523246</v>
      </c>
      <c r="E7228">
        <v>6</v>
      </c>
      <c r="F7228" t="s">
        <v>1767</v>
      </c>
    </row>
    <row r="7229" spans="1:6" x14ac:dyDescent="0.25">
      <c r="A7229" t="s">
        <v>6999</v>
      </c>
      <c r="B7229" t="s">
        <v>92</v>
      </c>
      <c r="C7229" t="s">
        <v>93</v>
      </c>
      <c r="D7229" t="str">
        <f>HYPERLINK("http://service.sap.com/sap/support/notes/1538071","1538071")</f>
        <v>1538071</v>
      </c>
      <c r="E7229">
        <v>2</v>
      </c>
      <c r="F7229" t="s">
        <v>6962</v>
      </c>
    </row>
    <row r="7230" spans="1:6" x14ac:dyDescent="0.25">
      <c r="A7230" t="s">
        <v>6999</v>
      </c>
      <c r="B7230" t="s">
        <v>92</v>
      </c>
      <c r="C7230" t="s">
        <v>93</v>
      </c>
      <c r="D7230" t="str">
        <f>HYPERLINK("http://service.sap.com/sap/support/notes/1543490","1543490")</f>
        <v>1543490</v>
      </c>
      <c r="E7230">
        <v>2</v>
      </c>
      <c r="F7230" t="s">
        <v>6963</v>
      </c>
    </row>
    <row r="7231" spans="1:6" x14ac:dyDescent="0.25">
      <c r="A7231" t="s">
        <v>6999</v>
      </c>
      <c r="B7231" t="s">
        <v>103</v>
      </c>
      <c r="C7231" t="s">
        <v>104</v>
      </c>
      <c r="D7231" t="str">
        <f>HYPERLINK("http://service.sap.com/sap/support/notes/1542613","1542613")</f>
        <v>1542613</v>
      </c>
      <c r="E7231">
        <v>1</v>
      </c>
      <c r="F7231" t="s">
        <v>6964</v>
      </c>
    </row>
    <row r="7232" spans="1:6" x14ac:dyDescent="0.25">
      <c r="A7232" t="s">
        <v>6999</v>
      </c>
      <c r="B7232" t="s">
        <v>717</v>
      </c>
      <c r="C7232" t="s">
        <v>496</v>
      </c>
      <c r="D7232" t="str">
        <f>HYPERLINK("http://service.sap.com/sap/support/notes/1540119","1540119")</f>
        <v>1540119</v>
      </c>
      <c r="E7232">
        <v>1</v>
      </c>
      <c r="F7232" t="s">
        <v>6965</v>
      </c>
    </row>
    <row r="7233" spans="1:6" x14ac:dyDescent="0.25">
      <c r="A7233" t="s">
        <v>6999</v>
      </c>
      <c r="B7233" t="s">
        <v>790</v>
      </c>
      <c r="C7233" t="s">
        <v>4125</v>
      </c>
    </row>
    <row r="7234" spans="1:6" x14ac:dyDescent="0.25">
      <c r="A7234" t="s">
        <v>6999</v>
      </c>
      <c r="B7234" t="s">
        <v>791</v>
      </c>
      <c r="C7234" t="s">
        <v>4126</v>
      </c>
      <c r="D7234" t="str">
        <f>HYPERLINK("http://service.sap.com/sap/support/notes/1361883","1361883")</f>
        <v>1361883</v>
      </c>
      <c r="E7234">
        <v>1</v>
      </c>
      <c r="F7234" t="s">
        <v>6966</v>
      </c>
    </row>
    <row r="7235" spans="1:6" x14ac:dyDescent="0.25">
      <c r="A7235" t="s">
        <v>6999</v>
      </c>
      <c r="B7235" t="s">
        <v>791</v>
      </c>
      <c r="C7235" t="s">
        <v>4126</v>
      </c>
      <c r="D7235" t="str">
        <f>HYPERLINK("http://service.sap.com/sap/support/notes/1497527","1497527")</f>
        <v>1497527</v>
      </c>
      <c r="E7235">
        <v>2</v>
      </c>
      <c r="F7235" t="s">
        <v>6967</v>
      </c>
    </row>
    <row r="7236" spans="1:6" x14ac:dyDescent="0.25">
      <c r="A7236" t="s">
        <v>6999</v>
      </c>
      <c r="B7236" t="s">
        <v>791</v>
      </c>
      <c r="C7236" t="s">
        <v>4126</v>
      </c>
      <c r="D7236" t="str">
        <f>HYPERLINK("http://service.sap.com/sap/support/notes/1523527","1523527")</f>
        <v>1523527</v>
      </c>
      <c r="E7236">
        <v>4</v>
      </c>
      <c r="F7236" t="s">
        <v>6968</v>
      </c>
    </row>
    <row r="7237" spans="1:6" x14ac:dyDescent="0.25">
      <c r="A7237" t="s">
        <v>6999</v>
      </c>
      <c r="B7237" t="s">
        <v>791</v>
      </c>
      <c r="C7237" t="s">
        <v>4126</v>
      </c>
      <c r="D7237" t="str">
        <f>HYPERLINK("http://service.sap.com/sap/support/notes/1536766","1536766")</f>
        <v>1536766</v>
      </c>
      <c r="E7237">
        <v>2</v>
      </c>
      <c r="F7237" t="s">
        <v>6969</v>
      </c>
    </row>
    <row r="7238" spans="1:6" x14ac:dyDescent="0.25">
      <c r="A7238" t="s">
        <v>6999</v>
      </c>
      <c r="B7238" t="s">
        <v>791</v>
      </c>
      <c r="C7238" t="s">
        <v>4126</v>
      </c>
      <c r="D7238" t="str">
        <f>HYPERLINK("http://service.sap.com/sap/support/notes/1538801","1538801")</f>
        <v>1538801</v>
      </c>
      <c r="E7238">
        <v>2</v>
      </c>
      <c r="F7238" t="s">
        <v>6970</v>
      </c>
    </row>
    <row r="7239" spans="1:6" x14ac:dyDescent="0.25">
      <c r="A7239" t="s">
        <v>6999</v>
      </c>
      <c r="B7239" t="s">
        <v>791</v>
      </c>
      <c r="C7239" t="s">
        <v>4126</v>
      </c>
      <c r="D7239" t="str">
        <f>HYPERLINK("http://service.sap.com/sap/support/notes/1538898","1538898")</f>
        <v>1538898</v>
      </c>
      <c r="E7239">
        <v>1</v>
      </c>
      <c r="F7239" t="s">
        <v>6971</v>
      </c>
    </row>
    <row r="7240" spans="1:6" x14ac:dyDescent="0.25">
      <c r="A7240" t="s">
        <v>6999</v>
      </c>
      <c r="B7240" t="s">
        <v>810</v>
      </c>
      <c r="C7240" t="s">
        <v>4131</v>
      </c>
    </row>
    <row r="7241" spans="1:6" x14ac:dyDescent="0.25">
      <c r="A7241" t="s">
        <v>6999</v>
      </c>
      <c r="B7241" t="s">
        <v>811</v>
      </c>
      <c r="C7241" t="s">
        <v>4132</v>
      </c>
      <c r="D7241" t="str">
        <f>HYPERLINK("http://service.sap.com/sap/support/notes/1406671","1406671")</f>
        <v>1406671</v>
      </c>
      <c r="E7241">
        <v>16</v>
      </c>
      <c r="F7241" t="s">
        <v>6972</v>
      </c>
    </row>
    <row r="7242" spans="1:6" x14ac:dyDescent="0.25">
      <c r="A7242" t="s">
        <v>6999</v>
      </c>
      <c r="B7242" t="s">
        <v>811</v>
      </c>
      <c r="C7242" t="s">
        <v>4132</v>
      </c>
      <c r="D7242" t="str">
        <f>HYPERLINK("http://service.sap.com/sap/support/notes/1538270","1538270")</f>
        <v>1538270</v>
      </c>
      <c r="E7242">
        <v>2</v>
      </c>
      <c r="F7242" t="s">
        <v>6973</v>
      </c>
    </row>
    <row r="7243" spans="1:6" x14ac:dyDescent="0.25">
      <c r="A7243" t="s">
        <v>6999</v>
      </c>
      <c r="B7243" t="s">
        <v>4144</v>
      </c>
      <c r="C7243" t="s">
        <v>4145</v>
      </c>
      <c r="D7243" t="str">
        <f>HYPERLINK("http://service.sap.com/sap/support/notes/1519026","1519026")</f>
        <v>1519026</v>
      </c>
      <c r="E7243">
        <v>1</v>
      </c>
      <c r="F7243" t="s">
        <v>6662</v>
      </c>
    </row>
    <row r="7244" spans="1:6" x14ac:dyDescent="0.25">
      <c r="A7244" t="s">
        <v>6999</v>
      </c>
      <c r="B7244" t="s">
        <v>4144</v>
      </c>
      <c r="C7244" t="s">
        <v>4145</v>
      </c>
      <c r="D7244" t="str">
        <f>HYPERLINK("http://service.sap.com/sap/support/notes/1532928","1532928")</f>
        <v>1532928</v>
      </c>
      <c r="E7244">
        <v>3</v>
      </c>
      <c r="F7244" t="s">
        <v>6974</v>
      </c>
    </row>
    <row r="7245" spans="1:6" x14ac:dyDescent="0.25">
      <c r="A7245" t="s">
        <v>6999</v>
      </c>
      <c r="B7245" t="s">
        <v>4144</v>
      </c>
      <c r="C7245" t="s">
        <v>4145</v>
      </c>
      <c r="D7245" t="str">
        <f>HYPERLINK("http://service.sap.com/sap/support/notes/1534201","1534201")</f>
        <v>1534201</v>
      </c>
      <c r="E7245">
        <v>4</v>
      </c>
      <c r="F7245" t="s">
        <v>6975</v>
      </c>
    </row>
    <row r="7246" spans="1:6" x14ac:dyDescent="0.25">
      <c r="A7246" t="s">
        <v>6999</v>
      </c>
      <c r="B7246" t="s">
        <v>4144</v>
      </c>
      <c r="C7246" t="s">
        <v>4145</v>
      </c>
      <c r="D7246" t="str">
        <f>HYPERLINK("http://service.sap.com/sap/support/notes/1534971","1534971")</f>
        <v>1534971</v>
      </c>
      <c r="E7246">
        <v>1</v>
      </c>
      <c r="F7246" t="s">
        <v>6976</v>
      </c>
    </row>
    <row r="7247" spans="1:6" x14ac:dyDescent="0.25">
      <c r="A7247" t="s">
        <v>6999</v>
      </c>
      <c r="B7247" t="s">
        <v>4144</v>
      </c>
      <c r="C7247" t="s">
        <v>4145</v>
      </c>
      <c r="D7247" t="str">
        <f>HYPERLINK("http://service.sap.com/sap/support/notes/1535155","1535155")</f>
        <v>1535155</v>
      </c>
      <c r="E7247">
        <v>1</v>
      </c>
      <c r="F7247" t="s">
        <v>6977</v>
      </c>
    </row>
    <row r="7248" spans="1:6" x14ac:dyDescent="0.25">
      <c r="A7248" t="s">
        <v>6999</v>
      </c>
      <c r="B7248" t="s">
        <v>4144</v>
      </c>
      <c r="C7248" t="s">
        <v>4145</v>
      </c>
      <c r="D7248" t="str">
        <f>HYPERLINK("http://service.sap.com/sap/support/notes/1535688","1535688")</f>
        <v>1535688</v>
      </c>
      <c r="E7248">
        <v>1</v>
      </c>
      <c r="F7248" t="s">
        <v>6978</v>
      </c>
    </row>
    <row r="7249" spans="1:6" x14ac:dyDescent="0.25">
      <c r="A7249" t="s">
        <v>6999</v>
      </c>
      <c r="B7249" t="s">
        <v>4144</v>
      </c>
      <c r="C7249" t="s">
        <v>4145</v>
      </c>
      <c r="D7249" t="str">
        <f>HYPERLINK("http://service.sap.com/sap/support/notes/1536656","1536656")</f>
        <v>1536656</v>
      </c>
      <c r="E7249">
        <v>1</v>
      </c>
      <c r="F7249" t="s">
        <v>6979</v>
      </c>
    </row>
    <row r="7250" spans="1:6" x14ac:dyDescent="0.25">
      <c r="A7250" t="s">
        <v>6999</v>
      </c>
      <c r="B7250" t="s">
        <v>4144</v>
      </c>
      <c r="C7250" t="s">
        <v>4145</v>
      </c>
      <c r="D7250" t="str">
        <f>HYPERLINK("http://service.sap.com/sap/support/notes/1536663","1536663")</f>
        <v>1536663</v>
      </c>
      <c r="E7250">
        <v>1</v>
      </c>
      <c r="F7250" t="s">
        <v>6980</v>
      </c>
    </row>
    <row r="7251" spans="1:6" x14ac:dyDescent="0.25">
      <c r="A7251" t="s">
        <v>6999</v>
      </c>
      <c r="B7251" t="s">
        <v>4144</v>
      </c>
      <c r="C7251" t="s">
        <v>4145</v>
      </c>
      <c r="D7251" t="str">
        <f>HYPERLINK("http://service.sap.com/sap/support/notes/1538120","1538120")</f>
        <v>1538120</v>
      </c>
      <c r="E7251">
        <v>1</v>
      </c>
      <c r="F7251" t="s">
        <v>6981</v>
      </c>
    </row>
    <row r="7252" spans="1:6" x14ac:dyDescent="0.25">
      <c r="A7252" t="s">
        <v>6999</v>
      </c>
      <c r="B7252" t="s">
        <v>4144</v>
      </c>
      <c r="C7252" t="s">
        <v>4145</v>
      </c>
      <c r="D7252" t="str">
        <f>HYPERLINK("http://service.sap.com/sap/support/notes/1539110","1539110")</f>
        <v>1539110</v>
      </c>
      <c r="E7252">
        <v>1</v>
      </c>
      <c r="F7252" t="s">
        <v>6982</v>
      </c>
    </row>
    <row r="7253" spans="1:6" x14ac:dyDescent="0.25">
      <c r="A7253" t="s">
        <v>6999</v>
      </c>
      <c r="B7253" t="s">
        <v>4144</v>
      </c>
      <c r="C7253" t="s">
        <v>4145</v>
      </c>
      <c r="D7253" t="str">
        <f>HYPERLINK("http://service.sap.com/sap/support/notes/1540869","1540869")</f>
        <v>1540869</v>
      </c>
      <c r="E7253">
        <v>1</v>
      </c>
      <c r="F7253" t="s">
        <v>6983</v>
      </c>
    </row>
    <row r="7254" spans="1:6" x14ac:dyDescent="0.25">
      <c r="A7254" t="s">
        <v>6999</v>
      </c>
      <c r="B7254" t="s">
        <v>4144</v>
      </c>
      <c r="C7254" t="s">
        <v>4145</v>
      </c>
      <c r="D7254" t="str">
        <f>HYPERLINK("http://service.sap.com/sap/support/notes/1541850","1541850")</f>
        <v>1541850</v>
      </c>
      <c r="E7254">
        <v>1</v>
      </c>
      <c r="F7254" t="s">
        <v>6984</v>
      </c>
    </row>
    <row r="7255" spans="1:6" x14ac:dyDescent="0.25">
      <c r="A7255" t="s">
        <v>6999</v>
      </c>
      <c r="B7255" t="s">
        <v>4144</v>
      </c>
      <c r="C7255" t="s">
        <v>4145</v>
      </c>
      <c r="D7255" t="str">
        <f>HYPERLINK("http://service.sap.com/sap/support/notes/1544385","1544385")</f>
        <v>1544385</v>
      </c>
      <c r="E7255">
        <v>1</v>
      </c>
      <c r="F7255" t="s">
        <v>6985</v>
      </c>
    </row>
    <row r="7256" spans="1:6" x14ac:dyDescent="0.25">
      <c r="A7256" t="s">
        <v>6999</v>
      </c>
      <c r="B7256" t="s">
        <v>126</v>
      </c>
      <c r="C7256" t="s">
        <v>127</v>
      </c>
    </row>
    <row r="7257" spans="1:6" x14ac:dyDescent="0.25">
      <c r="A7257" t="s">
        <v>6999</v>
      </c>
      <c r="B7257" t="s">
        <v>824</v>
      </c>
      <c r="C7257" t="s">
        <v>1777</v>
      </c>
    </row>
    <row r="7258" spans="1:6" x14ac:dyDescent="0.25">
      <c r="A7258" t="s">
        <v>6999</v>
      </c>
      <c r="B7258" t="s">
        <v>825</v>
      </c>
      <c r="C7258" t="s">
        <v>1778</v>
      </c>
      <c r="D7258" t="str">
        <f>HYPERLINK("http://service.sap.com/sap/support/notes/1355551","1355551")</f>
        <v>1355551</v>
      </c>
      <c r="E7258">
        <v>7</v>
      </c>
      <c r="F7258" t="s">
        <v>6986</v>
      </c>
    </row>
    <row r="7259" spans="1:6" x14ac:dyDescent="0.25">
      <c r="A7259" t="s">
        <v>6999</v>
      </c>
      <c r="B7259" t="s">
        <v>825</v>
      </c>
      <c r="C7259" t="s">
        <v>1778</v>
      </c>
      <c r="D7259" t="str">
        <f>HYPERLINK("http://service.sap.com/sap/support/notes/1527291","1527291")</f>
        <v>1527291</v>
      </c>
      <c r="E7259">
        <v>2</v>
      </c>
      <c r="F7259" t="s">
        <v>6987</v>
      </c>
    </row>
    <row r="7260" spans="1:6" x14ac:dyDescent="0.25">
      <c r="A7260" t="s">
        <v>6999</v>
      </c>
      <c r="B7260" t="s">
        <v>825</v>
      </c>
      <c r="C7260" t="s">
        <v>1778</v>
      </c>
      <c r="D7260" t="str">
        <f>HYPERLINK("http://service.sap.com/sap/support/notes/1534024","1534024")</f>
        <v>1534024</v>
      </c>
      <c r="E7260">
        <v>1</v>
      </c>
      <c r="F7260" t="s">
        <v>6988</v>
      </c>
    </row>
    <row r="7261" spans="1:6" x14ac:dyDescent="0.25">
      <c r="A7261" t="s">
        <v>6999</v>
      </c>
      <c r="B7261" t="s">
        <v>825</v>
      </c>
      <c r="C7261" t="s">
        <v>1778</v>
      </c>
      <c r="D7261" t="str">
        <f>HYPERLINK("http://service.sap.com/sap/support/notes/1536990","1536990")</f>
        <v>1536990</v>
      </c>
      <c r="E7261">
        <v>1</v>
      </c>
      <c r="F7261" t="s">
        <v>6989</v>
      </c>
    </row>
    <row r="7262" spans="1:6" x14ac:dyDescent="0.25">
      <c r="A7262" t="s">
        <v>6999</v>
      </c>
      <c r="B7262" t="s">
        <v>826</v>
      </c>
      <c r="C7262" t="s">
        <v>1773</v>
      </c>
      <c r="D7262" t="str">
        <f>HYPERLINK("http://service.sap.com/sap/support/notes/1441505","1441505")</f>
        <v>1441505</v>
      </c>
      <c r="E7262">
        <v>2</v>
      </c>
      <c r="F7262" t="s">
        <v>6990</v>
      </c>
    </row>
    <row r="7263" spans="1:6" x14ac:dyDescent="0.25">
      <c r="A7263" t="s">
        <v>6999</v>
      </c>
      <c r="B7263" t="s">
        <v>1779</v>
      </c>
      <c r="C7263" t="s">
        <v>1780</v>
      </c>
      <c r="D7263" t="str">
        <f>HYPERLINK("http://service.sap.com/sap/support/notes/1531564","1531564")</f>
        <v>1531564</v>
      </c>
      <c r="E7263">
        <v>2</v>
      </c>
      <c r="F7263" t="s">
        <v>1781</v>
      </c>
    </row>
    <row r="7264" spans="1:6" x14ac:dyDescent="0.25">
      <c r="A7264" t="s">
        <v>6999</v>
      </c>
      <c r="B7264" t="s">
        <v>831</v>
      </c>
      <c r="C7264" t="s">
        <v>2598</v>
      </c>
    </row>
    <row r="7265" spans="1:6" x14ac:dyDescent="0.25">
      <c r="A7265" t="s">
        <v>6999</v>
      </c>
      <c r="B7265" t="s">
        <v>849</v>
      </c>
      <c r="C7265" t="s">
        <v>4450</v>
      </c>
    </row>
    <row r="7266" spans="1:6" x14ac:dyDescent="0.25">
      <c r="A7266" t="s">
        <v>6999</v>
      </c>
      <c r="B7266" t="s">
        <v>867</v>
      </c>
      <c r="C7266" t="s">
        <v>4451</v>
      </c>
    </row>
    <row r="7267" spans="1:6" x14ac:dyDescent="0.25">
      <c r="A7267" t="s">
        <v>6999</v>
      </c>
      <c r="B7267" t="s">
        <v>4452</v>
      </c>
      <c r="C7267" t="s">
        <v>4048</v>
      </c>
      <c r="D7267" t="str">
        <f>HYPERLINK("http://service.sap.com/sap/support/notes/1530654","1530654")</f>
        <v>1530654</v>
      </c>
      <c r="E7267">
        <v>1</v>
      </c>
      <c r="F7267" t="s">
        <v>6991</v>
      </c>
    </row>
    <row r="7268" spans="1:6" x14ac:dyDescent="0.25">
      <c r="A7268" t="s">
        <v>6999</v>
      </c>
      <c r="B7268" t="s">
        <v>131</v>
      </c>
      <c r="C7268" t="s">
        <v>132</v>
      </c>
    </row>
    <row r="7269" spans="1:6" x14ac:dyDescent="0.25">
      <c r="A7269" t="s">
        <v>6999</v>
      </c>
      <c r="B7269" t="s">
        <v>155</v>
      </c>
      <c r="C7269" t="s">
        <v>156</v>
      </c>
      <c r="D7269" t="str">
        <f>HYPERLINK("http://service.sap.com/sap/support/notes/1496717","1496717")</f>
        <v>1496717</v>
      </c>
      <c r="E7269">
        <v>1</v>
      </c>
      <c r="F7269" t="s">
        <v>1812</v>
      </c>
    </row>
    <row r="7270" spans="1:6" x14ac:dyDescent="0.25">
      <c r="A7270" t="s">
        <v>6999</v>
      </c>
      <c r="B7270" t="s">
        <v>155</v>
      </c>
      <c r="C7270" t="s">
        <v>156</v>
      </c>
      <c r="D7270" t="str">
        <f>HYPERLINK("http://service.sap.com/sap/support/notes/1512391","1512391")</f>
        <v>1512391</v>
      </c>
      <c r="E7270">
        <v>1</v>
      </c>
      <c r="F7270" t="s">
        <v>919</v>
      </c>
    </row>
    <row r="7271" spans="1:6" x14ac:dyDescent="0.25">
      <c r="A7271" t="s">
        <v>6999</v>
      </c>
      <c r="B7271" t="s">
        <v>155</v>
      </c>
      <c r="C7271" t="s">
        <v>156</v>
      </c>
      <c r="D7271" t="str">
        <f>HYPERLINK("http://service.sap.com/sap/support/notes/1512588","1512588")</f>
        <v>1512588</v>
      </c>
      <c r="E7271">
        <v>1</v>
      </c>
      <c r="F7271" t="s">
        <v>920</v>
      </c>
    </row>
    <row r="7272" spans="1:6" x14ac:dyDescent="0.25">
      <c r="A7272" t="s">
        <v>6999</v>
      </c>
      <c r="B7272" t="s">
        <v>155</v>
      </c>
      <c r="C7272" t="s">
        <v>156</v>
      </c>
      <c r="D7272" t="str">
        <f>HYPERLINK("http://service.sap.com/sap/support/notes/1541067","1541067")</f>
        <v>1541067</v>
      </c>
      <c r="E7272">
        <v>1</v>
      </c>
      <c r="F7272" t="s">
        <v>1490</v>
      </c>
    </row>
    <row r="7273" spans="1:6" x14ac:dyDescent="0.25">
      <c r="A7273" t="s">
        <v>6999</v>
      </c>
      <c r="B7273" t="s">
        <v>168</v>
      </c>
      <c r="C7273" t="s">
        <v>169</v>
      </c>
      <c r="D7273" t="str">
        <f>HYPERLINK("http://service.sap.com/sap/support/notes/1480058","1480058")</f>
        <v>1480058</v>
      </c>
      <c r="E7273">
        <v>4</v>
      </c>
      <c r="F7273" t="s">
        <v>6992</v>
      </c>
    </row>
    <row r="7274" spans="1:6" x14ac:dyDescent="0.25">
      <c r="A7274" t="s">
        <v>6999</v>
      </c>
      <c r="B7274" t="s">
        <v>168</v>
      </c>
      <c r="C7274" t="s">
        <v>169</v>
      </c>
      <c r="D7274" t="str">
        <f>HYPERLINK("http://service.sap.com/sap/support/notes/1482492","1482492")</f>
        <v>1482492</v>
      </c>
      <c r="E7274">
        <v>3</v>
      </c>
      <c r="F7274" t="s">
        <v>6993</v>
      </c>
    </row>
    <row r="7275" spans="1:6" x14ac:dyDescent="0.25">
      <c r="A7275" t="s">
        <v>6999</v>
      </c>
      <c r="B7275" t="s">
        <v>168</v>
      </c>
      <c r="C7275" t="s">
        <v>169</v>
      </c>
      <c r="D7275" t="str">
        <f>HYPERLINK("http://service.sap.com/sap/support/notes/1532547","1532547")</f>
        <v>1532547</v>
      </c>
      <c r="E7275">
        <v>1</v>
      </c>
      <c r="F7275" t="s">
        <v>6854</v>
      </c>
    </row>
    <row r="7276" spans="1:6" x14ac:dyDescent="0.25">
      <c r="A7276" t="s">
        <v>6999</v>
      </c>
      <c r="B7276" t="s">
        <v>168</v>
      </c>
      <c r="C7276" t="s">
        <v>169</v>
      </c>
      <c r="D7276" t="str">
        <f>HYPERLINK("http://service.sap.com/sap/support/notes/1536649","1536649")</f>
        <v>1536649</v>
      </c>
      <c r="E7276">
        <v>1</v>
      </c>
      <c r="F7276" t="s">
        <v>6994</v>
      </c>
    </row>
    <row r="7277" spans="1:6" x14ac:dyDescent="0.25">
      <c r="A7277" t="s">
        <v>6999</v>
      </c>
      <c r="B7277" t="s">
        <v>396</v>
      </c>
      <c r="C7277" t="s">
        <v>397</v>
      </c>
    </row>
    <row r="7278" spans="1:6" x14ac:dyDescent="0.25">
      <c r="A7278" t="s">
        <v>6999</v>
      </c>
      <c r="B7278" t="s">
        <v>1202</v>
      </c>
      <c r="C7278" t="s">
        <v>1427</v>
      </c>
      <c r="D7278" t="str">
        <f>HYPERLINK("http://service.sap.com/sap/support/notes/1466132","1466132")</f>
        <v>1466132</v>
      </c>
      <c r="E7278">
        <v>1</v>
      </c>
      <c r="F7278" t="s">
        <v>6859</v>
      </c>
    </row>
    <row r="7279" spans="1:6" x14ac:dyDescent="0.25">
      <c r="A7279" t="s">
        <v>6999</v>
      </c>
      <c r="B7279" t="s">
        <v>460</v>
      </c>
      <c r="C7279" t="s">
        <v>461</v>
      </c>
      <c r="D7279" t="str">
        <f>HYPERLINK("http://service.sap.com/sap/support/notes/1537796","1537796")</f>
        <v>1537796</v>
      </c>
      <c r="E7279">
        <v>1</v>
      </c>
      <c r="F7279" t="s">
        <v>2115</v>
      </c>
    </row>
    <row r="7280" spans="1:6" x14ac:dyDescent="0.25">
      <c r="A7280" t="s">
        <v>6999</v>
      </c>
      <c r="B7280" t="s">
        <v>472</v>
      </c>
      <c r="C7280" t="s">
        <v>473</v>
      </c>
    </row>
    <row r="7281" spans="1:6" x14ac:dyDescent="0.25">
      <c r="A7281" t="s">
        <v>6999</v>
      </c>
      <c r="B7281" t="s">
        <v>6995</v>
      </c>
      <c r="C7281" t="s">
        <v>6083</v>
      </c>
      <c r="D7281" t="str">
        <f>HYPERLINK("http://service.sap.com/sap/support/notes/1540198","1540198")</f>
        <v>1540198</v>
      </c>
      <c r="E7281">
        <v>1</v>
      </c>
      <c r="F7281" t="s">
        <v>6996</v>
      </c>
    </row>
    <row r="7282" spans="1:6" x14ac:dyDescent="0.25">
      <c r="A7282" t="s">
        <v>6999</v>
      </c>
      <c r="B7282" t="s">
        <v>6995</v>
      </c>
      <c r="C7282" t="s">
        <v>6083</v>
      </c>
      <c r="D7282" t="str">
        <f>HYPERLINK("http://service.sap.com/sap/support/notes/1540201","1540201")</f>
        <v>1540201</v>
      </c>
      <c r="E7282">
        <v>1</v>
      </c>
      <c r="F7282" t="s">
        <v>6997</v>
      </c>
    </row>
    <row r="7283" spans="1:6" x14ac:dyDescent="0.25">
      <c r="A7283" t="s">
        <v>6999</v>
      </c>
      <c r="B7283" t="s">
        <v>499</v>
      </c>
      <c r="C7283" t="s">
        <v>108</v>
      </c>
      <c r="D7283" t="str">
        <f>HYPERLINK("http://service.sap.com/sap/support/notes/1530008","1530008")</f>
        <v>1530008</v>
      </c>
      <c r="E7283">
        <v>5</v>
      </c>
      <c r="F7283" t="s">
        <v>1438</v>
      </c>
    </row>
    <row r="7284" spans="1:6" x14ac:dyDescent="0.25">
      <c r="A7284" t="s">
        <v>6999</v>
      </c>
      <c r="B7284" t="s">
        <v>543</v>
      </c>
      <c r="C7284" t="s">
        <v>544</v>
      </c>
    </row>
    <row r="7285" spans="1:6" x14ac:dyDescent="0.25">
      <c r="A7285" t="s">
        <v>6999</v>
      </c>
      <c r="B7285" t="s">
        <v>2560</v>
      </c>
      <c r="C7285" t="s">
        <v>2561</v>
      </c>
    </row>
    <row r="7286" spans="1:6" x14ac:dyDescent="0.25">
      <c r="A7286" t="s">
        <v>6999</v>
      </c>
      <c r="B7286" t="s">
        <v>4029</v>
      </c>
      <c r="C7286" t="s">
        <v>4467</v>
      </c>
      <c r="D7286" t="str">
        <f>HYPERLINK("http://service.sap.com/sap/support/notes/1479301","1479301")</f>
        <v>1479301</v>
      </c>
      <c r="E7286">
        <v>6</v>
      </c>
      <c r="F7286" t="s">
        <v>6998</v>
      </c>
    </row>
    <row r="7287" spans="1:6" x14ac:dyDescent="0.25">
      <c r="A7287" t="s">
        <v>7075</v>
      </c>
      <c r="B7287" t="s">
        <v>573</v>
      </c>
      <c r="C7287" t="s">
        <v>4037</v>
      </c>
    </row>
    <row r="7288" spans="1:6" x14ac:dyDescent="0.25">
      <c r="A7288" t="s">
        <v>7075</v>
      </c>
      <c r="B7288" t="s">
        <v>4038</v>
      </c>
      <c r="C7288" t="s">
        <v>4039</v>
      </c>
    </row>
    <row r="7289" spans="1:6" x14ac:dyDescent="0.25">
      <c r="A7289" t="s">
        <v>7075</v>
      </c>
      <c r="B7289" t="s">
        <v>5783</v>
      </c>
      <c r="C7289" t="s">
        <v>5784</v>
      </c>
      <c r="D7289" t="str">
        <f>HYPERLINK("http://service.sap.com/sap/support/notes/1546076","1546076")</f>
        <v>1546076</v>
      </c>
      <c r="E7289">
        <v>4</v>
      </c>
      <c r="F7289" t="s">
        <v>7000</v>
      </c>
    </row>
    <row r="7290" spans="1:6" x14ac:dyDescent="0.25">
      <c r="A7290" t="s">
        <v>7075</v>
      </c>
      <c r="B7290" t="s">
        <v>585</v>
      </c>
      <c r="C7290" t="s">
        <v>1443</v>
      </c>
    </row>
    <row r="7291" spans="1:6" x14ac:dyDescent="0.25">
      <c r="A7291" t="s">
        <v>7075</v>
      </c>
      <c r="B7291" t="s">
        <v>586</v>
      </c>
      <c r="C7291" t="s">
        <v>1444</v>
      </c>
    </row>
    <row r="7292" spans="1:6" x14ac:dyDescent="0.25">
      <c r="A7292" t="s">
        <v>7075</v>
      </c>
      <c r="B7292" t="s">
        <v>587</v>
      </c>
      <c r="C7292" t="s">
        <v>1445</v>
      </c>
    </row>
    <row r="7293" spans="1:6" x14ac:dyDescent="0.25">
      <c r="A7293" t="s">
        <v>7075</v>
      </c>
      <c r="B7293" t="s">
        <v>588</v>
      </c>
      <c r="C7293" t="s">
        <v>1446</v>
      </c>
      <c r="D7293" t="str">
        <f>HYPERLINK("http://service.sap.com/sap/support/notes/1525104","1525104")</f>
        <v>1525104</v>
      </c>
      <c r="E7293">
        <v>1</v>
      </c>
      <c r="F7293" t="s">
        <v>590</v>
      </c>
    </row>
    <row r="7294" spans="1:6" x14ac:dyDescent="0.25">
      <c r="A7294" t="s">
        <v>7075</v>
      </c>
      <c r="B7294" t="s">
        <v>20</v>
      </c>
      <c r="C7294" t="s">
        <v>21</v>
      </c>
    </row>
    <row r="7295" spans="1:6" x14ac:dyDescent="0.25">
      <c r="A7295" t="s">
        <v>7075</v>
      </c>
      <c r="B7295" t="s">
        <v>22</v>
      </c>
      <c r="C7295" t="s">
        <v>23</v>
      </c>
      <c r="D7295" t="str">
        <f>HYPERLINK("http://service.sap.com/sap/support/notes/1537067","1537067")</f>
        <v>1537067</v>
      </c>
      <c r="E7295">
        <v>7</v>
      </c>
      <c r="F7295" t="s">
        <v>6873</v>
      </c>
    </row>
    <row r="7296" spans="1:6" x14ac:dyDescent="0.25">
      <c r="A7296" t="s">
        <v>7075</v>
      </c>
      <c r="B7296" t="s">
        <v>22</v>
      </c>
      <c r="C7296" t="s">
        <v>23</v>
      </c>
      <c r="D7296" t="str">
        <f>HYPERLINK("http://service.sap.com/sap/support/notes/1544628","1544628")</f>
        <v>1544628</v>
      </c>
      <c r="E7296">
        <v>1</v>
      </c>
      <c r="F7296" t="s">
        <v>7001</v>
      </c>
    </row>
    <row r="7297" spans="1:6" x14ac:dyDescent="0.25">
      <c r="A7297" t="s">
        <v>7075</v>
      </c>
      <c r="B7297" t="s">
        <v>22</v>
      </c>
      <c r="C7297" t="s">
        <v>23</v>
      </c>
      <c r="D7297" t="str">
        <f>HYPERLINK("http://service.sap.com/sap/support/notes/1545849","1545849")</f>
        <v>1545849</v>
      </c>
      <c r="E7297">
        <v>2</v>
      </c>
      <c r="F7297" t="s">
        <v>7002</v>
      </c>
    </row>
    <row r="7298" spans="1:6" x14ac:dyDescent="0.25">
      <c r="A7298" t="s">
        <v>7075</v>
      </c>
      <c r="B7298" t="s">
        <v>22</v>
      </c>
      <c r="C7298" t="s">
        <v>23</v>
      </c>
      <c r="D7298" t="str">
        <f>HYPERLINK("http://service.sap.com/sap/support/notes/1547075","1547075")</f>
        <v>1547075</v>
      </c>
      <c r="E7298">
        <v>1</v>
      </c>
      <c r="F7298" t="s">
        <v>7003</v>
      </c>
    </row>
    <row r="7299" spans="1:6" x14ac:dyDescent="0.25">
      <c r="A7299" t="s">
        <v>7075</v>
      </c>
      <c r="B7299" t="s">
        <v>22</v>
      </c>
      <c r="C7299" t="s">
        <v>23</v>
      </c>
      <c r="D7299" t="str">
        <f>HYPERLINK("http://service.sap.com/sap/support/notes/1547800","1547800")</f>
        <v>1547800</v>
      </c>
      <c r="E7299">
        <v>2</v>
      </c>
      <c r="F7299" t="s">
        <v>7004</v>
      </c>
    </row>
    <row r="7300" spans="1:6" x14ac:dyDescent="0.25">
      <c r="A7300" t="s">
        <v>7075</v>
      </c>
      <c r="B7300" t="s">
        <v>22</v>
      </c>
      <c r="C7300" t="s">
        <v>23</v>
      </c>
      <c r="D7300" t="str">
        <f>HYPERLINK("http://service.sap.com/sap/support/notes/1548683","1548683")</f>
        <v>1548683</v>
      </c>
      <c r="E7300">
        <v>2</v>
      </c>
      <c r="F7300" t="s">
        <v>7005</v>
      </c>
    </row>
    <row r="7301" spans="1:6" x14ac:dyDescent="0.25">
      <c r="A7301" t="s">
        <v>7075</v>
      </c>
      <c r="B7301" t="s">
        <v>22</v>
      </c>
      <c r="C7301" t="s">
        <v>23</v>
      </c>
      <c r="D7301" t="str">
        <f>HYPERLINK("http://service.sap.com/sap/support/notes/1550169","1550169")</f>
        <v>1550169</v>
      </c>
      <c r="E7301">
        <v>2</v>
      </c>
      <c r="F7301" t="s">
        <v>7006</v>
      </c>
    </row>
    <row r="7302" spans="1:6" x14ac:dyDescent="0.25">
      <c r="A7302" t="s">
        <v>7075</v>
      </c>
      <c r="B7302" t="s">
        <v>24</v>
      </c>
      <c r="C7302" t="s">
        <v>25</v>
      </c>
      <c r="D7302" t="str">
        <f>HYPERLINK("http://service.sap.com/sap/support/notes/1513279","1513279")</f>
        <v>1513279</v>
      </c>
      <c r="E7302">
        <v>2</v>
      </c>
      <c r="F7302" t="s">
        <v>6559</v>
      </c>
    </row>
    <row r="7303" spans="1:6" x14ac:dyDescent="0.25">
      <c r="A7303" t="s">
        <v>7075</v>
      </c>
      <c r="B7303" t="s">
        <v>24</v>
      </c>
      <c r="C7303" t="s">
        <v>25</v>
      </c>
      <c r="D7303" t="str">
        <f>HYPERLINK("http://service.sap.com/sap/support/notes/1519713","1519713")</f>
        <v>1519713</v>
      </c>
      <c r="E7303">
        <v>2</v>
      </c>
      <c r="F7303" t="s">
        <v>6577</v>
      </c>
    </row>
    <row r="7304" spans="1:6" x14ac:dyDescent="0.25">
      <c r="A7304" t="s">
        <v>7075</v>
      </c>
      <c r="B7304" t="s">
        <v>24</v>
      </c>
      <c r="C7304" t="s">
        <v>25</v>
      </c>
      <c r="D7304" t="str">
        <f>HYPERLINK("http://service.sap.com/sap/support/notes/1530478","1530478")</f>
        <v>1530478</v>
      </c>
      <c r="E7304">
        <v>4</v>
      </c>
      <c r="F7304" t="s">
        <v>7007</v>
      </c>
    </row>
    <row r="7305" spans="1:6" x14ac:dyDescent="0.25">
      <c r="A7305" t="s">
        <v>7075</v>
      </c>
      <c r="B7305" t="s">
        <v>24</v>
      </c>
      <c r="C7305" t="s">
        <v>25</v>
      </c>
      <c r="D7305" t="str">
        <f>HYPERLINK("http://service.sap.com/sap/support/notes/1530936","1530936")</f>
        <v>1530936</v>
      </c>
      <c r="E7305">
        <v>3</v>
      </c>
      <c r="F7305" t="s">
        <v>7008</v>
      </c>
    </row>
    <row r="7306" spans="1:6" x14ac:dyDescent="0.25">
      <c r="A7306" t="s">
        <v>7075</v>
      </c>
      <c r="B7306" t="s">
        <v>24</v>
      </c>
      <c r="C7306" t="s">
        <v>25</v>
      </c>
      <c r="D7306" t="str">
        <f>HYPERLINK("http://service.sap.com/sap/support/notes/1536641","1536641")</f>
        <v>1536641</v>
      </c>
      <c r="E7306">
        <v>2</v>
      </c>
      <c r="F7306" t="s">
        <v>7009</v>
      </c>
    </row>
    <row r="7307" spans="1:6" x14ac:dyDescent="0.25">
      <c r="A7307" t="s">
        <v>7075</v>
      </c>
      <c r="B7307" t="s">
        <v>24</v>
      </c>
      <c r="C7307" t="s">
        <v>25</v>
      </c>
      <c r="D7307" t="str">
        <f>HYPERLINK("http://service.sap.com/sap/support/notes/1541456","1541456")</f>
        <v>1541456</v>
      </c>
      <c r="E7307">
        <v>2</v>
      </c>
      <c r="F7307" t="s">
        <v>6904</v>
      </c>
    </row>
    <row r="7308" spans="1:6" x14ac:dyDescent="0.25">
      <c r="A7308" t="s">
        <v>7075</v>
      </c>
      <c r="B7308" t="s">
        <v>24</v>
      </c>
      <c r="C7308" t="s">
        <v>25</v>
      </c>
      <c r="D7308" t="str">
        <f>HYPERLINK("http://service.sap.com/sap/support/notes/1541885","1541885")</f>
        <v>1541885</v>
      </c>
      <c r="E7308">
        <v>1</v>
      </c>
      <c r="F7308" t="s">
        <v>7010</v>
      </c>
    </row>
    <row r="7309" spans="1:6" x14ac:dyDescent="0.25">
      <c r="A7309" t="s">
        <v>7075</v>
      </c>
      <c r="B7309" t="s">
        <v>24</v>
      </c>
      <c r="C7309" t="s">
        <v>25</v>
      </c>
      <c r="D7309" t="str">
        <f>HYPERLINK("http://service.sap.com/sap/support/notes/1542808","1542808")</f>
        <v>1542808</v>
      </c>
      <c r="E7309">
        <v>5</v>
      </c>
      <c r="F7309" t="s">
        <v>6910</v>
      </c>
    </row>
    <row r="7310" spans="1:6" x14ac:dyDescent="0.25">
      <c r="A7310" t="s">
        <v>7075</v>
      </c>
      <c r="B7310" t="s">
        <v>24</v>
      </c>
      <c r="C7310" t="s">
        <v>25</v>
      </c>
      <c r="D7310" t="str">
        <f>HYPERLINK("http://service.sap.com/sap/support/notes/1543944","1543944")</f>
        <v>1543944</v>
      </c>
      <c r="E7310">
        <v>2</v>
      </c>
      <c r="F7310" t="s">
        <v>7011</v>
      </c>
    </row>
    <row r="7311" spans="1:6" x14ac:dyDescent="0.25">
      <c r="A7311" t="s">
        <v>7075</v>
      </c>
      <c r="B7311" t="s">
        <v>24</v>
      </c>
      <c r="C7311" t="s">
        <v>25</v>
      </c>
      <c r="D7311" t="str">
        <f>HYPERLINK("http://service.sap.com/sap/support/notes/1545686","1545686")</f>
        <v>1545686</v>
      </c>
      <c r="E7311">
        <v>1</v>
      </c>
      <c r="F7311" t="s">
        <v>7012</v>
      </c>
    </row>
    <row r="7312" spans="1:6" x14ac:dyDescent="0.25">
      <c r="A7312" t="s">
        <v>7075</v>
      </c>
      <c r="B7312" t="s">
        <v>24</v>
      </c>
      <c r="C7312" t="s">
        <v>25</v>
      </c>
      <c r="D7312" t="str">
        <f>HYPERLINK("http://service.sap.com/sap/support/notes/1545868","1545868")</f>
        <v>1545868</v>
      </c>
      <c r="E7312">
        <v>1</v>
      </c>
      <c r="F7312" t="s">
        <v>7013</v>
      </c>
    </row>
    <row r="7313" spans="1:6" x14ac:dyDescent="0.25">
      <c r="A7313" t="s">
        <v>7075</v>
      </c>
      <c r="B7313" t="s">
        <v>24</v>
      </c>
      <c r="C7313" t="s">
        <v>25</v>
      </c>
      <c r="D7313" t="str">
        <f>HYPERLINK("http://service.sap.com/sap/support/notes/1546023","1546023")</f>
        <v>1546023</v>
      </c>
      <c r="E7313">
        <v>2</v>
      </c>
      <c r="F7313" t="s">
        <v>7014</v>
      </c>
    </row>
    <row r="7314" spans="1:6" x14ac:dyDescent="0.25">
      <c r="A7314" t="s">
        <v>7075</v>
      </c>
      <c r="B7314" t="s">
        <v>24</v>
      </c>
      <c r="C7314" t="s">
        <v>25</v>
      </c>
      <c r="D7314" t="str">
        <f>HYPERLINK("http://service.sap.com/sap/support/notes/1546330","1546330")</f>
        <v>1546330</v>
      </c>
      <c r="E7314">
        <v>2</v>
      </c>
      <c r="F7314" t="s">
        <v>7015</v>
      </c>
    </row>
    <row r="7315" spans="1:6" x14ac:dyDescent="0.25">
      <c r="A7315" t="s">
        <v>7075</v>
      </c>
      <c r="B7315" t="s">
        <v>24</v>
      </c>
      <c r="C7315" t="s">
        <v>25</v>
      </c>
      <c r="D7315" t="str">
        <f>HYPERLINK("http://service.sap.com/sap/support/notes/1546384","1546384")</f>
        <v>1546384</v>
      </c>
      <c r="E7315">
        <v>1</v>
      </c>
      <c r="F7315" t="s">
        <v>7016</v>
      </c>
    </row>
    <row r="7316" spans="1:6" x14ac:dyDescent="0.25">
      <c r="A7316" t="s">
        <v>7075</v>
      </c>
      <c r="B7316" t="s">
        <v>24</v>
      </c>
      <c r="C7316" t="s">
        <v>25</v>
      </c>
      <c r="D7316" t="str">
        <f>HYPERLINK("http://service.sap.com/sap/support/notes/1547009","1547009")</f>
        <v>1547009</v>
      </c>
      <c r="E7316">
        <v>3</v>
      </c>
      <c r="F7316" t="s">
        <v>7017</v>
      </c>
    </row>
    <row r="7317" spans="1:6" x14ac:dyDescent="0.25">
      <c r="A7317" t="s">
        <v>7075</v>
      </c>
      <c r="B7317" t="s">
        <v>24</v>
      </c>
      <c r="C7317" t="s">
        <v>25</v>
      </c>
      <c r="D7317" t="str">
        <f>HYPERLINK("http://service.sap.com/sap/support/notes/1547483","1547483")</f>
        <v>1547483</v>
      </c>
      <c r="E7317">
        <v>3</v>
      </c>
      <c r="F7317" t="s">
        <v>7018</v>
      </c>
    </row>
    <row r="7318" spans="1:6" x14ac:dyDescent="0.25">
      <c r="A7318" t="s">
        <v>7075</v>
      </c>
      <c r="B7318" t="s">
        <v>24</v>
      </c>
      <c r="C7318" t="s">
        <v>25</v>
      </c>
      <c r="D7318" t="str">
        <f>HYPERLINK("http://service.sap.com/sap/support/notes/1547875","1547875")</f>
        <v>1547875</v>
      </c>
      <c r="E7318">
        <v>1</v>
      </c>
      <c r="F7318" t="s">
        <v>7019</v>
      </c>
    </row>
    <row r="7319" spans="1:6" x14ac:dyDescent="0.25">
      <c r="A7319" t="s">
        <v>7075</v>
      </c>
      <c r="B7319" t="s">
        <v>24</v>
      </c>
      <c r="C7319" t="s">
        <v>25</v>
      </c>
      <c r="D7319" t="str">
        <f>HYPERLINK("http://service.sap.com/sap/support/notes/1548455","1548455")</f>
        <v>1548455</v>
      </c>
      <c r="E7319">
        <v>1</v>
      </c>
      <c r="F7319" t="s">
        <v>7020</v>
      </c>
    </row>
    <row r="7320" spans="1:6" x14ac:dyDescent="0.25">
      <c r="A7320" t="s">
        <v>7075</v>
      </c>
      <c r="B7320" t="s">
        <v>24</v>
      </c>
      <c r="C7320" t="s">
        <v>25</v>
      </c>
      <c r="D7320" t="str">
        <f>HYPERLINK("http://service.sap.com/sap/support/notes/1548799","1548799")</f>
        <v>1548799</v>
      </c>
      <c r="E7320">
        <v>3</v>
      </c>
      <c r="F7320" t="s">
        <v>7021</v>
      </c>
    </row>
    <row r="7321" spans="1:6" x14ac:dyDescent="0.25">
      <c r="A7321" t="s">
        <v>7075</v>
      </c>
      <c r="B7321" t="s">
        <v>24</v>
      </c>
      <c r="C7321" t="s">
        <v>25</v>
      </c>
      <c r="D7321" t="str">
        <f>HYPERLINK("http://service.sap.com/sap/support/notes/1549702","1549702")</f>
        <v>1549702</v>
      </c>
      <c r="E7321">
        <v>1</v>
      </c>
      <c r="F7321" t="s">
        <v>7022</v>
      </c>
    </row>
    <row r="7322" spans="1:6" x14ac:dyDescent="0.25">
      <c r="A7322" t="s">
        <v>7075</v>
      </c>
      <c r="B7322" t="s">
        <v>24</v>
      </c>
      <c r="C7322" t="s">
        <v>25</v>
      </c>
      <c r="D7322" t="str">
        <f>HYPERLINK("http://service.sap.com/sap/support/notes/1550218","1550218")</f>
        <v>1550218</v>
      </c>
      <c r="E7322">
        <v>1</v>
      </c>
      <c r="F7322" t="s">
        <v>7023</v>
      </c>
    </row>
    <row r="7323" spans="1:6" x14ac:dyDescent="0.25">
      <c r="A7323" t="s">
        <v>7075</v>
      </c>
      <c r="B7323" t="s">
        <v>24</v>
      </c>
      <c r="C7323" t="s">
        <v>25</v>
      </c>
      <c r="D7323" t="str">
        <f>HYPERLINK("http://service.sap.com/sap/support/notes/1550636","1550636")</f>
        <v>1550636</v>
      </c>
      <c r="E7323">
        <v>1</v>
      </c>
      <c r="F7323" t="s">
        <v>7024</v>
      </c>
    </row>
    <row r="7324" spans="1:6" x14ac:dyDescent="0.25">
      <c r="A7324" t="s">
        <v>7075</v>
      </c>
      <c r="B7324" t="s">
        <v>24</v>
      </c>
      <c r="C7324" t="s">
        <v>25</v>
      </c>
      <c r="D7324" t="str">
        <f>HYPERLINK("http://service.sap.com/sap/support/notes/1550840","1550840")</f>
        <v>1550840</v>
      </c>
      <c r="E7324">
        <v>1</v>
      </c>
      <c r="F7324" t="s">
        <v>7025</v>
      </c>
    </row>
    <row r="7325" spans="1:6" x14ac:dyDescent="0.25">
      <c r="A7325" t="s">
        <v>7075</v>
      </c>
      <c r="B7325" t="s">
        <v>24</v>
      </c>
      <c r="C7325" t="s">
        <v>25</v>
      </c>
      <c r="D7325" t="str">
        <f>HYPERLINK("http://service.sap.com/sap/support/notes/1550957","1550957")</f>
        <v>1550957</v>
      </c>
      <c r="E7325">
        <v>1</v>
      </c>
      <c r="F7325" t="s">
        <v>7026</v>
      </c>
    </row>
    <row r="7326" spans="1:6" x14ac:dyDescent="0.25">
      <c r="A7326" t="s">
        <v>7075</v>
      </c>
      <c r="B7326" t="s">
        <v>24</v>
      </c>
      <c r="C7326" t="s">
        <v>25</v>
      </c>
      <c r="D7326" t="str">
        <f>HYPERLINK("http://service.sap.com/sap/support/notes/1550990","1550990")</f>
        <v>1550990</v>
      </c>
      <c r="E7326">
        <v>1</v>
      </c>
      <c r="F7326" t="s">
        <v>7027</v>
      </c>
    </row>
    <row r="7327" spans="1:6" x14ac:dyDescent="0.25">
      <c r="A7327" t="s">
        <v>7075</v>
      </c>
      <c r="B7327" t="s">
        <v>24</v>
      </c>
      <c r="C7327" t="s">
        <v>25</v>
      </c>
      <c r="D7327" t="str">
        <f>HYPERLINK("http://service.sap.com/sap/support/notes/1551233","1551233")</f>
        <v>1551233</v>
      </c>
      <c r="E7327">
        <v>1</v>
      </c>
      <c r="F7327" t="s">
        <v>7028</v>
      </c>
    </row>
    <row r="7328" spans="1:6" x14ac:dyDescent="0.25">
      <c r="A7328" t="s">
        <v>7075</v>
      </c>
      <c r="B7328" t="s">
        <v>24</v>
      </c>
      <c r="C7328" t="s">
        <v>25</v>
      </c>
      <c r="D7328" t="str">
        <f>HYPERLINK("http://service.sap.com/sap/support/notes/1551466","1551466")</f>
        <v>1551466</v>
      </c>
      <c r="E7328">
        <v>1</v>
      </c>
      <c r="F7328" t="s">
        <v>7029</v>
      </c>
    </row>
    <row r="7329" spans="1:6" x14ac:dyDescent="0.25">
      <c r="A7329" t="s">
        <v>7075</v>
      </c>
      <c r="B7329" t="s">
        <v>24</v>
      </c>
      <c r="C7329" t="s">
        <v>25</v>
      </c>
      <c r="D7329" t="str">
        <f>HYPERLINK("http://service.sap.com/sap/support/notes/1551635","1551635")</f>
        <v>1551635</v>
      </c>
      <c r="E7329">
        <v>1</v>
      </c>
      <c r="F7329" t="s">
        <v>7030</v>
      </c>
    </row>
    <row r="7330" spans="1:6" x14ac:dyDescent="0.25">
      <c r="A7330" t="s">
        <v>7075</v>
      </c>
      <c r="B7330" t="s">
        <v>4074</v>
      </c>
      <c r="C7330" t="s">
        <v>4075</v>
      </c>
      <c r="D7330" t="str">
        <f>HYPERLINK("http://service.sap.com/sap/support/notes/1525234","1525234")</f>
        <v>1525234</v>
      </c>
      <c r="E7330">
        <v>2</v>
      </c>
      <c r="F7330" t="s">
        <v>7031</v>
      </c>
    </row>
    <row r="7331" spans="1:6" x14ac:dyDescent="0.25">
      <c r="A7331" t="s">
        <v>7075</v>
      </c>
      <c r="B7331" t="s">
        <v>4074</v>
      </c>
      <c r="C7331" t="s">
        <v>4075</v>
      </c>
      <c r="D7331" t="str">
        <f>HYPERLINK("http://service.sap.com/sap/support/notes/1542197","1542197")</f>
        <v>1542197</v>
      </c>
      <c r="E7331">
        <v>2</v>
      </c>
      <c r="F7331" t="s">
        <v>7032</v>
      </c>
    </row>
    <row r="7332" spans="1:6" x14ac:dyDescent="0.25">
      <c r="A7332" t="s">
        <v>7075</v>
      </c>
      <c r="B7332" t="s">
        <v>4074</v>
      </c>
      <c r="C7332" t="s">
        <v>4075</v>
      </c>
      <c r="D7332" t="str">
        <f>HYPERLINK("http://service.sap.com/sap/support/notes/1544267","1544267")</f>
        <v>1544267</v>
      </c>
      <c r="E7332">
        <v>1</v>
      </c>
      <c r="F7332" t="s">
        <v>7033</v>
      </c>
    </row>
    <row r="7333" spans="1:6" x14ac:dyDescent="0.25">
      <c r="A7333" t="s">
        <v>7075</v>
      </c>
      <c r="B7333" t="s">
        <v>4074</v>
      </c>
      <c r="C7333" t="s">
        <v>4075</v>
      </c>
      <c r="D7333" t="str">
        <f>HYPERLINK("http://service.sap.com/sap/support/notes/1548665","1548665")</f>
        <v>1548665</v>
      </c>
      <c r="E7333">
        <v>1</v>
      </c>
      <c r="F7333" t="s">
        <v>7034</v>
      </c>
    </row>
    <row r="7334" spans="1:6" x14ac:dyDescent="0.25">
      <c r="A7334" t="s">
        <v>7075</v>
      </c>
      <c r="B7334" t="s">
        <v>4074</v>
      </c>
      <c r="C7334" t="s">
        <v>4075</v>
      </c>
      <c r="D7334" t="str">
        <f>HYPERLINK("http://service.sap.com/sap/support/notes/1550167","1550167")</f>
        <v>1550167</v>
      </c>
      <c r="E7334">
        <v>2</v>
      </c>
      <c r="F7334" t="s">
        <v>7035</v>
      </c>
    </row>
    <row r="7335" spans="1:6" x14ac:dyDescent="0.25">
      <c r="A7335" t="s">
        <v>7075</v>
      </c>
      <c r="B7335" t="s">
        <v>4074</v>
      </c>
      <c r="C7335" t="s">
        <v>4075</v>
      </c>
      <c r="D7335" t="str">
        <f>HYPERLINK("http://service.sap.com/sap/support/notes/1550577","1550577")</f>
        <v>1550577</v>
      </c>
      <c r="E7335">
        <v>1</v>
      </c>
      <c r="F7335" t="s">
        <v>7036</v>
      </c>
    </row>
    <row r="7336" spans="1:6" x14ac:dyDescent="0.25">
      <c r="A7336" t="s">
        <v>7075</v>
      </c>
      <c r="B7336" t="s">
        <v>4074</v>
      </c>
      <c r="C7336" t="s">
        <v>4075</v>
      </c>
      <c r="D7336" t="str">
        <f>HYPERLINK("http://service.sap.com/sap/support/notes/1551423","1551423")</f>
        <v>1551423</v>
      </c>
      <c r="E7336">
        <v>1</v>
      </c>
      <c r="F7336" t="s">
        <v>7037</v>
      </c>
    </row>
    <row r="7337" spans="1:6" x14ac:dyDescent="0.25">
      <c r="A7337" t="s">
        <v>7075</v>
      </c>
      <c r="B7337" t="s">
        <v>4081</v>
      </c>
      <c r="C7337" t="s">
        <v>4082</v>
      </c>
      <c r="D7337" t="str">
        <f>HYPERLINK("http://service.sap.com/sap/support/notes/1545979","1545979")</f>
        <v>1545979</v>
      </c>
      <c r="E7337">
        <v>1</v>
      </c>
      <c r="F7337" t="s">
        <v>7038</v>
      </c>
    </row>
    <row r="7338" spans="1:6" x14ac:dyDescent="0.25">
      <c r="A7338" t="s">
        <v>7075</v>
      </c>
      <c r="B7338" t="s">
        <v>4081</v>
      </c>
      <c r="C7338" t="s">
        <v>4082</v>
      </c>
      <c r="D7338" t="str">
        <f>HYPERLINK("http://service.sap.com/sap/support/notes/1546049","1546049")</f>
        <v>1546049</v>
      </c>
      <c r="E7338">
        <v>1</v>
      </c>
      <c r="F7338" t="s">
        <v>7039</v>
      </c>
    </row>
    <row r="7339" spans="1:6" x14ac:dyDescent="0.25">
      <c r="A7339" t="s">
        <v>7075</v>
      </c>
      <c r="B7339" t="s">
        <v>4081</v>
      </c>
      <c r="C7339" t="s">
        <v>4082</v>
      </c>
      <c r="D7339" t="str">
        <f>HYPERLINK("http://service.sap.com/sap/support/notes/1548212","1548212")</f>
        <v>1548212</v>
      </c>
      <c r="E7339">
        <v>1</v>
      </c>
      <c r="F7339" t="s">
        <v>7040</v>
      </c>
    </row>
    <row r="7340" spans="1:6" x14ac:dyDescent="0.25">
      <c r="A7340" t="s">
        <v>7075</v>
      </c>
      <c r="B7340" t="s">
        <v>4081</v>
      </c>
      <c r="C7340" t="s">
        <v>4082</v>
      </c>
      <c r="D7340" t="str">
        <f>HYPERLINK("http://service.sap.com/sap/support/notes/1549256","1549256")</f>
        <v>1549256</v>
      </c>
      <c r="E7340">
        <v>2</v>
      </c>
      <c r="F7340" t="s">
        <v>7041</v>
      </c>
    </row>
    <row r="7341" spans="1:6" x14ac:dyDescent="0.25">
      <c r="A7341" t="s">
        <v>7075</v>
      </c>
      <c r="B7341" t="s">
        <v>4081</v>
      </c>
      <c r="C7341" t="s">
        <v>4082</v>
      </c>
      <c r="D7341" t="str">
        <f>HYPERLINK("http://service.sap.com/sap/support/notes/1549306","1549306")</f>
        <v>1549306</v>
      </c>
      <c r="E7341">
        <v>1</v>
      </c>
      <c r="F7341" t="s">
        <v>7042</v>
      </c>
    </row>
    <row r="7342" spans="1:6" x14ac:dyDescent="0.25">
      <c r="A7342" t="s">
        <v>7075</v>
      </c>
      <c r="B7342" t="s">
        <v>4081</v>
      </c>
      <c r="C7342" t="s">
        <v>4082</v>
      </c>
      <c r="D7342" t="str">
        <f>HYPERLINK("http://service.sap.com/sap/support/notes/1549746","1549746")</f>
        <v>1549746</v>
      </c>
      <c r="E7342">
        <v>1</v>
      </c>
      <c r="F7342" t="s">
        <v>7043</v>
      </c>
    </row>
    <row r="7343" spans="1:6" x14ac:dyDescent="0.25">
      <c r="A7343" t="s">
        <v>7075</v>
      </c>
      <c r="B7343" t="s">
        <v>27</v>
      </c>
      <c r="C7343" t="s">
        <v>13</v>
      </c>
    </row>
    <row r="7344" spans="1:6" x14ac:dyDescent="0.25">
      <c r="A7344" t="s">
        <v>7075</v>
      </c>
      <c r="B7344" t="s">
        <v>28</v>
      </c>
      <c r="C7344" t="s">
        <v>29</v>
      </c>
      <c r="D7344" t="str">
        <f>HYPERLINK("http://service.sap.com/sap/support/notes/1528331","1528331")</f>
        <v>1528331</v>
      </c>
      <c r="E7344">
        <v>1</v>
      </c>
      <c r="F7344" t="s">
        <v>3393</v>
      </c>
    </row>
    <row r="7345" spans="1:6" x14ac:dyDescent="0.25">
      <c r="A7345" t="s">
        <v>7075</v>
      </c>
      <c r="B7345" t="s">
        <v>5967</v>
      </c>
      <c r="C7345" t="s">
        <v>5968</v>
      </c>
    </row>
    <row r="7346" spans="1:6" x14ac:dyDescent="0.25">
      <c r="A7346" t="s">
        <v>7075</v>
      </c>
      <c r="B7346" t="s">
        <v>5969</v>
      </c>
      <c r="C7346" t="s">
        <v>695</v>
      </c>
      <c r="D7346" t="str">
        <f>HYPERLINK("http://service.sap.com/sap/support/notes/1524041","1524041")</f>
        <v>1524041</v>
      </c>
      <c r="E7346">
        <v>1</v>
      </c>
      <c r="F7346" t="s">
        <v>7044</v>
      </c>
    </row>
    <row r="7347" spans="1:6" x14ac:dyDescent="0.25">
      <c r="A7347" t="s">
        <v>7075</v>
      </c>
      <c r="B7347" t="s">
        <v>2161</v>
      </c>
      <c r="C7347" t="s">
        <v>2162</v>
      </c>
      <c r="D7347" t="str">
        <f>HYPERLINK("http://service.sap.com/sap/support/notes/1542243","1542243")</f>
        <v>1542243</v>
      </c>
      <c r="E7347">
        <v>4</v>
      </c>
      <c r="F7347" t="s">
        <v>7045</v>
      </c>
    </row>
    <row r="7348" spans="1:6" x14ac:dyDescent="0.25">
      <c r="A7348" t="s">
        <v>7075</v>
      </c>
      <c r="B7348" t="s">
        <v>2161</v>
      </c>
      <c r="C7348" t="s">
        <v>2162</v>
      </c>
      <c r="D7348" t="str">
        <f>HYPERLINK("http://service.sap.com/sap/support/notes/1547829","1547829")</f>
        <v>1547829</v>
      </c>
      <c r="E7348">
        <v>1</v>
      </c>
      <c r="F7348" t="s">
        <v>7046</v>
      </c>
    </row>
    <row r="7349" spans="1:6" x14ac:dyDescent="0.25">
      <c r="A7349" t="s">
        <v>7075</v>
      </c>
      <c r="B7349" t="s">
        <v>2161</v>
      </c>
      <c r="C7349" t="s">
        <v>2162</v>
      </c>
      <c r="D7349" t="str">
        <f>HYPERLINK("http://service.sap.com/sap/support/notes/1547991","1547991")</f>
        <v>1547991</v>
      </c>
      <c r="E7349">
        <v>1</v>
      </c>
      <c r="F7349" t="s">
        <v>7047</v>
      </c>
    </row>
    <row r="7350" spans="1:6" x14ac:dyDescent="0.25">
      <c r="A7350" t="s">
        <v>7075</v>
      </c>
      <c r="B7350" t="s">
        <v>4105</v>
      </c>
      <c r="C7350" t="s">
        <v>4106</v>
      </c>
      <c r="D7350" t="str">
        <f>HYPERLINK("http://service.sap.com/sap/support/notes/1547378","1547378")</f>
        <v>1547378</v>
      </c>
      <c r="E7350">
        <v>1</v>
      </c>
      <c r="F7350" t="s">
        <v>7048</v>
      </c>
    </row>
    <row r="7351" spans="1:6" x14ac:dyDescent="0.25">
      <c r="A7351" t="s">
        <v>7075</v>
      </c>
      <c r="B7351" t="s">
        <v>4105</v>
      </c>
      <c r="C7351" t="s">
        <v>4106</v>
      </c>
      <c r="D7351" t="str">
        <f>HYPERLINK("http://service.sap.com/sap/support/notes/1547816","1547816")</f>
        <v>1547816</v>
      </c>
      <c r="E7351">
        <v>1</v>
      </c>
      <c r="F7351" t="s">
        <v>7049</v>
      </c>
    </row>
    <row r="7352" spans="1:6" x14ac:dyDescent="0.25">
      <c r="A7352" t="s">
        <v>7075</v>
      </c>
      <c r="B7352" t="s">
        <v>4112</v>
      </c>
      <c r="C7352" t="s">
        <v>4113</v>
      </c>
      <c r="D7352" t="str">
        <f>HYPERLINK("http://service.sap.com/sap/support/notes/1545773","1545773")</f>
        <v>1545773</v>
      </c>
      <c r="E7352">
        <v>1</v>
      </c>
      <c r="F7352" t="s">
        <v>7050</v>
      </c>
    </row>
    <row r="7353" spans="1:6" x14ac:dyDescent="0.25">
      <c r="A7353" t="s">
        <v>7075</v>
      </c>
      <c r="B7353" t="s">
        <v>4112</v>
      </c>
      <c r="C7353" t="s">
        <v>4113</v>
      </c>
      <c r="D7353" t="str">
        <f>HYPERLINK("http://service.sap.com/sap/support/notes/1547031","1547031")</f>
        <v>1547031</v>
      </c>
      <c r="E7353">
        <v>2</v>
      </c>
      <c r="F7353" t="s">
        <v>7051</v>
      </c>
    </row>
    <row r="7354" spans="1:6" x14ac:dyDescent="0.25">
      <c r="A7354" t="s">
        <v>7075</v>
      </c>
      <c r="B7354" t="s">
        <v>4112</v>
      </c>
      <c r="C7354" t="s">
        <v>4113</v>
      </c>
      <c r="D7354" t="str">
        <f>HYPERLINK("http://service.sap.com/sap/support/notes/1550257","1550257")</f>
        <v>1550257</v>
      </c>
      <c r="E7354">
        <v>2</v>
      </c>
      <c r="F7354" t="s">
        <v>7052</v>
      </c>
    </row>
    <row r="7355" spans="1:6" x14ac:dyDescent="0.25">
      <c r="A7355" t="s">
        <v>7075</v>
      </c>
      <c r="B7355" t="s">
        <v>5648</v>
      </c>
      <c r="C7355" t="s">
        <v>5649</v>
      </c>
    </row>
    <row r="7356" spans="1:6" x14ac:dyDescent="0.25">
      <c r="A7356" t="s">
        <v>7075</v>
      </c>
      <c r="B7356" t="s">
        <v>5650</v>
      </c>
      <c r="C7356" t="s">
        <v>5651</v>
      </c>
    </row>
    <row r="7357" spans="1:6" x14ac:dyDescent="0.25">
      <c r="A7357" t="s">
        <v>7075</v>
      </c>
      <c r="B7357" t="s">
        <v>5652</v>
      </c>
      <c r="C7357" t="s">
        <v>5653</v>
      </c>
      <c r="D7357" t="str">
        <f>HYPERLINK("http://service.sap.com/sap/support/notes/1466376","1466376")</f>
        <v>1466376</v>
      </c>
      <c r="E7357">
        <v>2</v>
      </c>
      <c r="F7357" t="s">
        <v>6032</v>
      </c>
    </row>
    <row r="7358" spans="1:6" x14ac:dyDescent="0.25">
      <c r="A7358" t="s">
        <v>7075</v>
      </c>
      <c r="B7358" t="s">
        <v>38</v>
      </c>
      <c r="C7358" t="s">
        <v>39</v>
      </c>
    </row>
    <row r="7359" spans="1:6" x14ac:dyDescent="0.25">
      <c r="A7359" t="s">
        <v>7075</v>
      </c>
      <c r="B7359" t="s">
        <v>57</v>
      </c>
      <c r="C7359" t="s">
        <v>58</v>
      </c>
    </row>
    <row r="7360" spans="1:6" x14ac:dyDescent="0.25">
      <c r="A7360" t="s">
        <v>7075</v>
      </c>
      <c r="B7360" t="s">
        <v>59</v>
      </c>
      <c r="C7360" t="s">
        <v>60</v>
      </c>
      <c r="D7360" t="str">
        <f>HYPERLINK("http://service.sap.com/sap/support/notes/1540043","1540043")</f>
        <v>1540043</v>
      </c>
      <c r="E7360">
        <v>5</v>
      </c>
      <c r="F7360" t="s">
        <v>1449</v>
      </c>
    </row>
    <row r="7361" spans="1:6" x14ac:dyDescent="0.25">
      <c r="A7361" t="s">
        <v>7075</v>
      </c>
      <c r="B7361" t="s">
        <v>59</v>
      </c>
      <c r="C7361" t="s">
        <v>60</v>
      </c>
      <c r="D7361" t="str">
        <f>HYPERLINK("http://service.sap.com/sap/support/notes/1541651","1541651")</f>
        <v>1541651</v>
      </c>
      <c r="E7361">
        <v>4</v>
      </c>
      <c r="F7361" t="s">
        <v>1450</v>
      </c>
    </row>
    <row r="7362" spans="1:6" x14ac:dyDescent="0.25">
      <c r="A7362" t="s">
        <v>7075</v>
      </c>
      <c r="B7362" t="s">
        <v>694</v>
      </c>
      <c r="C7362" t="s">
        <v>695</v>
      </c>
      <c r="D7362" t="str">
        <f>HYPERLINK("http://service.sap.com/sap/support/notes/1512033","1512033")</f>
        <v>1512033</v>
      </c>
      <c r="E7362">
        <v>2</v>
      </c>
      <c r="F7362" t="s">
        <v>7053</v>
      </c>
    </row>
    <row r="7363" spans="1:6" x14ac:dyDescent="0.25">
      <c r="A7363" t="s">
        <v>7075</v>
      </c>
      <c r="B7363" t="s">
        <v>717</v>
      </c>
      <c r="C7363" t="s">
        <v>496</v>
      </c>
      <c r="D7363" t="str">
        <f>HYPERLINK("http://service.sap.com/sap/support/notes/1540119","1540119")</f>
        <v>1540119</v>
      </c>
      <c r="E7363">
        <v>1</v>
      </c>
      <c r="F7363" t="s">
        <v>6965</v>
      </c>
    </row>
    <row r="7364" spans="1:6" x14ac:dyDescent="0.25">
      <c r="A7364" t="s">
        <v>7075</v>
      </c>
      <c r="B7364" t="s">
        <v>107</v>
      </c>
      <c r="C7364" t="s">
        <v>108</v>
      </c>
      <c r="D7364" t="str">
        <f>HYPERLINK("http://service.sap.com/sap/support/notes/1544101","1544101")</f>
        <v>1544101</v>
      </c>
      <c r="E7364">
        <v>4</v>
      </c>
      <c r="F7364" t="s">
        <v>7054</v>
      </c>
    </row>
    <row r="7365" spans="1:6" x14ac:dyDescent="0.25">
      <c r="A7365" t="s">
        <v>7075</v>
      </c>
      <c r="B7365" t="s">
        <v>6092</v>
      </c>
      <c r="C7365" t="s">
        <v>6093</v>
      </c>
      <c r="D7365" t="str">
        <f>HYPERLINK("http://service.sap.com/sap/support/notes/1531989","1531989")</f>
        <v>1531989</v>
      </c>
      <c r="E7365">
        <v>2</v>
      </c>
      <c r="F7365" t="s">
        <v>7055</v>
      </c>
    </row>
    <row r="7366" spans="1:6" x14ac:dyDescent="0.25">
      <c r="A7366" t="s">
        <v>7075</v>
      </c>
      <c r="B7366" t="s">
        <v>790</v>
      </c>
      <c r="C7366" t="s">
        <v>4125</v>
      </c>
    </row>
    <row r="7367" spans="1:6" x14ac:dyDescent="0.25">
      <c r="A7367" t="s">
        <v>7075</v>
      </c>
      <c r="B7367" t="s">
        <v>791</v>
      </c>
      <c r="C7367" t="s">
        <v>4126</v>
      </c>
      <c r="D7367" t="str">
        <f>HYPERLINK("http://service.sap.com/sap/support/notes/1530014","1530014")</f>
        <v>1530014</v>
      </c>
      <c r="E7367">
        <v>1</v>
      </c>
      <c r="F7367" t="s">
        <v>7056</v>
      </c>
    </row>
    <row r="7368" spans="1:6" x14ac:dyDescent="0.25">
      <c r="A7368" t="s">
        <v>7075</v>
      </c>
      <c r="B7368" t="s">
        <v>791</v>
      </c>
      <c r="C7368" t="s">
        <v>4126</v>
      </c>
      <c r="D7368" t="str">
        <f>HYPERLINK("http://service.sap.com/sap/support/notes/1537666","1537666")</f>
        <v>1537666</v>
      </c>
      <c r="E7368">
        <v>1</v>
      </c>
      <c r="F7368" t="s">
        <v>7057</v>
      </c>
    </row>
    <row r="7369" spans="1:6" x14ac:dyDescent="0.25">
      <c r="A7369" t="s">
        <v>7075</v>
      </c>
      <c r="B7369" t="s">
        <v>791</v>
      </c>
      <c r="C7369" t="s">
        <v>4126</v>
      </c>
      <c r="D7369" t="str">
        <f>HYPERLINK("http://service.sap.com/sap/support/notes/1546406","1546406")</f>
        <v>1546406</v>
      </c>
      <c r="E7369">
        <v>1</v>
      </c>
      <c r="F7369" t="s">
        <v>7058</v>
      </c>
    </row>
    <row r="7370" spans="1:6" x14ac:dyDescent="0.25">
      <c r="A7370" t="s">
        <v>7075</v>
      </c>
      <c r="B7370" t="s">
        <v>4144</v>
      </c>
      <c r="C7370" t="s">
        <v>4145</v>
      </c>
      <c r="D7370" t="str">
        <f>HYPERLINK("http://service.sap.com/sap/support/notes/1544024","1544024")</f>
        <v>1544024</v>
      </c>
      <c r="E7370">
        <v>1</v>
      </c>
      <c r="F7370" t="s">
        <v>7059</v>
      </c>
    </row>
    <row r="7371" spans="1:6" x14ac:dyDescent="0.25">
      <c r="A7371" t="s">
        <v>7075</v>
      </c>
      <c r="B7371" t="s">
        <v>4144</v>
      </c>
      <c r="C7371" t="s">
        <v>4145</v>
      </c>
      <c r="D7371" t="str">
        <f>HYPERLINK("http://service.sap.com/sap/support/notes/1544385","1544385")</f>
        <v>1544385</v>
      </c>
      <c r="E7371">
        <v>1</v>
      </c>
      <c r="F7371" t="s">
        <v>6985</v>
      </c>
    </row>
    <row r="7372" spans="1:6" x14ac:dyDescent="0.25">
      <c r="A7372" t="s">
        <v>7075</v>
      </c>
      <c r="B7372" t="s">
        <v>4144</v>
      </c>
      <c r="C7372" t="s">
        <v>4145</v>
      </c>
      <c r="D7372" t="str">
        <f>HYPERLINK("http://service.sap.com/sap/support/notes/1548337","1548337")</f>
        <v>1548337</v>
      </c>
      <c r="E7372">
        <v>1</v>
      </c>
      <c r="F7372" t="s">
        <v>7060</v>
      </c>
    </row>
    <row r="7373" spans="1:6" x14ac:dyDescent="0.25">
      <c r="A7373" t="s">
        <v>7075</v>
      </c>
      <c r="B7373" t="s">
        <v>4144</v>
      </c>
      <c r="C7373" t="s">
        <v>4145</v>
      </c>
      <c r="D7373" t="str">
        <f>HYPERLINK("http://service.sap.com/sap/support/notes/1551366","1551366")</f>
        <v>1551366</v>
      </c>
      <c r="E7373">
        <v>1</v>
      </c>
      <c r="F7373" t="s">
        <v>7061</v>
      </c>
    </row>
    <row r="7374" spans="1:6" x14ac:dyDescent="0.25">
      <c r="A7374" t="s">
        <v>7075</v>
      </c>
      <c r="B7374" t="s">
        <v>126</v>
      </c>
      <c r="C7374" t="s">
        <v>127</v>
      </c>
    </row>
    <row r="7375" spans="1:6" x14ac:dyDescent="0.25">
      <c r="A7375" t="s">
        <v>7075</v>
      </c>
      <c r="B7375" t="s">
        <v>824</v>
      </c>
      <c r="C7375" t="s">
        <v>1777</v>
      </c>
    </row>
    <row r="7376" spans="1:6" x14ac:dyDescent="0.25">
      <c r="A7376" t="s">
        <v>7075</v>
      </c>
      <c r="B7376" t="s">
        <v>825</v>
      </c>
      <c r="C7376" t="s">
        <v>1778</v>
      </c>
      <c r="D7376" t="str">
        <f>HYPERLINK("http://service.sap.com/sap/support/notes/1404863","1404863")</f>
        <v>1404863</v>
      </c>
      <c r="E7376">
        <v>3</v>
      </c>
      <c r="F7376" t="s">
        <v>7062</v>
      </c>
    </row>
    <row r="7377" spans="1:6" x14ac:dyDescent="0.25">
      <c r="A7377" t="s">
        <v>7075</v>
      </c>
      <c r="B7377" t="s">
        <v>825</v>
      </c>
      <c r="C7377" t="s">
        <v>1778</v>
      </c>
      <c r="D7377" t="str">
        <f>HYPERLINK("http://service.sap.com/sap/support/notes/1524441","1524441")</f>
        <v>1524441</v>
      </c>
      <c r="E7377">
        <v>1</v>
      </c>
      <c r="F7377" t="s">
        <v>7063</v>
      </c>
    </row>
    <row r="7378" spans="1:6" x14ac:dyDescent="0.25">
      <c r="A7378" t="s">
        <v>7075</v>
      </c>
      <c r="B7378" t="s">
        <v>825</v>
      </c>
      <c r="C7378" t="s">
        <v>1778</v>
      </c>
      <c r="D7378" t="str">
        <f>HYPERLINK("http://service.sap.com/sap/support/notes/1537377","1537377")</f>
        <v>1537377</v>
      </c>
      <c r="E7378">
        <v>1</v>
      </c>
      <c r="F7378" t="s">
        <v>7064</v>
      </c>
    </row>
    <row r="7379" spans="1:6" x14ac:dyDescent="0.25">
      <c r="A7379" t="s">
        <v>7075</v>
      </c>
      <c r="B7379" t="s">
        <v>825</v>
      </c>
      <c r="C7379" t="s">
        <v>1778</v>
      </c>
      <c r="D7379" t="str">
        <f>HYPERLINK("http://service.sap.com/sap/support/notes/1539048","1539048")</f>
        <v>1539048</v>
      </c>
      <c r="E7379">
        <v>2</v>
      </c>
      <c r="F7379" t="s">
        <v>7065</v>
      </c>
    </row>
    <row r="7380" spans="1:6" x14ac:dyDescent="0.25">
      <c r="A7380" t="s">
        <v>7075</v>
      </c>
      <c r="B7380" t="s">
        <v>825</v>
      </c>
      <c r="C7380" t="s">
        <v>1778</v>
      </c>
      <c r="D7380" t="str">
        <f>HYPERLINK("http://service.sap.com/sap/support/notes/1541157","1541157")</f>
        <v>1541157</v>
      </c>
      <c r="E7380">
        <v>1</v>
      </c>
      <c r="F7380" t="s">
        <v>7066</v>
      </c>
    </row>
    <row r="7381" spans="1:6" x14ac:dyDescent="0.25">
      <c r="A7381" t="s">
        <v>7075</v>
      </c>
      <c r="B7381" t="s">
        <v>825</v>
      </c>
      <c r="C7381" t="s">
        <v>1778</v>
      </c>
      <c r="D7381" t="str">
        <f>HYPERLINK("http://service.sap.com/sap/support/notes/1546250","1546250")</f>
        <v>1546250</v>
      </c>
      <c r="E7381">
        <v>1</v>
      </c>
      <c r="F7381" t="s">
        <v>7067</v>
      </c>
    </row>
    <row r="7382" spans="1:6" x14ac:dyDescent="0.25">
      <c r="A7382" t="s">
        <v>7075</v>
      </c>
      <c r="B7382" t="s">
        <v>131</v>
      </c>
      <c r="C7382" t="s">
        <v>132</v>
      </c>
    </row>
    <row r="7383" spans="1:6" x14ac:dyDescent="0.25">
      <c r="A7383" t="s">
        <v>7075</v>
      </c>
      <c r="B7383" t="s">
        <v>155</v>
      </c>
      <c r="C7383" t="s">
        <v>156</v>
      </c>
      <c r="D7383" t="str">
        <f>HYPERLINK("http://service.sap.com/sap/support/notes/1541067","1541067")</f>
        <v>1541067</v>
      </c>
      <c r="E7383">
        <v>1</v>
      </c>
      <c r="F7383" t="s">
        <v>1490</v>
      </c>
    </row>
    <row r="7384" spans="1:6" x14ac:dyDescent="0.25">
      <c r="A7384" t="s">
        <v>7075</v>
      </c>
      <c r="B7384" t="s">
        <v>201</v>
      </c>
      <c r="C7384" t="s">
        <v>202</v>
      </c>
    </row>
    <row r="7385" spans="1:6" x14ac:dyDescent="0.25">
      <c r="A7385" t="s">
        <v>7075</v>
      </c>
      <c r="B7385" t="s">
        <v>964</v>
      </c>
      <c r="C7385" t="s">
        <v>299</v>
      </c>
      <c r="D7385" t="str">
        <f>HYPERLINK("http://service.sap.com/sap/support/notes/1546157","1546157")</f>
        <v>1546157</v>
      </c>
      <c r="E7385">
        <v>2</v>
      </c>
      <c r="F7385" t="s">
        <v>1508</v>
      </c>
    </row>
    <row r="7386" spans="1:6" x14ac:dyDescent="0.25">
      <c r="A7386" t="s">
        <v>7075</v>
      </c>
      <c r="B7386" t="s">
        <v>964</v>
      </c>
      <c r="C7386" t="s">
        <v>299</v>
      </c>
      <c r="D7386" t="str">
        <f>HYPERLINK("http://service.sap.com/sap/support/notes/1546637","1546637")</f>
        <v>1546637</v>
      </c>
      <c r="E7386">
        <v>1</v>
      </c>
      <c r="F7386" t="s">
        <v>7068</v>
      </c>
    </row>
    <row r="7387" spans="1:6" x14ac:dyDescent="0.25">
      <c r="A7387" t="s">
        <v>7075</v>
      </c>
      <c r="B7387" t="s">
        <v>226</v>
      </c>
      <c r="C7387" t="s">
        <v>52</v>
      </c>
    </row>
    <row r="7388" spans="1:6" x14ac:dyDescent="0.25">
      <c r="A7388" t="s">
        <v>7075</v>
      </c>
      <c r="B7388" t="s">
        <v>235</v>
      </c>
      <c r="C7388" t="s">
        <v>236</v>
      </c>
    </row>
    <row r="7389" spans="1:6" x14ac:dyDescent="0.25">
      <c r="A7389" t="s">
        <v>7075</v>
      </c>
      <c r="B7389" t="s">
        <v>246</v>
      </c>
      <c r="C7389" t="s">
        <v>247</v>
      </c>
      <c r="D7389" t="str">
        <f>HYPERLINK("http://service.sap.com/sap/support/notes/1545839","1545839")</f>
        <v>1545839</v>
      </c>
      <c r="E7389">
        <v>1</v>
      </c>
      <c r="F7389" t="s">
        <v>7069</v>
      </c>
    </row>
    <row r="7390" spans="1:6" x14ac:dyDescent="0.25">
      <c r="A7390" t="s">
        <v>7075</v>
      </c>
      <c r="B7390" t="s">
        <v>353</v>
      </c>
      <c r="C7390" t="s">
        <v>354</v>
      </c>
      <c r="D7390" t="str">
        <f>HYPERLINK("http://service.sap.com/sap/support/notes/1499295","1499295")</f>
        <v>1499295</v>
      </c>
      <c r="E7390">
        <v>1</v>
      </c>
      <c r="F7390" t="s">
        <v>6386</v>
      </c>
    </row>
    <row r="7391" spans="1:6" x14ac:dyDescent="0.25">
      <c r="A7391" t="s">
        <v>7075</v>
      </c>
      <c r="B7391" t="s">
        <v>363</v>
      </c>
      <c r="C7391" t="s">
        <v>74</v>
      </c>
      <c r="D7391" t="str">
        <f>HYPERLINK("http://service.sap.com/sap/support/notes/1528165","1528165")</f>
        <v>1528165</v>
      </c>
      <c r="E7391">
        <v>2</v>
      </c>
      <c r="F7391" t="s">
        <v>1161</v>
      </c>
    </row>
    <row r="7392" spans="1:6" x14ac:dyDescent="0.25">
      <c r="A7392" t="s">
        <v>7075</v>
      </c>
      <c r="B7392" t="s">
        <v>363</v>
      </c>
      <c r="C7392" t="s">
        <v>74</v>
      </c>
      <c r="D7392" t="str">
        <f>HYPERLINK("http://service.sap.com/sap/support/notes/1542951","1542951")</f>
        <v>1542951</v>
      </c>
      <c r="E7392">
        <v>1</v>
      </c>
      <c r="F7392" t="s">
        <v>7070</v>
      </c>
    </row>
    <row r="7393" spans="1:6" x14ac:dyDescent="0.25">
      <c r="A7393" t="s">
        <v>7075</v>
      </c>
      <c r="B7393" t="s">
        <v>371</v>
      </c>
      <c r="C7393" t="s">
        <v>372</v>
      </c>
      <c r="D7393" t="str">
        <f>HYPERLINK("http://service.sap.com/sap/support/notes/1533043","1533043")</f>
        <v>1533043</v>
      </c>
      <c r="E7393">
        <v>2</v>
      </c>
      <c r="F7393" t="s">
        <v>7071</v>
      </c>
    </row>
    <row r="7394" spans="1:6" x14ac:dyDescent="0.25">
      <c r="A7394" t="s">
        <v>7075</v>
      </c>
      <c r="B7394" t="s">
        <v>396</v>
      </c>
      <c r="C7394" t="s">
        <v>397</v>
      </c>
      <c r="D7394" t="str">
        <f>HYPERLINK("http://service.sap.com/sap/support/notes/1346548","1346548")</f>
        <v>1346548</v>
      </c>
      <c r="E7394">
        <v>1</v>
      </c>
      <c r="F7394" t="s">
        <v>2841</v>
      </c>
    </row>
    <row r="7395" spans="1:6" x14ac:dyDescent="0.25">
      <c r="A7395" t="s">
        <v>7075</v>
      </c>
      <c r="B7395" t="s">
        <v>460</v>
      </c>
      <c r="C7395" t="s">
        <v>461</v>
      </c>
      <c r="D7395" t="str">
        <f>HYPERLINK("http://service.sap.com/sap/support/notes/1549448","1549448")</f>
        <v>1549448</v>
      </c>
      <c r="E7395">
        <v>5</v>
      </c>
      <c r="F7395" t="s">
        <v>7072</v>
      </c>
    </row>
    <row r="7396" spans="1:6" x14ac:dyDescent="0.25">
      <c r="A7396" t="s">
        <v>7075</v>
      </c>
      <c r="B7396" t="s">
        <v>472</v>
      </c>
      <c r="C7396" t="s">
        <v>473</v>
      </c>
    </row>
    <row r="7397" spans="1:6" x14ac:dyDescent="0.25">
      <c r="A7397" t="s">
        <v>7075</v>
      </c>
      <c r="B7397" t="s">
        <v>476</v>
      </c>
      <c r="C7397" t="s">
        <v>477</v>
      </c>
      <c r="D7397" t="str">
        <f>HYPERLINK("http://service.sap.com/sap/support/notes/1546304","1546304")</f>
        <v>1546304</v>
      </c>
      <c r="E7397">
        <v>1</v>
      </c>
      <c r="F7397" t="s">
        <v>7073</v>
      </c>
    </row>
    <row r="7398" spans="1:6" x14ac:dyDescent="0.25">
      <c r="A7398" t="s">
        <v>7075</v>
      </c>
      <c r="B7398" t="s">
        <v>476</v>
      </c>
      <c r="C7398" t="s">
        <v>477</v>
      </c>
      <c r="D7398" t="str">
        <f>HYPERLINK("http://service.sap.com/sap/support/notes/1546825","1546825")</f>
        <v>1546825</v>
      </c>
      <c r="E7398">
        <v>1</v>
      </c>
      <c r="F7398" t="s">
        <v>7074</v>
      </c>
    </row>
    <row r="7399" spans="1:6" x14ac:dyDescent="0.25">
      <c r="A7399" t="s">
        <v>7075</v>
      </c>
      <c r="B7399" t="s">
        <v>543</v>
      </c>
      <c r="C7399" t="s">
        <v>544</v>
      </c>
    </row>
    <row r="7400" spans="1:6" x14ac:dyDescent="0.25">
      <c r="A7400" t="s">
        <v>7075</v>
      </c>
      <c r="B7400" t="s">
        <v>5776</v>
      </c>
      <c r="C7400" t="s">
        <v>5777</v>
      </c>
    </row>
    <row r="7401" spans="1:6" x14ac:dyDescent="0.25">
      <c r="A7401" t="s">
        <v>7075</v>
      </c>
      <c r="B7401" t="s">
        <v>5778</v>
      </c>
      <c r="C7401" t="s">
        <v>5779</v>
      </c>
      <c r="D7401" t="str">
        <f>HYPERLINK("http://service.sap.com/sap/support/notes/1443145","1443145")</f>
        <v>1443145</v>
      </c>
      <c r="E7401">
        <v>1</v>
      </c>
      <c r="F7401" t="s">
        <v>5780</v>
      </c>
    </row>
    <row r="7402" spans="1:6" x14ac:dyDescent="0.25">
      <c r="A7402" t="s">
        <v>7203</v>
      </c>
      <c r="B7402" t="s">
        <v>5</v>
      </c>
      <c r="C7402" t="s">
        <v>6</v>
      </c>
    </row>
    <row r="7403" spans="1:6" x14ac:dyDescent="0.25">
      <c r="A7403" t="s">
        <v>7203</v>
      </c>
      <c r="B7403" t="s">
        <v>7</v>
      </c>
      <c r="C7403" t="s">
        <v>8</v>
      </c>
    </row>
    <row r="7404" spans="1:6" x14ac:dyDescent="0.25">
      <c r="A7404" t="s">
        <v>7203</v>
      </c>
      <c r="B7404" t="s">
        <v>9</v>
      </c>
      <c r="C7404" t="s">
        <v>10</v>
      </c>
      <c r="D7404" t="str">
        <f>HYPERLINK("http://service.sap.com/sap/support/notes/1393097","1393097")</f>
        <v>1393097</v>
      </c>
      <c r="E7404">
        <v>6</v>
      </c>
      <c r="F7404" t="s">
        <v>7076</v>
      </c>
    </row>
    <row r="7405" spans="1:6" x14ac:dyDescent="0.25">
      <c r="A7405" t="s">
        <v>7203</v>
      </c>
      <c r="B7405" t="s">
        <v>573</v>
      </c>
      <c r="C7405" t="s">
        <v>4037</v>
      </c>
    </row>
    <row r="7406" spans="1:6" x14ac:dyDescent="0.25">
      <c r="A7406" t="s">
        <v>7203</v>
      </c>
      <c r="B7406" t="s">
        <v>4043</v>
      </c>
      <c r="C7406" t="s">
        <v>4044</v>
      </c>
    </row>
    <row r="7407" spans="1:6" x14ac:dyDescent="0.25">
      <c r="A7407" t="s">
        <v>7203</v>
      </c>
      <c r="B7407" t="s">
        <v>4045</v>
      </c>
      <c r="C7407" t="s">
        <v>4046</v>
      </c>
    </row>
    <row r="7408" spans="1:6" x14ac:dyDescent="0.25">
      <c r="A7408" t="s">
        <v>7203</v>
      </c>
      <c r="B7408" t="s">
        <v>4047</v>
      </c>
      <c r="C7408" t="s">
        <v>4048</v>
      </c>
      <c r="D7408" t="str">
        <f>HYPERLINK("http://service.sap.com/sap/support/notes/1552077","1552077")</f>
        <v>1552077</v>
      </c>
      <c r="E7408">
        <v>1</v>
      </c>
      <c r="F7408" t="s">
        <v>4197</v>
      </c>
    </row>
    <row r="7409" spans="1:6" x14ac:dyDescent="0.25">
      <c r="A7409" t="s">
        <v>7203</v>
      </c>
      <c r="B7409" t="s">
        <v>4047</v>
      </c>
      <c r="C7409" t="s">
        <v>4048</v>
      </c>
      <c r="D7409" t="str">
        <f>HYPERLINK("http://service.sap.com/sap/support/notes/1558102","1558102")</f>
        <v>1558102</v>
      </c>
      <c r="E7409">
        <v>1</v>
      </c>
      <c r="F7409" t="s">
        <v>7077</v>
      </c>
    </row>
    <row r="7410" spans="1:6" x14ac:dyDescent="0.25">
      <c r="A7410" t="s">
        <v>7203</v>
      </c>
      <c r="B7410" t="s">
        <v>4047</v>
      </c>
      <c r="C7410" t="s">
        <v>4048</v>
      </c>
      <c r="D7410" t="str">
        <f>HYPERLINK("http://service.sap.com/sap/support/notes/1559946","1559946")</f>
        <v>1559946</v>
      </c>
      <c r="E7410">
        <v>3</v>
      </c>
      <c r="F7410" t="s">
        <v>7078</v>
      </c>
    </row>
    <row r="7411" spans="1:6" x14ac:dyDescent="0.25">
      <c r="A7411" t="s">
        <v>7203</v>
      </c>
      <c r="B7411" t="s">
        <v>20</v>
      </c>
      <c r="C7411" t="s">
        <v>21</v>
      </c>
    </row>
    <row r="7412" spans="1:6" x14ac:dyDescent="0.25">
      <c r="A7412" t="s">
        <v>7203</v>
      </c>
      <c r="B7412" t="s">
        <v>22</v>
      </c>
      <c r="C7412" t="s">
        <v>23</v>
      </c>
      <c r="D7412" t="str">
        <f>HYPERLINK("http://service.sap.com/sap/support/notes/1482366","1482366")</f>
        <v>1482366</v>
      </c>
      <c r="E7412">
        <v>2</v>
      </c>
      <c r="F7412" t="s">
        <v>7079</v>
      </c>
    </row>
    <row r="7413" spans="1:6" x14ac:dyDescent="0.25">
      <c r="A7413" t="s">
        <v>7203</v>
      </c>
      <c r="B7413" t="s">
        <v>22</v>
      </c>
      <c r="C7413" t="s">
        <v>23</v>
      </c>
      <c r="D7413" t="str">
        <f>HYPERLINK("http://service.sap.com/sap/support/notes/1515394","1515394")</f>
        <v>1515394</v>
      </c>
      <c r="E7413">
        <v>1</v>
      </c>
      <c r="F7413" t="s">
        <v>6551</v>
      </c>
    </row>
    <row r="7414" spans="1:6" x14ac:dyDescent="0.25">
      <c r="A7414" t="s">
        <v>7203</v>
      </c>
      <c r="B7414" t="s">
        <v>22</v>
      </c>
      <c r="C7414" t="s">
        <v>23</v>
      </c>
      <c r="D7414" t="str">
        <f>HYPERLINK("http://service.sap.com/sap/support/notes/1520507","1520507")</f>
        <v>1520507</v>
      </c>
      <c r="E7414">
        <v>1</v>
      </c>
      <c r="F7414" t="s">
        <v>7080</v>
      </c>
    </row>
    <row r="7415" spans="1:6" x14ac:dyDescent="0.25">
      <c r="A7415" t="s">
        <v>7203</v>
      </c>
      <c r="B7415" t="s">
        <v>22</v>
      </c>
      <c r="C7415" t="s">
        <v>23</v>
      </c>
      <c r="D7415" t="str">
        <f>HYPERLINK("http://service.sap.com/sap/support/notes/1537067","1537067")</f>
        <v>1537067</v>
      </c>
      <c r="E7415">
        <v>8</v>
      </c>
      <c r="F7415" t="s">
        <v>6873</v>
      </c>
    </row>
    <row r="7416" spans="1:6" x14ac:dyDescent="0.25">
      <c r="A7416" t="s">
        <v>7203</v>
      </c>
      <c r="B7416" t="s">
        <v>22</v>
      </c>
      <c r="C7416" t="s">
        <v>23</v>
      </c>
      <c r="D7416" t="str">
        <f>HYPERLINK("http://service.sap.com/sap/support/notes/1552033","1552033")</f>
        <v>1552033</v>
      </c>
      <c r="E7416">
        <v>8</v>
      </c>
      <c r="F7416" t="s">
        <v>7081</v>
      </c>
    </row>
    <row r="7417" spans="1:6" x14ac:dyDescent="0.25">
      <c r="A7417" t="s">
        <v>7203</v>
      </c>
      <c r="B7417" t="s">
        <v>22</v>
      </c>
      <c r="C7417" t="s">
        <v>23</v>
      </c>
      <c r="D7417" t="str">
        <f>HYPERLINK("http://service.sap.com/sap/support/notes/1552958","1552958")</f>
        <v>1552958</v>
      </c>
      <c r="E7417">
        <v>1</v>
      </c>
      <c r="F7417" t="s">
        <v>7082</v>
      </c>
    </row>
    <row r="7418" spans="1:6" x14ac:dyDescent="0.25">
      <c r="A7418" t="s">
        <v>7203</v>
      </c>
      <c r="B7418" t="s">
        <v>22</v>
      </c>
      <c r="C7418" t="s">
        <v>23</v>
      </c>
      <c r="D7418" t="str">
        <f>HYPERLINK("http://service.sap.com/sap/support/notes/1554594","1554594")</f>
        <v>1554594</v>
      </c>
      <c r="E7418">
        <v>1</v>
      </c>
      <c r="F7418" t="s">
        <v>7083</v>
      </c>
    </row>
    <row r="7419" spans="1:6" x14ac:dyDescent="0.25">
      <c r="A7419" t="s">
        <v>7203</v>
      </c>
      <c r="B7419" t="s">
        <v>22</v>
      </c>
      <c r="C7419" t="s">
        <v>23</v>
      </c>
      <c r="D7419" t="str">
        <f>HYPERLINK("http://service.sap.com/sap/support/notes/1554866","1554866")</f>
        <v>1554866</v>
      </c>
      <c r="E7419">
        <v>1</v>
      </c>
      <c r="F7419" t="s">
        <v>7084</v>
      </c>
    </row>
    <row r="7420" spans="1:6" x14ac:dyDescent="0.25">
      <c r="A7420" t="s">
        <v>7203</v>
      </c>
      <c r="B7420" t="s">
        <v>22</v>
      </c>
      <c r="C7420" t="s">
        <v>23</v>
      </c>
      <c r="D7420" t="str">
        <f>HYPERLINK("http://service.sap.com/sap/support/notes/1554949","1554949")</f>
        <v>1554949</v>
      </c>
      <c r="E7420">
        <v>1</v>
      </c>
      <c r="F7420" t="s">
        <v>7085</v>
      </c>
    </row>
    <row r="7421" spans="1:6" x14ac:dyDescent="0.25">
      <c r="A7421" t="s">
        <v>7203</v>
      </c>
      <c r="B7421" t="s">
        <v>22</v>
      </c>
      <c r="C7421" t="s">
        <v>23</v>
      </c>
      <c r="D7421" t="str">
        <f>HYPERLINK("http://service.sap.com/sap/support/notes/1557872","1557872")</f>
        <v>1557872</v>
      </c>
      <c r="E7421">
        <v>2</v>
      </c>
      <c r="F7421" t="s">
        <v>7086</v>
      </c>
    </row>
    <row r="7422" spans="1:6" x14ac:dyDescent="0.25">
      <c r="A7422" t="s">
        <v>7203</v>
      </c>
      <c r="B7422" t="s">
        <v>22</v>
      </c>
      <c r="C7422" t="s">
        <v>23</v>
      </c>
      <c r="D7422" t="str">
        <f>HYPERLINK("http://service.sap.com/sap/support/notes/1559740","1559740")</f>
        <v>1559740</v>
      </c>
      <c r="E7422">
        <v>2</v>
      </c>
      <c r="F7422" t="s">
        <v>7087</v>
      </c>
    </row>
    <row r="7423" spans="1:6" x14ac:dyDescent="0.25">
      <c r="A7423" t="s">
        <v>7203</v>
      </c>
      <c r="B7423" t="s">
        <v>22</v>
      </c>
      <c r="C7423" t="s">
        <v>23</v>
      </c>
      <c r="D7423" t="str">
        <f>HYPERLINK("http://service.sap.com/sap/support/notes/1559782","1559782")</f>
        <v>1559782</v>
      </c>
      <c r="E7423">
        <v>1</v>
      </c>
      <c r="F7423" t="s">
        <v>7088</v>
      </c>
    </row>
    <row r="7424" spans="1:6" x14ac:dyDescent="0.25">
      <c r="A7424" t="s">
        <v>7203</v>
      </c>
      <c r="B7424" t="s">
        <v>24</v>
      </c>
      <c r="C7424" t="s">
        <v>25</v>
      </c>
      <c r="D7424" t="str">
        <f>HYPERLINK("http://service.sap.com/sap/support/notes/1514869","1514869")</f>
        <v>1514869</v>
      </c>
      <c r="E7424">
        <v>2</v>
      </c>
      <c r="F7424" t="s">
        <v>7089</v>
      </c>
    </row>
    <row r="7425" spans="1:6" x14ac:dyDescent="0.25">
      <c r="A7425" t="s">
        <v>7203</v>
      </c>
      <c r="B7425" t="s">
        <v>24</v>
      </c>
      <c r="C7425" t="s">
        <v>25</v>
      </c>
      <c r="D7425" t="str">
        <f>HYPERLINK("http://service.sap.com/sap/support/notes/1545607","1545607")</f>
        <v>1545607</v>
      </c>
      <c r="E7425">
        <v>1</v>
      </c>
      <c r="F7425" t="s">
        <v>7090</v>
      </c>
    </row>
    <row r="7426" spans="1:6" x14ac:dyDescent="0.25">
      <c r="A7426" t="s">
        <v>7203</v>
      </c>
      <c r="B7426" t="s">
        <v>24</v>
      </c>
      <c r="C7426" t="s">
        <v>25</v>
      </c>
      <c r="D7426" t="str">
        <f>HYPERLINK("http://service.sap.com/sap/support/notes/1551102","1551102")</f>
        <v>1551102</v>
      </c>
      <c r="E7426">
        <v>2</v>
      </c>
      <c r="F7426" t="s">
        <v>7091</v>
      </c>
    </row>
    <row r="7427" spans="1:6" x14ac:dyDescent="0.25">
      <c r="A7427" t="s">
        <v>7203</v>
      </c>
      <c r="B7427" t="s">
        <v>24</v>
      </c>
      <c r="C7427" t="s">
        <v>25</v>
      </c>
      <c r="D7427" t="str">
        <f>HYPERLINK("http://service.sap.com/sap/support/notes/1552056","1552056")</f>
        <v>1552056</v>
      </c>
      <c r="E7427">
        <v>2</v>
      </c>
      <c r="F7427" t="s">
        <v>7092</v>
      </c>
    </row>
    <row r="7428" spans="1:6" x14ac:dyDescent="0.25">
      <c r="A7428" t="s">
        <v>7203</v>
      </c>
      <c r="B7428" t="s">
        <v>24</v>
      </c>
      <c r="C7428" t="s">
        <v>25</v>
      </c>
      <c r="D7428" t="str">
        <f>HYPERLINK("http://service.sap.com/sap/support/notes/1552480","1552480")</f>
        <v>1552480</v>
      </c>
      <c r="E7428">
        <v>2</v>
      </c>
      <c r="F7428" t="s">
        <v>7093</v>
      </c>
    </row>
    <row r="7429" spans="1:6" x14ac:dyDescent="0.25">
      <c r="A7429" t="s">
        <v>7203</v>
      </c>
      <c r="B7429" t="s">
        <v>24</v>
      </c>
      <c r="C7429" t="s">
        <v>25</v>
      </c>
      <c r="D7429" t="str">
        <f>HYPERLINK("http://service.sap.com/sap/support/notes/1552487","1552487")</f>
        <v>1552487</v>
      </c>
      <c r="E7429">
        <v>1</v>
      </c>
      <c r="F7429" t="s">
        <v>7094</v>
      </c>
    </row>
    <row r="7430" spans="1:6" x14ac:dyDescent="0.25">
      <c r="A7430" t="s">
        <v>7203</v>
      </c>
      <c r="B7430" t="s">
        <v>24</v>
      </c>
      <c r="C7430" t="s">
        <v>25</v>
      </c>
      <c r="D7430" t="str">
        <f>HYPERLINK("http://service.sap.com/sap/support/notes/1552805","1552805")</f>
        <v>1552805</v>
      </c>
      <c r="E7430">
        <v>2</v>
      </c>
      <c r="F7430" t="s">
        <v>7095</v>
      </c>
    </row>
    <row r="7431" spans="1:6" x14ac:dyDescent="0.25">
      <c r="A7431" t="s">
        <v>7203</v>
      </c>
      <c r="B7431" t="s">
        <v>24</v>
      </c>
      <c r="C7431" t="s">
        <v>25</v>
      </c>
      <c r="D7431" t="str">
        <f>HYPERLINK("http://service.sap.com/sap/support/notes/1553256","1553256")</f>
        <v>1553256</v>
      </c>
      <c r="E7431">
        <v>1</v>
      </c>
      <c r="F7431" t="s">
        <v>7096</v>
      </c>
    </row>
    <row r="7432" spans="1:6" x14ac:dyDescent="0.25">
      <c r="A7432" t="s">
        <v>7203</v>
      </c>
      <c r="B7432" t="s">
        <v>24</v>
      </c>
      <c r="C7432" t="s">
        <v>25</v>
      </c>
      <c r="D7432" t="str">
        <f>HYPERLINK("http://service.sap.com/sap/support/notes/1553385","1553385")</f>
        <v>1553385</v>
      </c>
      <c r="E7432">
        <v>1</v>
      </c>
      <c r="F7432" t="s">
        <v>7097</v>
      </c>
    </row>
    <row r="7433" spans="1:6" x14ac:dyDescent="0.25">
      <c r="A7433" t="s">
        <v>7203</v>
      </c>
      <c r="B7433" t="s">
        <v>24</v>
      </c>
      <c r="C7433" t="s">
        <v>25</v>
      </c>
      <c r="D7433" t="str">
        <f>HYPERLINK("http://service.sap.com/sap/support/notes/1554203","1554203")</f>
        <v>1554203</v>
      </c>
      <c r="E7433">
        <v>1</v>
      </c>
      <c r="F7433" t="s">
        <v>7098</v>
      </c>
    </row>
    <row r="7434" spans="1:6" x14ac:dyDescent="0.25">
      <c r="A7434" t="s">
        <v>7203</v>
      </c>
      <c r="B7434" t="s">
        <v>24</v>
      </c>
      <c r="C7434" t="s">
        <v>25</v>
      </c>
      <c r="D7434" t="str">
        <f>HYPERLINK("http://service.sap.com/sap/support/notes/1554298","1554298")</f>
        <v>1554298</v>
      </c>
      <c r="E7434">
        <v>1</v>
      </c>
      <c r="F7434" t="s">
        <v>7099</v>
      </c>
    </row>
    <row r="7435" spans="1:6" x14ac:dyDescent="0.25">
      <c r="A7435" t="s">
        <v>7203</v>
      </c>
      <c r="B7435" t="s">
        <v>24</v>
      </c>
      <c r="C7435" t="s">
        <v>25</v>
      </c>
      <c r="D7435" t="str">
        <f>HYPERLINK("http://service.sap.com/sap/support/notes/1554632","1554632")</f>
        <v>1554632</v>
      </c>
      <c r="E7435">
        <v>1</v>
      </c>
      <c r="F7435" t="s">
        <v>7100</v>
      </c>
    </row>
    <row r="7436" spans="1:6" x14ac:dyDescent="0.25">
      <c r="A7436" t="s">
        <v>7203</v>
      </c>
      <c r="B7436" t="s">
        <v>24</v>
      </c>
      <c r="C7436" t="s">
        <v>25</v>
      </c>
      <c r="D7436" t="str">
        <f>HYPERLINK("http://service.sap.com/sap/support/notes/1555436","1555436")</f>
        <v>1555436</v>
      </c>
      <c r="E7436">
        <v>2</v>
      </c>
      <c r="F7436" t="s">
        <v>7101</v>
      </c>
    </row>
    <row r="7437" spans="1:6" x14ac:dyDescent="0.25">
      <c r="A7437" t="s">
        <v>7203</v>
      </c>
      <c r="B7437" t="s">
        <v>24</v>
      </c>
      <c r="C7437" t="s">
        <v>25</v>
      </c>
      <c r="D7437" t="str">
        <f>HYPERLINK("http://service.sap.com/sap/support/notes/1555961","1555961")</f>
        <v>1555961</v>
      </c>
      <c r="E7437">
        <v>1</v>
      </c>
      <c r="F7437" t="s">
        <v>7102</v>
      </c>
    </row>
    <row r="7438" spans="1:6" x14ac:dyDescent="0.25">
      <c r="A7438" t="s">
        <v>7203</v>
      </c>
      <c r="B7438" t="s">
        <v>24</v>
      </c>
      <c r="C7438" t="s">
        <v>25</v>
      </c>
      <c r="D7438" t="str">
        <f>HYPERLINK("http://service.sap.com/sap/support/notes/1556053","1556053")</f>
        <v>1556053</v>
      </c>
      <c r="E7438">
        <v>2</v>
      </c>
      <c r="F7438" t="s">
        <v>7103</v>
      </c>
    </row>
    <row r="7439" spans="1:6" x14ac:dyDescent="0.25">
      <c r="A7439" t="s">
        <v>7203</v>
      </c>
      <c r="B7439" t="s">
        <v>24</v>
      </c>
      <c r="C7439" t="s">
        <v>25</v>
      </c>
      <c r="D7439" t="str">
        <f>HYPERLINK("http://service.sap.com/sap/support/notes/1556449","1556449")</f>
        <v>1556449</v>
      </c>
      <c r="E7439">
        <v>1</v>
      </c>
      <c r="F7439" t="s">
        <v>7104</v>
      </c>
    </row>
    <row r="7440" spans="1:6" x14ac:dyDescent="0.25">
      <c r="A7440" t="s">
        <v>7203</v>
      </c>
      <c r="B7440" t="s">
        <v>24</v>
      </c>
      <c r="C7440" t="s">
        <v>25</v>
      </c>
      <c r="D7440" t="str">
        <f>HYPERLINK("http://service.sap.com/sap/support/notes/1556811","1556811")</f>
        <v>1556811</v>
      </c>
      <c r="E7440">
        <v>1</v>
      </c>
      <c r="F7440" t="s">
        <v>7105</v>
      </c>
    </row>
    <row r="7441" spans="1:6" x14ac:dyDescent="0.25">
      <c r="A7441" t="s">
        <v>7203</v>
      </c>
      <c r="B7441" t="s">
        <v>24</v>
      </c>
      <c r="C7441" t="s">
        <v>25</v>
      </c>
      <c r="D7441" t="str">
        <f>HYPERLINK("http://service.sap.com/sap/support/notes/1557139","1557139")</f>
        <v>1557139</v>
      </c>
      <c r="E7441">
        <v>1</v>
      </c>
      <c r="F7441" t="s">
        <v>7106</v>
      </c>
    </row>
    <row r="7442" spans="1:6" x14ac:dyDescent="0.25">
      <c r="A7442" t="s">
        <v>7203</v>
      </c>
      <c r="B7442" t="s">
        <v>24</v>
      </c>
      <c r="C7442" t="s">
        <v>25</v>
      </c>
      <c r="D7442" t="str">
        <f>HYPERLINK("http://service.sap.com/sap/support/notes/1557267","1557267")</f>
        <v>1557267</v>
      </c>
      <c r="E7442">
        <v>1</v>
      </c>
      <c r="F7442" t="s">
        <v>7107</v>
      </c>
    </row>
    <row r="7443" spans="1:6" x14ac:dyDescent="0.25">
      <c r="A7443" t="s">
        <v>7203</v>
      </c>
      <c r="B7443" t="s">
        <v>24</v>
      </c>
      <c r="C7443" t="s">
        <v>25</v>
      </c>
      <c r="D7443" t="str">
        <f>HYPERLINK("http://service.sap.com/sap/support/notes/1557343","1557343")</f>
        <v>1557343</v>
      </c>
      <c r="E7443">
        <v>1</v>
      </c>
      <c r="F7443" t="s">
        <v>7108</v>
      </c>
    </row>
    <row r="7444" spans="1:6" x14ac:dyDescent="0.25">
      <c r="A7444" t="s">
        <v>7203</v>
      </c>
      <c r="B7444" t="s">
        <v>24</v>
      </c>
      <c r="C7444" t="s">
        <v>25</v>
      </c>
      <c r="D7444" t="str">
        <f>HYPERLINK("http://service.sap.com/sap/support/notes/1557682","1557682")</f>
        <v>1557682</v>
      </c>
      <c r="E7444">
        <v>1</v>
      </c>
      <c r="F7444" t="s">
        <v>7109</v>
      </c>
    </row>
    <row r="7445" spans="1:6" x14ac:dyDescent="0.25">
      <c r="A7445" t="s">
        <v>7203</v>
      </c>
      <c r="B7445" t="s">
        <v>24</v>
      </c>
      <c r="C7445" t="s">
        <v>25</v>
      </c>
      <c r="D7445" t="str">
        <f>HYPERLINK("http://service.sap.com/sap/support/notes/1557700","1557700")</f>
        <v>1557700</v>
      </c>
      <c r="E7445">
        <v>2</v>
      </c>
      <c r="F7445" t="s">
        <v>7110</v>
      </c>
    </row>
    <row r="7446" spans="1:6" x14ac:dyDescent="0.25">
      <c r="A7446" t="s">
        <v>7203</v>
      </c>
      <c r="B7446" t="s">
        <v>24</v>
      </c>
      <c r="C7446" t="s">
        <v>25</v>
      </c>
      <c r="D7446" t="str">
        <f>HYPERLINK("http://service.sap.com/sap/support/notes/1557710","1557710")</f>
        <v>1557710</v>
      </c>
      <c r="E7446">
        <v>1</v>
      </c>
      <c r="F7446" t="s">
        <v>7111</v>
      </c>
    </row>
    <row r="7447" spans="1:6" x14ac:dyDescent="0.25">
      <c r="A7447" t="s">
        <v>7203</v>
      </c>
      <c r="B7447" t="s">
        <v>24</v>
      </c>
      <c r="C7447" t="s">
        <v>25</v>
      </c>
      <c r="D7447" t="str">
        <f>HYPERLINK("http://service.sap.com/sap/support/notes/1557760","1557760")</f>
        <v>1557760</v>
      </c>
      <c r="E7447">
        <v>3</v>
      </c>
      <c r="F7447" t="s">
        <v>7112</v>
      </c>
    </row>
    <row r="7448" spans="1:6" x14ac:dyDescent="0.25">
      <c r="A7448" t="s">
        <v>7203</v>
      </c>
      <c r="B7448" t="s">
        <v>24</v>
      </c>
      <c r="C7448" t="s">
        <v>25</v>
      </c>
      <c r="D7448" t="str">
        <f>HYPERLINK("http://service.sap.com/sap/support/notes/1558317","1558317")</f>
        <v>1558317</v>
      </c>
      <c r="E7448">
        <v>1</v>
      </c>
      <c r="F7448" t="s">
        <v>7113</v>
      </c>
    </row>
    <row r="7449" spans="1:6" x14ac:dyDescent="0.25">
      <c r="A7449" t="s">
        <v>7203</v>
      </c>
      <c r="B7449" t="s">
        <v>24</v>
      </c>
      <c r="C7449" t="s">
        <v>25</v>
      </c>
      <c r="D7449" t="str">
        <f>HYPERLINK("http://service.sap.com/sap/support/notes/1558561","1558561")</f>
        <v>1558561</v>
      </c>
      <c r="E7449">
        <v>1</v>
      </c>
      <c r="F7449" t="s">
        <v>7114</v>
      </c>
    </row>
    <row r="7450" spans="1:6" x14ac:dyDescent="0.25">
      <c r="A7450" t="s">
        <v>7203</v>
      </c>
      <c r="B7450" t="s">
        <v>24</v>
      </c>
      <c r="C7450" t="s">
        <v>25</v>
      </c>
      <c r="D7450" t="str">
        <f>HYPERLINK("http://service.sap.com/sap/support/notes/1559153","1559153")</f>
        <v>1559153</v>
      </c>
      <c r="E7450">
        <v>1</v>
      </c>
      <c r="F7450" t="s">
        <v>7115</v>
      </c>
    </row>
    <row r="7451" spans="1:6" x14ac:dyDescent="0.25">
      <c r="A7451" t="s">
        <v>7203</v>
      </c>
      <c r="B7451" t="s">
        <v>24</v>
      </c>
      <c r="C7451" t="s">
        <v>25</v>
      </c>
      <c r="D7451" t="str">
        <f>HYPERLINK("http://service.sap.com/sap/support/notes/1560699","1560699")</f>
        <v>1560699</v>
      </c>
      <c r="E7451">
        <v>3</v>
      </c>
      <c r="F7451" t="s">
        <v>7116</v>
      </c>
    </row>
    <row r="7452" spans="1:6" x14ac:dyDescent="0.25">
      <c r="A7452" t="s">
        <v>7203</v>
      </c>
      <c r="B7452" t="s">
        <v>4074</v>
      </c>
      <c r="C7452" t="s">
        <v>4075</v>
      </c>
      <c r="D7452" t="str">
        <f>HYPERLINK("http://service.sap.com/sap/support/notes/1546054","1546054")</f>
        <v>1546054</v>
      </c>
      <c r="E7452">
        <v>2</v>
      </c>
      <c r="F7452" t="s">
        <v>7117</v>
      </c>
    </row>
    <row r="7453" spans="1:6" x14ac:dyDescent="0.25">
      <c r="A7453" t="s">
        <v>7203</v>
      </c>
      <c r="B7453" t="s">
        <v>4074</v>
      </c>
      <c r="C7453" t="s">
        <v>4075</v>
      </c>
      <c r="D7453" t="str">
        <f>HYPERLINK("http://service.sap.com/sap/support/notes/1549582","1549582")</f>
        <v>1549582</v>
      </c>
      <c r="E7453">
        <v>2</v>
      </c>
      <c r="F7453" t="s">
        <v>7118</v>
      </c>
    </row>
    <row r="7454" spans="1:6" x14ac:dyDescent="0.25">
      <c r="A7454" t="s">
        <v>7203</v>
      </c>
      <c r="B7454" t="s">
        <v>4074</v>
      </c>
      <c r="C7454" t="s">
        <v>4075</v>
      </c>
      <c r="D7454" t="str">
        <f>HYPERLINK("http://service.sap.com/sap/support/notes/1549907","1549907")</f>
        <v>1549907</v>
      </c>
      <c r="E7454">
        <v>1</v>
      </c>
      <c r="F7454" t="s">
        <v>7119</v>
      </c>
    </row>
    <row r="7455" spans="1:6" x14ac:dyDescent="0.25">
      <c r="A7455" t="s">
        <v>7203</v>
      </c>
      <c r="B7455" t="s">
        <v>4074</v>
      </c>
      <c r="C7455" t="s">
        <v>4075</v>
      </c>
      <c r="D7455" t="str">
        <f>HYPERLINK("http://service.sap.com/sap/support/notes/1551098","1551098")</f>
        <v>1551098</v>
      </c>
      <c r="E7455">
        <v>1</v>
      </c>
      <c r="F7455" t="s">
        <v>7120</v>
      </c>
    </row>
    <row r="7456" spans="1:6" x14ac:dyDescent="0.25">
      <c r="A7456" t="s">
        <v>7203</v>
      </c>
      <c r="B7456" t="s">
        <v>4074</v>
      </c>
      <c r="C7456" t="s">
        <v>4075</v>
      </c>
      <c r="D7456" t="str">
        <f>HYPERLINK("http://service.sap.com/sap/support/notes/1551141","1551141")</f>
        <v>1551141</v>
      </c>
      <c r="E7456">
        <v>1</v>
      </c>
      <c r="F7456" t="s">
        <v>7121</v>
      </c>
    </row>
    <row r="7457" spans="1:6" x14ac:dyDescent="0.25">
      <c r="A7457" t="s">
        <v>7203</v>
      </c>
      <c r="B7457" t="s">
        <v>4074</v>
      </c>
      <c r="C7457" t="s">
        <v>4075</v>
      </c>
      <c r="D7457" t="str">
        <f>HYPERLINK("http://service.sap.com/sap/support/notes/1552036","1552036")</f>
        <v>1552036</v>
      </c>
      <c r="E7457">
        <v>1</v>
      </c>
      <c r="F7457" t="s">
        <v>7122</v>
      </c>
    </row>
    <row r="7458" spans="1:6" x14ac:dyDescent="0.25">
      <c r="A7458" t="s">
        <v>7203</v>
      </c>
      <c r="B7458" t="s">
        <v>4074</v>
      </c>
      <c r="C7458" t="s">
        <v>4075</v>
      </c>
      <c r="D7458" t="str">
        <f>HYPERLINK("http://service.sap.com/sap/support/notes/1555164","1555164")</f>
        <v>1555164</v>
      </c>
      <c r="E7458">
        <v>1</v>
      </c>
      <c r="F7458" t="s">
        <v>7123</v>
      </c>
    </row>
    <row r="7459" spans="1:6" x14ac:dyDescent="0.25">
      <c r="A7459" t="s">
        <v>7203</v>
      </c>
      <c r="B7459" t="s">
        <v>4074</v>
      </c>
      <c r="C7459" t="s">
        <v>4075</v>
      </c>
      <c r="D7459" t="str">
        <f>HYPERLINK("http://service.sap.com/sap/support/notes/1558319","1558319")</f>
        <v>1558319</v>
      </c>
      <c r="E7459">
        <v>1</v>
      </c>
      <c r="F7459" t="s">
        <v>7124</v>
      </c>
    </row>
    <row r="7460" spans="1:6" x14ac:dyDescent="0.25">
      <c r="A7460" t="s">
        <v>7203</v>
      </c>
      <c r="B7460" t="s">
        <v>4074</v>
      </c>
      <c r="C7460" t="s">
        <v>4075</v>
      </c>
      <c r="D7460" t="str">
        <f>HYPERLINK("http://service.sap.com/sap/support/notes/1558805","1558805")</f>
        <v>1558805</v>
      </c>
      <c r="E7460">
        <v>1</v>
      </c>
      <c r="F7460" t="s">
        <v>7125</v>
      </c>
    </row>
    <row r="7461" spans="1:6" x14ac:dyDescent="0.25">
      <c r="A7461" t="s">
        <v>7203</v>
      </c>
      <c r="B7461" t="s">
        <v>4074</v>
      </c>
      <c r="C7461" t="s">
        <v>4075</v>
      </c>
      <c r="D7461" t="str">
        <f>HYPERLINK("http://service.sap.com/sap/support/notes/1559139","1559139")</f>
        <v>1559139</v>
      </c>
      <c r="E7461">
        <v>1</v>
      </c>
      <c r="F7461" t="s">
        <v>7126</v>
      </c>
    </row>
    <row r="7462" spans="1:6" x14ac:dyDescent="0.25">
      <c r="A7462" t="s">
        <v>7203</v>
      </c>
      <c r="B7462" t="s">
        <v>7127</v>
      </c>
      <c r="C7462" t="s">
        <v>7128</v>
      </c>
      <c r="D7462" t="str">
        <f>HYPERLINK("http://service.sap.com/sap/support/notes/1556844","1556844")</f>
        <v>1556844</v>
      </c>
      <c r="E7462">
        <v>1</v>
      </c>
      <c r="F7462" t="s">
        <v>7129</v>
      </c>
    </row>
    <row r="7463" spans="1:6" x14ac:dyDescent="0.25">
      <c r="A7463" t="s">
        <v>7203</v>
      </c>
      <c r="B7463" t="s">
        <v>4081</v>
      </c>
      <c r="C7463" t="s">
        <v>4082</v>
      </c>
      <c r="D7463" t="str">
        <f>HYPERLINK("http://service.sap.com/sap/support/notes/1510194","1510194")</f>
        <v>1510194</v>
      </c>
      <c r="E7463">
        <v>1</v>
      </c>
      <c r="F7463" t="s">
        <v>6592</v>
      </c>
    </row>
    <row r="7464" spans="1:6" x14ac:dyDescent="0.25">
      <c r="A7464" t="s">
        <v>7203</v>
      </c>
      <c r="B7464" t="s">
        <v>4081</v>
      </c>
      <c r="C7464" t="s">
        <v>4082</v>
      </c>
      <c r="D7464" t="str">
        <f>HYPERLINK("http://service.sap.com/sap/support/notes/1553419","1553419")</f>
        <v>1553419</v>
      </c>
      <c r="E7464">
        <v>1</v>
      </c>
      <c r="F7464" t="s">
        <v>7130</v>
      </c>
    </row>
    <row r="7465" spans="1:6" x14ac:dyDescent="0.25">
      <c r="A7465" t="s">
        <v>7203</v>
      </c>
      <c r="B7465" t="s">
        <v>4081</v>
      </c>
      <c r="C7465" t="s">
        <v>4082</v>
      </c>
      <c r="D7465" t="str">
        <f>HYPERLINK("http://service.sap.com/sap/support/notes/1554180","1554180")</f>
        <v>1554180</v>
      </c>
      <c r="E7465">
        <v>1</v>
      </c>
      <c r="F7465" t="s">
        <v>7131</v>
      </c>
    </row>
    <row r="7466" spans="1:6" x14ac:dyDescent="0.25">
      <c r="A7466" t="s">
        <v>7203</v>
      </c>
      <c r="B7466" t="s">
        <v>4081</v>
      </c>
      <c r="C7466" t="s">
        <v>4082</v>
      </c>
      <c r="D7466" t="str">
        <f>HYPERLINK("http://service.sap.com/sap/support/notes/1556909","1556909")</f>
        <v>1556909</v>
      </c>
      <c r="E7466">
        <v>2</v>
      </c>
      <c r="F7466" t="s">
        <v>7132</v>
      </c>
    </row>
    <row r="7467" spans="1:6" x14ac:dyDescent="0.25">
      <c r="A7467" t="s">
        <v>7203</v>
      </c>
      <c r="B7467" t="s">
        <v>4081</v>
      </c>
      <c r="C7467" t="s">
        <v>4082</v>
      </c>
      <c r="D7467" t="str">
        <f>HYPERLINK("http://service.sap.com/sap/support/notes/1557649","1557649")</f>
        <v>1557649</v>
      </c>
      <c r="E7467">
        <v>1</v>
      </c>
      <c r="F7467" t="s">
        <v>7133</v>
      </c>
    </row>
    <row r="7468" spans="1:6" x14ac:dyDescent="0.25">
      <c r="A7468" t="s">
        <v>7203</v>
      </c>
      <c r="B7468" t="s">
        <v>4081</v>
      </c>
      <c r="C7468" t="s">
        <v>4082</v>
      </c>
      <c r="D7468" t="str">
        <f>HYPERLINK("http://service.sap.com/sap/support/notes/1557829","1557829")</f>
        <v>1557829</v>
      </c>
      <c r="E7468">
        <v>2</v>
      </c>
      <c r="F7468" t="s">
        <v>7134</v>
      </c>
    </row>
    <row r="7469" spans="1:6" x14ac:dyDescent="0.25">
      <c r="A7469" t="s">
        <v>7203</v>
      </c>
      <c r="B7469" t="s">
        <v>4081</v>
      </c>
      <c r="C7469" t="s">
        <v>4082</v>
      </c>
      <c r="D7469" t="str">
        <f>HYPERLINK("http://service.sap.com/sap/support/notes/1558204","1558204")</f>
        <v>1558204</v>
      </c>
      <c r="E7469">
        <v>2</v>
      </c>
      <c r="F7469" t="s">
        <v>7135</v>
      </c>
    </row>
    <row r="7470" spans="1:6" x14ac:dyDescent="0.25">
      <c r="A7470" t="s">
        <v>7203</v>
      </c>
      <c r="B7470" t="s">
        <v>4081</v>
      </c>
      <c r="C7470" t="s">
        <v>4082</v>
      </c>
      <c r="D7470" t="str">
        <f>HYPERLINK("http://service.sap.com/sap/support/notes/1559543","1559543")</f>
        <v>1559543</v>
      </c>
      <c r="E7470">
        <v>2</v>
      </c>
      <c r="F7470" t="s">
        <v>7136</v>
      </c>
    </row>
    <row r="7471" spans="1:6" x14ac:dyDescent="0.25">
      <c r="A7471" t="s">
        <v>7203</v>
      </c>
      <c r="B7471" t="s">
        <v>4248</v>
      </c>
      <c r="C7471" t="s">
        <v>4249</v>
      </c>
      <c r="D7471" t="str">
        <f>HYPERLINK("http://service.sap.com/sap/support/notes/1537353","1537353")</f>
        <v>1537353</v>
      </c>
      <c r="E7471">
        <v>2</v>
      </c>
      <c r="F7471" t="s">
        <v>7137</v>
      </c>
    </row>
    <row r="7472" spans="1:6" x14ac:dyDescent="0.25">
      <c r="A7472" t="s">
        <v>7203</v>
      </c>
      <c r="B7472" t="s">
        <v>27</v>
      </c>
      <c r="C7472" t="s">
        <v>13</v>
      </c>
    </row>
    <row r="7473" spans="1:6" x14ac:dyDescent="0.25">
      <c r="A7473" t="s">
        <v>7203</v>
      </c>
      <c r="B7473" t="s">
        <v>4091</v>
      </c>
      <c r="C7473" t="s">
        <v>4092</v>
      </c>
      <c r="D7473" t="str">
        <f>HYPERLINK("http://service.sap.com/sap/support/notes/1506837","1506837")</f>
        <v>1506837</v>
      </c>
      <c r="E7473">
        <v>4</v>
      </c>
      <c r="F7473" t="s">
        <v>7138</v>
      </c>
    </row>
    <row r="7474" spans="1:6" x14ac:dyDescent="0.25">
      <c r="A7474" t="s">
        <v>7203</v>
      </c>
      <c r="B7474" t="s">
        <v>4091</v>
      </c>
      <c r="C7474" t="s">
        <v>4092</v>
      </c>
      <c r="D7474" t="str">
        <f>HYPERLINK("http://service.sap.com/sap/support/notes/1552206","1552206")</f>
        <v>1552206</v>
      </c>
      <c r="E7474">
        <v>1</v>
      </c>
      <c r="F7474" t="s">
        <v>7139</v>
      </c>
    </row>
    <row r="7475" spans="1:6" x14ac:dyDescent="0.25">
      <c r="A7475" t="s">
        <v>7203</v>
      </c>
      <c r="B7475" t="s">
        <v>4091</v>
      </c>
      <c r="C7475" t="s">
        <v>4092</v>
      </c>
      <c r="D7475" t="str">
        <f>HYPERLINK("http://service.sap.com/sap/support/notes/1553293","1553293")</f>
        <v>1553293</v>
      </c>
      <c r="E7475">
        <v>1</v>
      </c>
      <c r="F7475" t="s">
        <v>7140</v>
      </c>
    </row>
    <row r="7476" spans="1:6" x14ac:dyDescent="0.25">
      <c r="A7476" t="s">
        <v>7203</v>
      </c>
      <c r="B7476" t="s">
        <v>4091</v>
      </c>
      <c r="C7476" t="s">
        <v>4092</v>
      </c>
      <c r="D7476" t="str">
        <f>HYPERLINK("http://service.sap.com/sap/support/notes/1554934","1554934")</f>
        <v>1554934</v>
      </c>
      <c r="E7476">
        <v>2</v>
      </c>
      <c r="F7476" t="s">
        <v>7141</v>
      </c>
    </row>
    <row r="7477" spans="1:6" x14ac:dyDescent="0.25">
      <c r="A7477" t="s">
        <v>7203</v>
      </c>
      <c r="B7477" t="s">
        <v>4091</v>
      </c>
      <c r="C7477" t="s">
        <v>4092</v>
      </c>
      <c r="D7477" t="str">
        <f>HYPERLINK("http://service.sap.com/sap/support/notes/1555004","1555004")</f>
        <v>1555004</v>
      </c>
      <c r="E7477">
        <v>1</v>
      </c>
      <c r="F7477" t="s">
        <v>7142</v>
      </c>
    </row>
    <row r="7478" spans="1:6" x14ac:dyDescent="0.25">
      <c r="A7478" t="s">
        <v>7203</v>
      </c>
      <c r="B7478" t="s">
        <v>4091</v>
      </c>
      <c r="C7478" t="s">
        <v>4092</v>
      </c>
      <c r="D7478" t="str">
        <f>HYPERLINK("http://service.sap.com/sap/support/notes/1558073","1558073")</f>
        <v>1558073</v>
      </c>
      <c r="E7478">
        <v>1</v>
      </c>
      <c r="F7478" t="s">
        <v>7143</v>
      </c>
    </row>
    <row r="7479" spans="1:6" x14ac:dyDescent="0.25">
      <c r="A7479" t="s">
        <v>7203</v>
      </c>
      <c r="B7479" t="s">
        <v>2161</v>
      </c>
      <c r="C7479" t="s">
        <v>2162</v>
      </c>
      <c r="D7479" t="str">
        <f>HYPERLINK("http://service.sap.com/sap/support/notes/1539180","1539180")</f>
        <v>1539180</v>
      </c>
      <c r="E7479">
        <v>1</v>
      </c>
      <c r="F7479" t="s">
        <v>7144</v>
      </c>
    </row>
    <row r="7480" spans="1:6" x14ac:dyDescent="0.25">
      <c r="A7480" t="s">
        <v>7203</v>
      </c>
      <c r="B7480" t="s">
        <v>2161</v>
      </c>
      <c r="C7480" t="s">
        <v>2162</v>
      </c>
      <c r="D7480" t="str">
        <f>HYPERLINK("http://service.sap.com/sap/support/notes/1552065","1552065")</f>
        <v>1552065</v>
      </c>
      <c r="E7480">
        <v>1</v>
      </c>
      <c r="F7480" t="s">
        <v>7145</v>
      </c>
    </row>
    <row r="7481" spans="1:6" x14ac:dyDescent="0.25">
      <c r="A7481" t="s">
        <v>7203</v>
      </c>
      <c r="B7481" t="s">
        <v>2161</v>
      </c>
      <c r="C7481" t="s">
        <v>2162</v>
      </c>
      <c r="D7481" t="str">
        <f>HYPERLINK("http://service.sap.com/sap/support/notes/1558225","1558225")</f>
        <v>1558225</v>
      </c>
      <c r="E7481">
        <v>2</v>
      </c>
      <c r="F7481" t="s">
        <v>7146</v>
      </c>
    </row>
    <row r="7482" spans="1:6" x14ac:dyDescent="0.25">
      <c r="A7482" t="s">
        <v>7203</v>
      </c>
      <c r="B7482" t="s">
        <v>2161</v>
      </c>
      <c r="C7482" t="s">
        <v>2162</v>
      </c>
      <c r="D7482" t="str">
        <f>HYPERLINK("http://service.sap.com/sap/support/notes/1560258","1560258")</f>
        <v>1560258</v>
      </c>
      <c r="E7482">
        <v>1</v>
      </c>
      <c r="F7482" t="s">
        <v>7147</v>
      </c>
    </row>
    <row r="7483" spans="1:6" x14ac:dyDescent="0.25">
      <c r="A7483" t="s">
        <v>7203</v>
      </c>
      <c r="B7483" t="s">
        <v>4105</v>
      </c>
      <c r="C7483" t="s">
        <v>4106</v>
      </c>
      <c r="D7483" t="str">
        <f>HYPERLINK("http://service.sap.com/sap/support/notes/1547816","1547816")</f>
        <v>1547816</v>
      </c>
      <c r="E7483">
        <v>1</v>
      </c>
      <c r="F7483" t="s">
        <v>7049</v>
      </c>
    </row>
    <row r="7484" spans="1:6" x14ac:dyDescent="0.25">
      <c r="A7484" t="s">
        <v>7203</v>
      </c>
      <c r="B7484" t="s">
        <v>4260</v>
      </c>
      <c r="C7484" t="s">
        <v>4261</v>
      </c>
      <c r="D7484" t="str">
        <f>HYPERLINK("http://service.sap.com/sap/support/notes/1544397","1544397")</f>
        <v>1544397</v>
      </c>
      <c r="E7484">
        <v>8</v>
      </c>
      <c r="F7484" t="s">
        <v>7148</v>
      </c>
    </row>
    <row r="7485" spans="1:6" x14ac:dyDescent="0.25">
      <c r="A7485" t="s">
        <v>7203</v>
      </c>
      <c r="B7485" t="s">
        <v>4112</v>
      </c>
      <c r="C7485" t="s">
        <v>4113</v>
      </c>
      <c r="D7485" t="str">
        <f>HYPERLINK("http://service.sap.com/sap/support/notes/1550257","1550257")</f>
        <v>1550257</v>
      </c>
      <c r="E7485">
        <v>2</v>
      </c>
      <c r="F7485" t="s">
        <v>7052</v>
      </c>
    </row>
    <row r="7486" spans="1:6" x14ac:dyDescent="0.25">
      <c r="A7486" t="s">
        <v>7203</v>
      </c>
      <c r="B7486" t="s">
        <v>4112</v>
      </c>
      <c r="C7486" t="s">
        <v>4113</v>
      </c>
      <c r="D7486" t="str">
        <f>HYPERLINK("http://service.sap.com/sap/support/notes/1551999","1551999")</f>
        <v>1551999</v>
      </c>
      <c r="E7486">
        <v>1</v>
      </c>
      <c r="F7486" t="s">
        <v>7149</v>
      </c>
    </row>
    <row r="7487" spans="1:6" x14ac:dyDescent="0.25">
      <c r="A7487" t="s">
        <v>7203</v>
      </c>
      <c r="B7487" t="s">
        <v>4112</v>
      </c>
      <c r="C7487" t="s">
        <v>4113</v>
      </c>
      <c r="D7487" t="str">
        <f>HYPERLINK("http://service.sap.com/sap/support/notes/1556739","1556739")</f>
        <v>1556739</v>
      </c>
      <c r="E7487">
        <v>1</v>
      </c>
      <c r="F7487" t="s">
        <v>7150</v>
      </c>
    </row>
    <row r="7488" spans="1:6" x14ac:dyDescent="0.25">
      <c r="A7488" t="s">
        <v>7203</v>
      </c>
      <c r="B7488" t="s">
        <v>4112</v>
      </c>
      <c r="C7488" t="s">
        <v>4113</v>
      </c>
      <c r="D7488" t="str">
        <f>HYPERLINK("http://service.sap.com/sap/support/notes/1558344","1558344")</f>
        <v>1558344</v>
      </c>
      <c r="E7488">
        <v>2</v>
      </c>
      <c r="F7488" t="s">
        <v>7151</v>
      </c>
    </row>
    <row r="7489" spans="1:6" x14ac:dyDescent="0.25">
      <c r="A7489" t="s">
        <v>7203</v>
      </c>
      <c r="B7489" t="s">
        <v>5648</v>
      </c>
      <c r="C7489" t="s">
        <v>5649</v>
      </c>
    </row>
    <row r="7490" spans="1:6" x14ac:dyDescent="0.25">
      <c r="A7490" t="s">
        <v>7203</v>
      </c>
      <c r="B7490" t="s">
        <v>6024</v>
      </c>
      <c r="C7490" t="s">
        <v>6025</v>
      </c>
      <c r="D7490" t="str">
        <f>HYPERLINK("http://service.sap.com/sap/support/notes/1490240","1490240")</f>
        <v>1490240</v>
      </c>
      <c r="E7490">
        <v>1</v>
      </c>
      <c r="F7490" t="s">
        <v>6026</v>
      </c>
    </row>
    <row r="7491" spans="1:6" x14ac:dyDescent="0.25">
      <c r="A7491" t="s">
        <v>7203</v>
      </c>
      <c r="B7491" t="s">
        <v>6024</v>
      </c>
      <c r="C7491" t="s">
        <v>6025</v>
      </c>
      <c r="D7491" t="str">
        <f>HYPERLINK("http://service.sap.com/sap/support/notes/1491890","1491890")</f>
        <v>1491890</v>
      </c>
      <c r="E7491">
        <v>1</v>
      </c>
      <c r="F7491" t="s">
        <v>6027</v>
      </c>
    </row>
    <row r="7492" spans="1:6" x14ac:dyDescent="0.25">
      <c r="A7492" t="s">
        <v>7203</v>
      </c>
      <c r="B7492" t="s">
        <v>38</v>
      </c>
      <c r="C7492" t="s">
        <v>39</v>
      </c>
    </row>
    <row r="7493" spans="1:6" x14ac:dyDescent="0.25">
      <c r="A7493" t="s">
        <v>7203</v>
      </c>
      <c r="B7493" t="s">
        <v>7152</v>
      </c>
      <c r="C7493" t="s">
        <v>192</v>
      </c>
      <c r="D7493" t="str">
        <f>HYPERLINK("http://service.sap.com/sap/support/notes/1524831","1524831")</f>
        <v>1524831</v>
      </c>
      <c r="E7493">
        <v>3</v>
      </c>
      <c r="F7493" t="s">
        <v>7153</v>
      </c>
    </row>
    <row r="7494" spans="1:6" x14ac:dyDescent="0.25">
      <c r="A7494" t="s">
        <v>7203</v>
      </c>
      <c r="B7494" t="s">
        <v>6039</v>
      </c>
      <c r="C7494" t="s">
        <v>202</v>
      </c>
      <c r="D7494" t="str">
        <f>HYPERLINK("http://service.sap.com/sap/support/notes/1547119","1547119")</f>
        <v>1547119</v>
      </c>
      <c r="E7494">
        <v>2</v>
      </c>
      <c r="F7494" t="s">
        <v>7154</v>
      </c>
    </row>
    <row r="7495" spans="1:6" x14ac:dyDescent="0.25">
      <c r="A7495" t="s">
        <v>7203</v>
      </c>
      <c r="B7495" t="s">
        <v>6039</v>
      </c>
      <c r="C7495" t="s">
        <v>202</v>
      </c>
      <c r="D7495" t="str">
        <f>HYPERLINK("http://service.sap.com/sap/support/notes/1558900","1558900")</f>
        <v>1558900</v>
      </c>
      <c r="E7495">
        <v>1</v>
      </c>
      <c r="F7495" t="s">
        <v>7155</v>
      </c>
    </row>
    <row r="7496" spans="1:6" x14ac:dyDescent="0.25">
      <c r="A7496" t="s">
        <v>7203</v>
      </c>
      <c r="B7496" t="s">
        <v>54</v>
      </c>
      <c r="C7496" t="s">
        <v>55</v>
      </c>
      <c r="D7496" t="str">
        <f>HYPERLINK("http://service.sap.com/sap/support/notes/1559881","1559881")</f>
        <v>1559881</v>
      </c>
      <c r="E7496">
        <v>2</v>
      </c>
      <c r="F7496" t="s">
        <v>7156</v>
      </c>
    </row>
    <row r="7497" spans="1:6" x14ac:dyDescent="0.25">
      <c r="A7497" t="s">
        <v>7203</v>
      </c>
      <c r="B7497" t="s">
        <v>57</v>
      </c>
      <c r="C7497" t="s">
        <v>58</v>
      </c>
    </row>
    <row r="7498" spans="1:6" x14ac:dyDescent="0.25">
      <c r="A7498" t="s">
        <v>7203</v>
      </c>
      <c r="B7498" t="s">
        <v>59</v>
      </c>
      <c r="C7498" t="s">
        <v>60</v>
      </c>
      <c r="D7498" t="str">
        <f>HYPERLINK("http://service.sap.com/sap/support/notes/1548804","1548804")</f>
        <v>1548804</v>
      </c>
      <c r="E7498">
        <v>1</v>
      </c>
      <c r="F7498" t="s">
        <v>2169</v>
      </c>
    </row>
    <row r="7499" spans="1:6" x14ac:dyDescent="0.25">
      <c r="A7499" t="s">
        <v>7203</v>
      </c>
      <c r="B7499" t="s">
        <v>59</v>
      </c>
      <c r="C7499" t="s">
        <v>60</v>
      </c>
      <c r="D7499" t="str">
        <f>HYPERLINK("http://service.sap.com/sap/support/notes/1550387","1550387")</f>
        <v>1550387</v>
      </c>
      <c r="E7499">
        <v>1</v>
      </c>
      <c r="F7499" t="s">
        <v>2170</v>
      </c>
    </row>
    <row r="7500" spans="1:6" x14ac:dyDescent="0.25">
      <c r="A7500" t="s">
        <v>7203</v>
      </c>
      <c r="B7500" t="s">
        <v>59</v>
      </c>
      <c r="C7500" t="s">
        <v>60</v>
      </c>
      <c r="D7500" t="str">
        <f>HYPERLINK("http://service.sap.com/sap/support/notes/1554247","1554247")</f>
        <v>1554247</v>
      </c>
      <c r="E7500">
        <v>2</v>
      </c>
      <c r="F7500" t="s">
        <v>2174</v>
      </c>
    </row>
    <row r="7501" spans="1:6" x14ac:dyDescent="0.25">
      <c r="A7501" t="s">
        <v>7203</v>
      </c>
      <c r="B7501" t="s">
        <v>79</v>
      </c>
      <c r="C7501" t="s">
        <v>80</v>
      </c>
      <c r="D7501" t="str">
        <f>HYPERLINK("http://service.sap.com/sap/support/notes/1558567","1558567")</f>
        <v>1558567</v>
      </c>
      <c r="E7501">
        <v>1</v>
      </c>
      <c r="F7501" t="s">
        <v>7157</v>
      </c>
    </row>
    <row r="7502" spans="1:6" x14ac:dyDescent="0.25">
      <c r="A7502" t="s">
        <v>7203</v>
      </c>
      <c r="B7502" t="s">
        <v>86</v>
      </c>
      <c r="C7502" t="s">
        <v>87</v>
      </c>
      <c r="D7502" t="str">
        <f>HYPERLINK("http://service.sap.com/sap/support/notes/1553085","1553085")</f>
        <v>1553085</v>
      </c>
      <c r="E7502">
        <v>1</v>
      </c>
      <c r="F7502" t="s">
        <v>7158</v>
      </c>
    </row>
    <row r="7503" spans="1:6" x14ac:dyDescent="0.25">
      <c r="A7503" t="s">
        <v>7203</v>
      </c>
      <c r="B7503" t="s">
        <v>89</v>
      </c>
      <c r="C7503" t="s">
        <v>90</v>
      </c>
      <c r="D7503" t="str">
        <f>HYPERLINK("http://service.sap.com/sap/support/notes/1507786","1507786")</f>
        <v>1507786</v>
      </c>
      <c r="E7503">
        <v>1</v>
      </c>
      <c r="F7503" t="s">
        <v>6490</v>
      </c>
    </row>
    <row r="7504" spans="1:6" x14ac:dyDescent="0.25">
      <c r="A7504" t="s">
        <v>7203</v>
      </c>
      <c r="B7504" t="s">
        <v>92</v>
      </c>
      <c r="C7504" t="s">
        <v>93</v>
      </c>
      <c r="D7504" t="str">
        <f>HYPERLINK("http://service.sap.com/sap/support/notes/1553126","1553126")</f>
        <v>1553126</v>
      </c>
      <c r="E7504">
        <v>4</v>
      </c>
      <c r="F7504" t="s">
        <v>7159</v>
      </c>
    </row>
    <row r="7505" spans="1:6" x14ac:dyDescent="0.25">
      <c r="A7505" t="s">
        <v>7203</v>
      </c>
      <c r="B7505" t="s">
        <v>92</v>
      </c>
      <c r="C7505" t="s">
        <v>93</v>
      </c>
      <c r="D7505" t="str">
        <f>HYPERLINK("http://service.sap.com/sap/support/notes/1553262","1553262")</f>
        <v>1553262</v>
      </c>
      <c r="E7505">
        <v>1</v>
      </c>
      <c r="F7505" t="s">
        <v>7160</v>
      </c>
    </row>
    <row r="7506" spans="1:6" x14ac:dyDescent="0.25">
      <c r="A7506" t="s">
        <v>7203</v>
      </c>
      <c r="B7506" t="s">
        <v>92</v>
      </c>
      <c r="C7506" t="s">
        <v>93</v>
      </c>
      <c r="D7506" t="str">
        <f>HYPERLINK("http://service.sap.com/sap/support/notes/1554065","1554065")</f>
        <v>1554065</v>
      </c>
      <c r="E7506">
        <v>1</v>
      </c>
      <c r="F7506" t="s">
        <v>2187</v>
      </c>
    </row>
    <row r="7507" spans="1:6" x14ac:dyDescent="0.25">
      <c r="A7507" t="s">
        <v>7203</v>
      </c>
      <c r="B7507" t="s">
        <v>713</v>
      </c>
      <c r="C7507" t="s">
        <v>480</v>
      </c>
      <c r="D7507" t="str">
        <f>HYPERLINK("http://service.sap.com/sap/support/notes/1552341","1552341")</f>
        <v>1552341</v>
      </c>
      <c r="E7507">
        <v>1</v>
      </c>
      <c r="F7507" t="s">
        <v>7161</v>
      </c>
    </row>
    <row r="7508" spans="1:6" x14ac:dyDescent="0.25">
      <c r="A7508" t="s">
        <v>7203</v>
      </c>
      <c r="B7508" t="s">
        <v>107</v>
      </c>
      <c r="C7508" t="s">
        <v>108</v>
      </c>
      <c r="D7508" t="str">
        <f>HYPERLINK("http://service.sap.com/sap/support/notes/1502023","1502023")</f>
        <v>1502023</v>
      </c>
      <c r="E7508">
        <v>3</v>
      </c>
      <c r="F7508" t="s">
        <v>7162</v>
      </c>
    </row>
    <row r="7509" spans="1:6" x14ac:dyDescent="0.25">
      <c r="A7509" t="s">
        <v>7203</v>
      </c>
      <c r="B7509" t="s">
        <v>107</v>
      </c>
      <c r="C7509" t="s">
        <v>108</v>
      </c>
      <c r="D7509" t="str">
        <f>HYPERLINK("http://service.sap.com/sap/support/notes/1538511","1538511")</f>
        <v>1538511</v>
      </c>
      <c r="E7509">
        <v>1</v>
      </c>
      <c r="F7509" t="s">
        <v>7163</v>
      </c>
    </row>
    <row r="7510" spans="1:6" x14ac:dyDescent="0.25">
      <c r="A7510" t="s">
        <v>7203</v>
      </c>
      <c r="B7510" t="s">
        <v>6092</v>
      </c>
      <c r="C7510" t="s">
        <v>6093</v>
      </c>
      <c r="D7510" t="str">
        <f>HYPERLINK("http://service.sap.com/sap/support/notes/1150374","1150374")</f>
        <v>1150374</v>
      </c>
      <c r="E7510">
        <v>1</v>
      </c>
      <c r="F7510" t="s">
        <v>7164</v>
      </c>
    </row>
    <row r="7511" spans="1:6" x14ac:dyDescent="0.25">
      <c r="A7511" t="s">
        <v>7203</v>
      </c>
      <c r="B7511" t="s">
        <v>6092</v>
      </c>
      <c r="C7511" t="s">
        <v>6093</v>
      </c>
      <c r="D7511" t="str">
        <f>HYPERLINK("http://service.sap.com/sap/support/notes/1448056","1448056")</f>
        <v>1448056</v>
      </c>
      <c r="E7511">
        <v>2</v>
      </c>
      <c r="F7511" t="s">
        <v>7165</v>
      </c>
    </row>
    <row r="7512" spans="1:6" x14ac:dyDescent="0.25">
      <c r="A7512" t="s">
        <v>7203</v>
      </c>
      <c r="B7512" t="s">
        <v>6092</v>
      </c>
      <c r="C7512" t="s">
        <v>6093</v>
      </c>
      <c r="D7512" t="str">
        <f>HYPERLINK("http://service.sap.com/sap/support/notes/1520145","1520145")</f>
        <v>1520145</v>
      </c>
      <c r="E7512">
        <v>1</v>
      </c>
      <c r="F7512" t="s">
        <v>7166</v>
      </c>
    </row>
    <row r="7513" spans="1:6" x14ac:dyDescent="0.25">
      <c r="A7513" t="s">
        <v>7203</v>
      </c>
      <c r="B7513" t="s">
        <v>1469</v>
      </c>
      <c r="C7513" t="s">
        <v>535</v>
      </c>
      <c r="D7513" t="str">
        <f>HYPERLINK("http://service.sap.com/sap/support/notes/1550790","1550790")</f>
        <v>1550790</v>
      </c>
      <c r="E7513">
        <v>1</v>
      </c>
      <c r="F7513" t="s">
        <v>7167</v>
      </c>
    </row>
    <row r="7514" spans="1:6" x14ac:dyDescent="0.25">
      <c r="A7514" t="s">
        <v>7203</v>
      </c>
      <c r="B7514" t="s">
        <v>790</v>
      </c>
      <c r="C7514" t="s">
        <v>4125</v>
      </c>
    </row>
    <row r="7515" spans="1:6" x14ac:dyDescent="0.25">
      <c r="A7515" t="s">
        <v>7203</v>
      </c>
      <c r="B7515" t="s">
        <v>791</v>
      </c>
      <c r="C7515" t="s">
        <v>4126</v>
      </c>
      <c r="D7515" t="str">
        <f>HYPERLINK("http://service.sap.com/sap/support/notes/1550105","1550105")</f>
        <v>1550105</v>
      </c>
      <c r="E7515">
        <v>1</v>
      </c>
      <c r="F7515" t="s">
        <v>7168</v>
      </c>
    </row>
    <row r="7516" spans="1:6" x14ac:dyDescent="0.25">
      <c r="A7516" t="s">
        <v>7203</v>
      </c>
      <c r="B7516" t="s">
        <v>791</v>
      </c>
      <c r="C7516" t="s">
        <v>4126</v>
      </c>
      <c r="D7516" t="str">
        <f>HYPERLINK("http://service.sap.com/sap/support/notes/1555494","1555494")</f>
        <v>1555494</v>
      </c>
      <c r="E7516">
        <v>2</v>
      </c>
      <c r="F7516" t="s">
        <v>7169</v>
      </c>
    </row>
    <row r="7517" spans="1:6" x14ac:dyDescent="0.25">
      <c r="A7517" t="s">
        <v>7203</v>
      </c>
      <c r="B7517" t="s">
        <v>4144</v>
      </c>
      <c r="C7517" t="s">
        <v>4145</v>
      </c>
      <c r="D7517" t="str">
        <f>HYPERLINK("http://service.sap.com/sap/support/notes/1294164","1294164")</f>
        <v>1294164</v>
      </c>
      <c r="E7517">
        <v>1</v>
      </c>
      <c r="F7517" t="s">
        <v>6135</v>
      </c>
    </row>
    <row r="7518" spans="1:6" x14ac:dyDescent="0.25">
      <c r="A7518" t="s">
        <v>7203</v>
      </c>
      <c r="B7518" t="s">
        <v>4144</v>
      </c>
      <c r="C7518" t="s">
        <v>4145</v>
      </c>
      <c r="D7518" t="str">
        <f>HYPERLINK("http://service.sap.com/sap/support/notes/1550930","1550930")</f>
        <v>1550930</v>
      </c>
      <c r="E7518">
        <v>1</v>
      </c>
      <c r="F7518" t="s">
        <v>7170</v>
      </c>
    </row>
    <row r="7519" spans="1:6" x14ac:dyDescent="0.25">
      <c r="A7519" t="s">
        <v>7203</v>
      </c>
      <c r="B7519" t="s">
        <v>4144</v>
      </c>
      <c r="C7519" t="s">
        <v>4145</v>
      </c>
      <c r="D7519" t="str">
        <f>HYPERLINK("http://service.sap.com/sap/support/notes/1551456","1551456")</f>
        <v>1551456</v>
      </c>
      <c r="E7519">
        <v>1</v>
      </c>
      <c r="F7519" t="s">
        <v>7171</v>
      </c>
    </row>
    <row r="7520" spans="1:6" x14ac:dyDescent="0.25">
      <c r="A7520" t="s">
        <v>7203</v>
      </c>
      <c r="B7520" t="s">
        <v>4144</v>
      </c>
      <c r="C7520" t="s">
        <v>4145</v>
      </c>
      <c r="D7520" t="str">
        <f>HYPERLINK("http://service.sap.com/sap/support/notes/1552914","1552914")</f>
        <v>1552914</v>
      </c>
      <c r="E7520">
        <v>1</v>
      </c>
      <c r="F7520" t="s">
        <v>7172</v>
      </c>
    </row>
    <row r="7521" spans="1:6" x14ac:dyDescent="0.25">
      <c r="A7521" t="s">
        <v>7203</v>
      </c>
      <c r="B7521" t="s">
        <v>4144</v>
      </c>
      <c r="C7521" t="s">
        <v>4145</v>
      </c>
      <c r="D7521" t="str">
        <f>HYPERLINK("http://service.sap.com/sap/support/notes/1554329","1554329")</f>
        <v>1554329</v>
      </c>
      <c r="E7521">
        <v>1</v>
      </c>
      <c r="F7521" t="s">
        <v>7173</v>
      </c>
    </row>
    <row r="7522" spans="1:6" x14ac:dyDescent="0.25">
      <c r="A7522" t="s">
        <v>7203</v>
      </c>
      <c r="B7522" t="s">
        <v>4144</v>
      </c>
      <c r="C7522" t="s">
        <v>4145</v>
      </c>
      <c r="D7522" t="str">
        <f>HYPERLINK("http://service.sap.com/sap/support/notes/1554343","1554343")</f>
        <v>1554343</v>
      </c>
      <c r="E7522">
        <v>2</v>
      </c>
      <c r="F7522" t="s">
        <v>7174</v>
      </c>
    </row>
    <row r="7523" spans="1:6" x14ac:dyDescent="0.25">
      <c r="A7523" t="s">
        <v>7203</v>
      </c>
      <c r="B7523" t="s">
        <v>4144</v>
      </c>
      <c r="C7523" t="s">
        <v>4145</v>
      </c>
      <c r="D7523" t="str">
        <f>HYPERLINK("http://service.sap.com/sap/support/notes/1555976","1555976")</f>
        <v>1555976</v>
      </c>
      <c r="E7523">
        <v>1</v>
      </c>
      <c r="F7523" t="s">
        <v>7175</v>
      </c>
    </row>
    <row r="7524" spans="1:6" x14ac:dyDescent="0.25">
      <c r="A7524" t="s">
        <v>7203</v>
      </c>
      <c r="B7524" t="s">
        <v>4144</v>
      </c>
      <c r="C7524" t="s">
        <v>4145</v>
      </c>
      <c r="D7524" t="str">
        <f>HYPERLINK("http://service.sap.com/sap/support/notes/1559796","1559796")</f>
        <v>1559796</v>
      </c>
      <c r="E7524">
        <v>3</v>
      </c>
      <c r="F7524" t="s">
        <v>7176</v>
      </c>
    </row>
    <row r="7525" spans="1:6" x14ac:dyDescent="0.25">
      <c r="A7525" t="s">
        <v>7203</v>
      </c>
      <c r="B7525" t="s">
        <v>126</v>
      </c>
      <c r="C7525" t="s">
        <v>127</v>
      </c>
    </row>
    <row r="7526" spans="1:6" x14ac:dyDescent="0.25">
      <c r="A7526" t="s">
        <v>7203</v>
      </c>
      <c r="B7526" t="s">
        <v>1772</v>
      </c>
      <c r="C7526" t="s">
        <v>1773</v>
      </c>
      <c r="D7526" t="str">
        <f>HYPERLINK("http://service.sap.com/sap/support/notes/1551335","1551335")</f>
        <v>1551335</v>
      </c>
      <c r="E7526">
        <v>1</v>
      </c>
      <c r="F7526" t="s">
        <v>7177</v>
      </c>
    </row>
    <row r="7527" spans="1:6" x14ac:dyDescent="0.25">
      <c r="A7527" t="s">
        <v>7203</v>
      </c>
      <c r="B7527" t="s">
        <v>824</v>
      </c>
      <c r="C7527" t="s">
        <v>1777</v>
      </c>
    </row>
    <row r="7528" spans="1:6" x14ac:dyDescent="0.25">
      <c r="A7528" t="s">
        <v>7203</v>
      </c>
      <c r="B7528" t="s">
        <v>4416</v>
      </c>
      <c r="C7528" t="s">
        <v>4417</v>
      </c>
      <c r="D7528" t="str">
        <f>HYPERLINK("http://service.sap.com/sap/support/notes/1552629","1552629")</f>
        <v>1552629</v>
      </c>
      <c r="E7528">
        <v>1</v>
      </c>
      <c r="F7528" t="s">
        <v>7178</v>
      </c>
    </row>
    <row r="7529" spans="1:6" x14ac:dyDescent="0.25">
      <c r="A7529" t="s">
        <v>7203</v>
      </c>
      <c r="B7529" t="s">
        <v>825</v>
      </c>
      <c r="C7529" t="s">
        <v>1778</v>
      </c>
      <c r="D7529" t="str">
        <f>HYPERLINK("http://service.sap.com/sap/support/notes/1499766","1499766")</f>
        <v>1499766</v>
      </c>
      <c r="E7529">
        <v>1</v>
      </c>
      <c r="F7529" t="s">
        <v>7179</v>
      </c>
    </row>
    <row r="7530" spans="1:6" x14ac:dyDescent="0.25">
      <c r="A7530" t="s">
        <v>7203</v>
      </c>
      <c r="B7530" t="s">
        <v>825</v>
      </c>
      <c r="C7530" t="s">
        <v>1778</v>
      </c>
      <c r="D7530" t="str">
        <f>HYPERLINK("http://service.sap.com/sap/support/notes/1504259","1504259")</f>
        <v>1504259</v>
      </c>
      <c r="E7530">
        <v>2</v>
      </c>
      <c r="F7530" t="s">
        <v>7180</v>
      </c>
    </row>
    <row r="7531" spans="1:6" x14ac:dyDescent="0.25">
      <c r="A7531" t="s">
        <v>7203</v>
      </c>
      <c r="B7531" t="s">
        <v>825</v>
      </c>
      <c r="C7531" t="s">
        <v>1778</v>
      </c>
      <c r="D7531" t="str">
        <f>HYPERLINK("http://service.sap.com/sap/support/notes/1541217","1541217")</f>
        <v>1541217</v>
      </c>
      <c r="E7531">
        <v>1</v>
      </c>
      <c r="F7531" t="s">
        <v>7181</v>
      </c>
    </row>
    <row r="7532" spans="1:6" x14ac:dyDescent="0.25">
      <c r="A7532" t="s">
        <v>7203</v>
      </c>
      <c r="B7532" t="s">
        <v>825</v>
      </c>
      <c r="C7532" t="s">
        <v>1778</v>
      </c>
      <c r="D7532" t="str">
        <f>HYPERLINK("http://service.sap.com/sap/support/notes/1549476","1549476")</f>
        <v>1549476</v>
      </c>
      <c r="E7532">
        <v>1</v>
      </c>
      <c r="F7532" t="s">
        <v>7182</v>
      </c>
    </row>
    <row r="7533" spans="1:6" x14ac:dyDescent="0.25">
      <c r="A7533" t="s">
        <v>7203</v>
      </c>
      <c r="B7533" t="s">
        <v>825</v>
      </c>
      <c r="C7533" t="s">
        <v>1778</v>
      </c>
      <c r="D7533" t="str">
        <f>HYPERLINK("http://service.sap.com/sap/support/notes/1554161","1554161")</f>
        <v>1554161</v>
      </c>
      <c r="E7533">
        <v>1</v>
      </c>
      <c r="F7533" t="s">
        <v>7183</v>
      </c>
    </row>
    <row r="7534" spans="1:6" x14ac:dyDescent="0.25">
      <c r="A7534" t="s">
        <v>7203</v>
      </c>
      <c r="B7534" t="s">
        <v>825</v>
      </c>
      <c r="C7534" t="s">
        <v>1778</v>
      </c>
      <c r="D7534" t="str">
        <f>HYPERLINK("http://service.sap.com/sap/support/notes/1555358","1555358")</f>
        <v>1555358</v>
      </c>
      <c r="E7534">
        <v>1</v>
      </c>
      <c r="F7534" t="s">
        <v>7184</v>
      </c>
    </row>
    <row r="7535" spans="1:6" x14ac:dyDescent="0.25">
      <c r="A7535" t="s">
        <v>7203</v>
      </c>
      <c r="B7535" t="s">
        <v>826</v>
      </c>
      <c r="C7535" t="s">
        <v>1773</v>
      </c>
      <c r="D7535" t="str">
        <f>HYPERLINK("http://service.sap.com/sap/support/notes/1510118","1510118")</f>
        <v>1510118</v>
      </c>
      <c r="E7535">
        <v>3</v>
      </c>
      <c r="F7535" t="s">
        <v>828</v>
      </c>
    </row>
    <row r="7536" spans="1:6" x14ac:dyDescent="0.25">
      <c r="A7536" t="s">
        <v>7203</v>
      </c>
      <c r="B7536" t="s">
        <v>6182</v>
      </c>
      <c r="C7536" t="s">
        <v>6183</v>
      </c>
      <c r="D7536" t="str">
        <f>HYPERLINK("http://service.sap.com/sap/support/notes/1557069","1557069")</f>
        <v>1557069</v>
      </c>
      <c r="E7536">
        <v>1</v>
      </c>
      <c r="F7536" t="s">
        <v>7185</v>
      </c>
    </row>
    <row r="7537" spans="1:6" x14ac:dyDescent="0.25">
      <c r="A7537" t="s">
        <v>7203</v>
      </c>
      <c r="B7537" t="s">
        <v>131</v>
      </c>
      <c r="C7537" t="s">
        <v>132</v>
      </c>
    </row>
    <row r="7538" spans="1:6" x14ac:dyDescent="0.25">
      <c r="A7538" t="s">
        <v>7203</v>
      </c>
      <c r="B7538" t="s">
        <v>155</v>
      </c>
      <c r="C7538" t="s">
        <v>156</v>
      </c>
      <c r="D7538" t="str">
        <f>HYPERLINK("http://service.sap.com/sap/support/notes/1490215","1490215")</f>
        <v>1490215</v>
      </c>
      <c r="E7538">
        <v>1</v>
      </c>
      <c r="F7538" t="s">
        <v>1489</v>
      </c>
    </row>
    <row r="7539" spans="1:6" x14ac:dyDescent="0.25">
      <c r="A7539" t="s">
        <v>7203</v>
      </c>
      <c r="B7539" t="s">
        <v>155</v>
      </c>
      <c r="C7539" t="s">
        <v>156</v>
      </c>
      <c r="D7539" t="str">
        <f>HYPERLINK("http://service.sap.com/sap/support/notes/1499029","1499029")</f>
        <v>1499029</v>
      </c>
      <c r="E7539">
        <v>1</v>
      </c>
      <c r="F7539" t="s">
        <v>6852</v>
      </c>
    </row>
    <row r="7540" spans="1:6" x14ac:dyDescent="0.25">
      <c r="A7540" t="s">
        <v>7203</v>
      </c>
      <c r="B7540" t="s">
        <v>155</v>
      </c>
      <c r="C7540" t="s">
        <v>156</v>
      </c>
      <c r="D7540" t="str">
        <f>HYPERLINK("http://service.sap.com/sap/support/notes/1541067","1541067")</f>
        <v>1541067</v>
      </c>
      <c r="E7540">
        <v>2</v>
      </c>
      <c r="F7540" t="s">
        <v>1490</v>
      </c>
    </row>
    <row r="7541" spans="1:6" x14ac:dyDescent="0.25">
      <c r="A7541" t="s">
        <v>7203</v>
      </c>
      <c r="B7541" t="s">
        <v>168</v>
      </c>
      <c r="C7541" t="s">
        <v>169</v>
      </c>
      <c r="D7541" t="str">
        <f>HYPERLINK("http://service.sap.com/sap/support/notes/1554044","1554044")</f>
        <v>1554044</v>
      </c>
      <c r="E7541">
        <v>1</v>
      </c>
      <c r="F7541" t="s">
        <v>7186</v>
      </c>
    </row>
    <row r="7542" spans="1:6" x14ac:dyDescent="0.25">
      <c r="A7542" t="s">
        <v>7203</v>
      </c>
      <c r="B7542" t="s">
        <v>201</v>
      </c>
      <c r="C7542" t="s">
        <v>202</v>
      </c>
    </row>
    <row r="7543" spans="1:6" x14ac:dyDescent="0.25">
      <c r="A7543" t="s">
        <v>7203</v>
      </c>
      <c r="B7543" t="s">
        <v>964</v>
      </c>
      <c r="C7543" t="s">
        <v>299</v>
      </c>
      <c r="D7543" t="str">
        <f>HYPERLINK("http://service.sap.com/sap/support/notes/1541700","1541700")</f>
        <v>1541700</v>
      </c>
      <c r="E7543">
        <v>1</v>
      </c>
      <c r="F7543" t="s">
        <v>2265</v>
      </c>
    </row>
    <row r="7544" spans="1:6" x14ac:dyDescent="0.25">
      <c r="A7544" t="s">
        <v>7203</v>
      </c>
      <c r="B7544" t="s">
        <v>964</v>
      </c>
      <c r="C7544" t="s">
        <v>299</v>
      </c>
      <c r="D7544" t="str">
        <f>HYPERLINK("http://service.sap.com/sap/support/notes/1552667","1552667")</f>
        <v>1552667</v>
      </c>
      <c r="E7544">
        <v>1</v>
      </c>
      <c r="F7544" t="s">
        <v>2268</v>
      </c>
    </row>
    <row r="7545" spans="1:6" x14ac:dyDescent="0.25">
      <c r="A7545" t="s">
        <v>7203</v>
      </c>
      <c r="B7545" t="s">
        <v>964</v>
      </c>
      <c r="C7545" t="s">
        <v>299</v>
      </c>
      <c r="D7545" t="str">
        <f>HYPERLINK("http://service.sap.com/sap/support/notes/1554332","1554332")</f>
        <v>1554332</v>
      </c>
      <c r="E7545">
        <v>2</v>
      </c>
      <c r="F7545" t="s">
        <v>7187</v>
      </c>
    </row>
    <row r="7546" spans="1:6" x14ac:dyDescent="0.25">
      <c r="A7546" t="s">
        <v>7203</v>
      </c>
      <c r="B7546" t="s">
        <v>964</v>
      </c>
      <c r="C7546" t="s">
        <v>299</v>
      </c>
      <c r="D7546" t="str">
        <f>HYPERLINK("http://service.sap.com/sap/support/notes/1555773","1555773")</f>
        <v>1555773</v>
      </c>
      <c r="E7546">
        <v>1</v>
      </c>
      <c r="F7546" t="s">
        <v>2271</v>
      </c>
    </row>
    <row r="7547" spans="1:6" x14ac:dyDescent="0.25">
      <c r="A7547" t="s">
        <v>7203</v>
      </c>
      <c r="B7547" t="s">
        <v>2275</v>
      </c>
      <c r="C7547" t="s">
        <v>2276</v>
      </c>
      <c r="D7547" t="str">
        <f>HYPERLINK("http://service.sap.com/sap/support/notes/1555793","1555793")</f>
        <v>1555793</v>
      </c>
      <c r="E7547">
        <v>1</v>
      </c>
      <c r="F7547" t="s">
        <v>2278</v>
      </c>
    </row>
    <row r="7548" spans="1:6" x14ac:dyDescent="0.25">
      <c r="A7548" t="s">
        <v>7203</v>
      </c>
      <c r="B7548" t="s">
        <v>226</v>
      </c>
      <c r="C7548" t="s">
        <v>52</v>
      </c>
    </row>
    <row r="7549" spans="1:6" x14ac:dyDescent="0.25">
      <c r="A7549" t="s">
        <v>7203</v>
      </c>
      <c r="B7549" t="s">
        <v>235</v>
      </c>
      <c r="C7549" t="s">
        <v>236</v>
      </c>
    </row>
    <row r="7550" spans="1:6" x14ac:dyDescent="0.25">
      <c r="A7550" t="s">
        <v>7203</v>
      </c>
      <c r="B7550" t="s">
        <v>246</v>
      </c>
      <c r="C7550" t="s">
        <v>247</v>
      </c>
      <c r="D7550" t="str">
        <f>HYPERLINK("http://service.sap.com/sap/support/notes/1534208","1534208")</f>
        <v>1534208</v>
      </c>
      <c r="E7550">
        <v>2</v>
      </c>
      <c r="F7550" t="s">
        <v>7188</v>
      </c>
    </row>
    <row r="7551" spans="1:6" x14ac:dyDescent="0.25">
      <c r="A7551" t="s">
        <v>7203</v>
      </c>
      <c r="B7551" t="s">
        <v>246</v>
      </c>
      <c r="C7551" t="s">
        <v>247</v>
      </c>
      <c r="D7551" t="str">
        <f>HYPERLINK("http://service.sap.com/sap/support/notes/1554346","1554346")</f>
        <v>1554346</v>
      </c>
      <c r="E7551">
        <v>2</v>
      </c>
      <c r="F7551" t="s">
        <v>2302</v>
      </c>
    </row>
    <row r="7552" spans="1:6" x14ac:dyDescent="0.25">
      <c r="A7552" t="s">
        <v>7203</v>
      </c>
      <c r="B7552" t="s">
        <v>246</v>
      </c>
      <c r="C7552" t="s">
        <v>247</v>
      </c>
      <c r="D7552" t="str">
        <f>HYPERLINK("http://service.sap.com/sap/support/notes/1559750","1559750")</f>
        <v>1559750</v>
      </c>
      <c r="E7552">
        <v>2</v>
      </c>
      <c r="F7552" t="s">
        <v>7189</v>
      </c>
    </row>
    <row r="7553" spans="1:6" x14ac:dyDescent="0.25">
      <c r="A7553" t="s">
        <v>7203</v>
      </c>
      <c r="B7553" t="s">
        <v>273</v>
      </c>
      <c r="C7553" t="s">
        <v>153</v>
      </c>
      <c r="D7553" t="str">
        <f>HYPERLINK("http://service.sap.com/sap/support/notes/1560006","1560006")</f>
        <v>1560006</v>
      </c>
      <c r="E7553">
        <v>2</v>
      </c>
      <c r="F7553" t="s">
        <v>2333</v>
      </c>
    </row>
    <row r="7554" spans="1:6" x14ac:dyDescent="0.25">
      <c r="A7554" t="s">
        <v>7203</v>
      </c>
      <c r="B7554" t="s">
        <v>304</v>
      </c>
      <c r="C7554" t="s">
        <v>305</v>
      </c>
      <c r="D7554" t="str">
        <f>HYPERLINK("http://service.sap.com/sap/support/notes/1017716","1017716")</f>
        <v>1017716</v>
      </c>
      <c r="E7554">
        <v>1</v>
      </c>
      <c r="F7554" t="s">
        <v>1074</v>
      </c>
    </row>
    <row r="7555" spans="1:6" x14ac:dyDescent="0.25">
      <c r="A7555" t="s">
        <v>7203</v>
      </c>
      <c r="B7555" t="s">
        <v>304</v>
      </c>
      <c r="C7555" t="s">
        <v>305</v>
      </c>
      <c r="D7555" t="str">
        <f>HYPERLINK("http://service.sap.com/sap/support/notes/1539526","1539526")</f>
        <v>1539526</v>
      </c>
      <c r="E7555">
        <v>2</v>
      </c>
      <c r="F7555" t="s">
        <v>1974</v>
      </c>
    </row>
    <row r="7556" spans="1:6" x14ac:dyDescent="0.25">
      <c r="A7556" t="s">
        <v>7203</v>
      </c>
      <c r="B7556" t="s">
        <v>343</v>
      </c>
      <c r="C7556" t="s">
        <v>344</v>
      </c>
      <c r="D7556" t="str">
        <f>HYPERLINK("http://service.sap.com/sap/support/notes/1161830","1161830")</f>
        <v>1161830</v>
      </c>
      <c r="E7556">
        <v>1</v>
      </c>
      <c r="F7556" t="s">
        <v>7190</v>
      </c>
    </row>
    <row r="7557" spans="1:6" x14ac:dyDescent="0.25">
      <c r="A7557" t="s">
        <v>7203</v>
      </c>
      <c r="B7557" t="s">
        <v>363</v>
      </c>
      <c r="C7557" t="s">
        <v>74</v>
      </c>
    </row>
    <row r="7558" spans="1:6" x14ac:dyDescent="0.25">
      <c r="A7558" t="s">
        <v>7203</v>
      </c>
      <c r="B7558" t="s">
        <v>371</v>
      </c>
      <c r="C7558" t="s">
        <v>372</v>
      </c>
      <c r="D7558" t="str">
        <f>HYPERLINK("http://service.sap.com/sap/support/notes/1531593","1531593")</f>
        <v>1531593</v>
      </c>
      <c r="E7558">
        <v>1</v>
      </c>
      <c r="F7558" t="s">
        <v>7191</v>
      </c>
    </row>
    <row r="7559" spans="1:6" x14ac:dyDescent="0.25">
      <c r="A7559" t="s">
        <v>7203</v>
      </c>
      <c r="B7559" t="s">
        <v>371</v>
      </c>
      <c r="C7559" t="s">
        <v>372</v>
      </c>
      <c r="D7559" t="str">
        <f>HYPERLINK("http://service.sap.com/sap/support/notes/1551205","1551205")</f>
        <v>1551205</v>
      </c>
      <c r="E7559">
        <v>2</v>
      </c>
      <c r="F7559" t="s">
        <v>7192</v>
      </c>
    </row>
    <row r="7560" spans="1:6" x14ac:dyDescent="0.25">
      <c r="A7560" t="s">
        <v>7203</v>
      </c>
      <c r="B7560" t="s">
        <v>371</v>
      </c>
      <c r="C7560" t="s">
        <v>372</v>
      </c>
      <c r="D7560" t="str">
        <f>HYPERLINK("http://service.sap.com/sap/support/notes/1554472","1554472")</f>
        <v>1554472</v>
      </c>
      <c r="E7560">
        <v>2</v>
      </c>
      <c r="F7560" t="s">
        <v>7193</v>
      </c>
    </row>
    <row r="7561" spans="1:6" x14ac:dyDescent="0.25">
      <c r="A7561" t="s">
        <v>7203</v>
      </c>
      <c r="B7561" t="s">
        <v>371</v>
      </c>
      <c r="C7561" t="s">
        <v>372</v>
      </c>
      <c r="D7561" t="str">
        <f>HYPERLINK("http://service.sap.com/sap/support/notes/1554611","1554611")</f>
        <v>1554611</v>
      </c>
      <c r="E7561">
        <v>1</v>
      </c>
      <c r="F7561" t="s">
        <v>7194</v>
      </c>
    </row>
    <row r="7562" spans="1:6" x14ac:dyDescent="0.25">
      <c r="A7562" t="s">
        <v>7203</v>
      </c>
      <c r="B7562" t="s">
        <v>460</v>
      </c>
      <c r="C7562" t="s">
        <v>461</v>
      </c>
      <c r="D7562" t="str">
        <f>HYPERLINK("http://service.sap.com/sap/support/notes/1559141","1559141")</f>
        <v>1559141</v>
      </c>
      <c r="E7562">
        <v>1</v>
      </c>
      <c r="F7562" t="s">
        <v>2516</v>
      </c>
    </row>
    <row r="7563" spans="1:6" x14ac:dyDescent="0.25">
      <c r="A7563" t="s">
        <v>7203</v>
      </c>
      <c r="B7563" t="s">
        <v>472</v>
      </c>
      <c r="C7563" t="s">
        <v>473</v>
      </c>
    </row>
    <row r="7564" spans="1:6" x14ac:dyDescent="0.25">
      <c r="A7564" t="s">
        <v>7203</v>
      </c>
      <c r="B7564" t="s">
        <v>476</v>
      </c>
      <c r="C7564" t="s">
        <v>477</v>
      </c>
      <c r="D7564" t="str">
        <f>HYPERLINK("http://service.sap.com/sap/support/notes/1512559","1512559")</f>
        <v>1512559</v>
      </c>
      <c r="E7564">
        <v>1</v>
      </c>
      <c r="F7564" t="s">
        <v>478</v>
      </c>
    </row>
    <row r="7565" spans="1:6" x14ac:dyDescent="0.25">
      <c r="A7565" t="s">
        <v>7203</v>
      </c>
      <c r="B7565" t="s">
        <v>476</v>
      </c>
      <c r="C7565" t="s">
        <v>477</v>
      </c>
      <c r="D7565" t="str">
        <f>HYPERLINK("http://service.sap.com/sap/support/notes/1552283","1552283")</f>
        <v>1552283</v>
      </c>
      <c r="E7565">
        <v>1</v>
      </c>
      <c r="F7565" t="s">
        <v>7195</v>
      </c>
    </row>
    <row r="7566" spans="1:6" x14ac:dyDescent="0.25">
      <c r="A7566" t="s">
        <v>7203</v>
      </c>
      <c r="B7566" t="s">
        <v>476</v>
      </c>
      <c r="C7566" t="s">
        <v>477</v>
      </c>
      <c r="D7566" t="str">
        <f>HYPERLINK("http://service.sap.com/sap/support/notes/1554777","1554777")</f>
        <v>1554777</v>
      </c>
      <c r="E7566">
        <v>1</v>
      </c>
      <c r="F7566" t="s">
        <v>7196</v>
      </c>
    </row>
    <row r="7567" spans="1:6" x14ac:dyDescent="0.25">
      <c r="A7567" t="s">
        <v>7203</v>
      </c>
      <c r="B7567" t="s">
        <v>476</v>
      </c>
      <c r="C7567" t="s">
        <v>477</v>
      </c>
      <c r="D7567" t="str">
        <f>HYPERLINK("http://service.sap.com/sap/support/notes/1559781","1559781")</f>
        <v>1559781</v>
      </c>
      <c r="E7567">
        <v>1</v>
      </c>
      <c r="F7567" t="s">
        <v>7197</v>
      </c>
    </row>
    <row r="7568" spans="1:6" x14ac:dyDescent="0.25">
      <c r="A7568" t="s">
        <v>7203</v>
      </c>
      <c r="B7568" t="s">
        <v>499</v>
      </c>
      <c r="C7568" t="s">
        <v>108</v>
      </c>
    </row>
    <row r="7569" spans="1:6" x14ac:dyDescent="0.25">
      <c r="A7569" t="s">
        <v>7203</v>
      </c>
      <c r="B7569" t="s">
        <v>505</v>
      </c>
      <c r="C7569" t="s">
        <v>299</v>
      </c>
      <c r="D7569" t="str">
        <f>HYPERLINK("http://service.sap.com/sap/support/notes/1549161","1549161")</f>
        <v>1549161</v>
      </c>
      <c r="E7569">
        <v>1</v>
      </c>
      <c r="F7569" t="s">
        <v>2546</v>
      </c>
    </row>
    <row r="7570" spans="1:6" x14ac:dyDescent="0.25">
      <c r="A7570" t="s">
        <v>7203</v>
      </c>
      <c r="B7570" t="s">
        <v>531</v>
      </c>
      <c r="C7570" t="s">
        <v>532</v>
      </c>
    </row>
    <row r="7571" spans="1:6" x14ac:dyDescent="0.25">
      <c r="A7571" t="s">
        <v>7203</v>
      </c>
      <c r="B7571" t="s">
        <v>1342</v>
      </c>
      <c r="C7571" t="s">
        <v>1343</v>
      </c>
    </row>
    <row r="7572" spans="1:6" x14ac:dyDescent="0.25">
      <c r="A7572" t="s">
        <v>7203</v>
      </c>
      <c r="B7572" t="s">
        <v>6392</v>
      </c>
      <c r="C7572" t="s">
        <v>6393</v>
      </c>
      <c r="D7572" t="str">
        <f>HYPERLINK("http://service.sap.com/sap/support/notes/1541049","1541049")</f>
        <v>1541049</v>
      </c>
      <c r="E7572">
        <v>1</v>
      </c>
      <c r="F7572" t="s">
        <v>7198</v>
      </c>
    </row>
    <row r="7573" spans="1:6" x14ac:dyDescent="0.25">
      <c r="A7573" t="s">
        <v>7203</v>
      </c>
      <c r="B7573" t="s">
        <v>6392</v>
      </c>
      <c r="C7573" t="s">
        <v>6393</v>
      </c>
      <c r="D7573" t="str">
        <f>HYPERLINK("http://service.sap.com/sap/support/notes/1551606","1551606")</f>
        <v>1551606</v>
      </c>
      <c r="E7573">
        <v>1</v>
      </c>
      <c r="F7573" t="s">
        <v>7199</v>
      </c>
    </row>
    <row r="7574" spans="1:6" x14ac:dyDescent="0.25">
      <c r="A7574" t="s">
        <v>7203</v>
      </c>
      <c r="B7574" t="s">
        <v>6392</v>
      </c>
      <c r="C7574" t="s">
        <v>6393</v>
      </c>
      <c r="D7574" t="str">
        <f>HYPERLINK("http://service.sap.com/sap/support/notes/1551645","1551645")</f>
        <v>1551645</v>
      </c>
      <c r="E7574">
        <v>1</v>
      </c>
      <c r="F7574" t="s">
        <v>7200</v>
      </c>
    </row>
    <row r="7575" spans="1:6" x14ac:dyDescent="0.25">
      <c r="A7575" t="s">
        <v>7203</v>
      </c>
      <c r="B7575" t="s">
        <v>6392</v>
      </c>
      <c r="C7575" t="s">
        <v>6393</v>
      </c>
      <c r="D7575" t="str">
        <f>HYPERLINK("http://service.sap.com/sap/support/notes/1560214","1560214")</f>
        <v>1560214</v>
      </c>
      <c r="E7575">
        <v>1</v>
      </c>
      <c r="F7575" t="s">
        <v>7201</v>
      </c>
    </row>
    <row r="7576" spans="1:6" x14ac:dyDescent="0.25">
      <c r="A7576" t="s">
        <v>7203</v>
      </c>
      <c r="B7576" t="s">
        <v>6392</v>
      </c>
      <c r="C7576" t="s">
        <v>6393</v>
      </c>
      <c r="D7576" t="str">
        <f>HYPERLINK("http://service.sap.com/sap/support/notes/1560643","1560643")</f>
        <v>1560643</v>
      </c>
      <c r="E7576">
        <v>1</v>
      </c>
      <c r="F7576" t="s">
        <v>7202</v>
      </c>
    </row>
    <row r="7577" spans="1:6" x14ac:dyDescent="0.25">
      <c r="A7577" t="s">
        <v>7322</v>
      </c>
      <c r="B7577" t="s">
        <v>573</v>
      </c>
      <c r="C7577" t="s">
        <v>4037</v>
      </c>
    </row>
    <row r="7578" spans="1:6" x14ac:dyDescent="0.25">
      <c r="A7578" t="s">
        <v>7322</v>
      </c>
      <c r="B7578" t="s">
        <v>574</v>
      </c>
      <c r="C7578" t="s">
        <v>4367</v>
      </c>
    </row>
    <row r="7579" spans="1:6" x14ac:dyDescent="0.25">
      <c r="A7579" t="s">
        <v>7322</v>
      </c>
      <c r="B7579" t="s">
        <v>578</v>
      </c>
      <c r="C7579" t="s">
        <v>7204</v>
      </c>
      <c r="D7579" t="str">
        <f>HYPERLINK("http://service.sap.com/sap/support/notes/1522376","1522376")</f>
        <v>1522376</v>
      </c>
      <c r="E7579">
        <v>3</v>
      </c>
      <c r="F7579" t="s">
        <v>7205</v>
      </c>
    </row>
    <row r="7580" spans="1:6" x14ac:dyDescent="0.25">
      <c r="A7580" t="s">
        <v>7322</v>
      </c>
      <c r="B7580" t="s">
        <v>4043</v>
      </c>
      <c r="C7580" t="s">
        <v>4044</v>
      </c>
    </row>
    <row r="7581" spans="1:6" x14ac:dyDescent="0.25">
      <c r="A7581" t="s">
        <v>7322</v>
      </c>
      <c r="B7581" t="s">
        <v>4045</v>
      </c>
      <c r="C7581" t="s">
        <v>4046</v>
      </c>
    </row>
    <row r="7582" spans="1:6" x14ac:dyDescent="0.25">
      <c r="A7582" t="s">
        <v>7322</v>
      </c>
      <c r="B7582" t="s">
        <v>4047</v>
      </c>
      <c r="C7582" t="s">
        <v>4048</v>
      </c>
      <c r="D7582" t="str">
        <f>HYPERLINK("http://service.sap.com/sap/support/notes/1508055","1508055")</f>
        <v>1508055</v>
      </c>
      <c r="E7582">
        <v>1</v>
      </c>
      <c r="F7582" t="s">
        <v>7206</v>
      </c>
    </row>
    <row r="7583" spans="1:6" x14ac:dyDescent="0.25">
      <c r="A7583" t="s">
        <v>7322</v>
      </c>
      <c r="B7583" t="s">
        <v>4047</v>
      </c>
      <c r="C7583" t="s">
        <v>4048</v>
      </c>
      <c r="D7583" t="str">
        <f>HYPERLINK("http://service.sap.com/sap/support/notes/1552077","1552077")</f>
        <v>1552077</v>
      </c>
      <c r="E7583">
        <v>1</v>
      </c>
      <c r="F7583" t="s">
        <v>4197</v>
      </c>
    </row>
    <row r="7584" spans="1:6" x14ac:dyDescent="0.25">
      <c r="A7584" t="s">
        <v>7322</v>
      </c>
      <c r="B7584" t="s">
        <v>4047</v>
      </c>
      <c r="C7584" t="s">
        <v>4048</v>
      </c>
      <c r="D7584" t="str">
        <f>HYPERLINK("http://service.sap.com/sap/support/notes/1562300","1562300")</f>
        <v>1562300</v>
      </c>
      <c r="E7584">
        <v>2</v>
      </c>
      <c r="F7584" t="s">
        <v>7207</v>
      </c>
    </row>
    <row r="7585" spans="1:6" x14ac:dyDescent="0.25">
      <c r="A7585" t="s">
        <v>7322</v>
      </c>
      <c r="B7585" t="s">
        <v>4047</v>
      </c>
      <c r="C7585" t="s">
        <v>4048</v>
      </c>
      <c r="D7585" t="str">
        <f>HYPERLINK("http://service.sap.com/sap/support/notes/1568314","1568314")</f>
        <v>1568314</v>
      </c>
      <c r="E7585">
        <v>2</v>
      </c>
      <c r="F7585" t="s">
        <v>7208</v>
      </c>
    </row>
    <row r="7586" spans="1:6" x14ac:dyDescent="0.25">
      <c r="A7586" t="s">
        <v>7322</v>
      </c>
      <c r="B7586" t="s">
        <v>585</v>
      </c>
      <c r="C7586" t="s">
        <v>1443</v>
      </c>
    </row>
    <row r="7587" spans="1:6" x14ac:dyDescent="0.25">
      <c r="A7587" t="s">
        <v>7322</v>
      </c>
      <c r="B7587" t="s">
        <v>586</v>
      </c>
      <c r="C7587" t="s">
        <v>1444</v>
      </c>
    </row>
    <row r="7588" spans="1:6" x14ac:dyDescent="0.25">
      <c r="A7588" t="s">
        <v>7322</v>
      </c>
      <c r="B7588" t="s">
        <v>587</v>
      </c>
      <c r="C7588" t="s">
        <v>1445</v>
      </c>
    </row>
    <row r="7589" spans="1:6" x14ac:dyDescent="0.25">
      <c r="A7589" t="s">
        <v>7322</v>
      </c>
      <c r="B7589" t="s">
        <v>588</v>
      </c>
      <c r="C7589" t="s">
        <v>1446</v>
      </c>
      <c r="D7589" t="str">
        <f>HYPERLINK("http://service.sap.com/sap/support/notes/1566328","1566328")</f>
        <v>1566328</v>
      </c>
      <c r="E7589">
        <v>3</v>
      </c>
      <c r="F7589" t="s">
        <v>7209</v>
      </c>
    </row>
    <row r="7590" spans="1:6" x14ac:dyDescent="0.25">
      <c r="A7590" t="s">
        <v>7322</v>
      </c>
      <c r="B7590" t="s">
        <v>588</v>
      </c>
      <c r="C7590" t="s">
        <v>1446</v>
      </c>
      <c r="D7590" t="str">
        <f>HYPERLINK("http://service.sap.com/sap/support/notes/1568271","1568271")</f>
        <v>1568271</v>
      </c>
      <c r="E7590">
        <v>1</v>
      </c>
      <c r="F7590" t="s">
        <v>7210</v>
      </c>
    </row>
    <row r="7591" spans="1:6" x14ac:dyDescent="0.25">
      <c r="A7591" t="s">
        <v>7322</v>
      </c>
      <c r="B7591" t="s">
        <v>20</v>
      </c>
      <c r="C7591" t="s">
        <v>21</v>
      </c>
    </row>
    <row r="7592" spans="1:6" x14ac:dyDescent="0.25">
      <c r="A7592" t="s">
        <v>7322</v>
      </c>
      <c r="B7592" t="s">
        <v>22</v>
      </c>
      <c r="C7592" t="s">
        <v>23</v>
      </c>
      <c r="D7592" t="str">
        <f>HYPERLINK("http://service.sap.com/sap/support/notes/1537067","1537067")</f>
        <v>1537067</v>
      </c>
      <c r="E7592">
        <v>8</v>
      </c>
      <c r="F7592" t="s">
        <v>6873</v>
      </c>
    </row>
    <row r="7593" spans="1:6" x14ac:dyDescent="0.25">
      <c r="A7593" t="s">
        <v>7322</v>
      </c>
      <c r="B7593" t="s">
        <v>22</v>
      </c>
      <c r="C7593" t="s">
        <v>23</v>
      </c>
      <c r="D7593" t="str">
        <f>HYPERLINK("http://service.sap.com/sap/support/notes/1560558","1560558")</f>
        <v>1560558</v>
      </c>
      <c r="E7593">
        <v>1</v>
      </c>
      <c r="F7593" t="s">
        <v>7211</v>
      </c>
    </row>
    <row r="7594" spans="1:6" x14ac:dyDescent="0.25">
      <c r="A7594" t="s">
        <v>7322</v>
      </c>
      <c r="B7594" t="s">
        <v>22</v>
      </c>
      <c r="C7594" t="s">
        <v>23</v>
      </c>
      <c r="D7594" t="str">
        <f>HYPERLINK("http://service.sap.com/sap/support/notes/1563899","1563899")</f>
        <v>1563899</v>
      </c>
      <c r="E7594">
        <v>1</v>
      </c>
      <c r="F7594" t="s">
        <v>7212</v>
      </c>
    </row>
    <row r="7595" spans="1:6" x14ac:dyDescent="0.25">
      <c r="A7595" t="s">
        <v>7322</v>
      </c>
      <c r="B7595" t="s">
        <v>22</v>
      </c>
      <c r="C7595" t="s">
        <v>23</v>
      </c>
      <c r="D7595" t="str">
        <f>HYPERLINK("http://service.sap.com/sap/support/notes/1568064","1568064")</f>
        <v>1568064</v>
      </c>
      <c r="E7595">
        <v>1</v>
      </c>
      <c r="F7595" t="s">
        <v>7213</v>
      </c>
    </row>
    <row r="7596" spans="1:6" x14ac:dyDescent="0.25">
      <c r="A7596" t="s">
        <v>7322</v>
      </c>
      <c r="B7596" t="s">
        <v>22</v>
      </c>
      <c r="C7596" t="s">
        <v>23</v>
      </c>
      <c r="D7596" t="str">
        <f>HYPERLINK("http://service.sap.com/sap/support/notes/1569392","1569392")</f>
        <v>1569392</v>
      </c>
      <c r="E7596">
        <v>1</v>
      </c>
      <c r="F7596" t="s">
        <v>7214</v>
      </c>
    </row>
    <row r="7597" spans="1:6" x14ac:dyDescent="0.25">
      <c r="A7597" t="s">
        <v>7322</v>
      </c>
      <c r="B7597" t="s">
        <v>24</v>
      </c>
      <c r="C7597" t="s">
        <v>25</v>
      </c>
      <c r="D7597" t="str">
        <f>HYPERLINK("http://service.sap.com/sap/support/notes/1496021","1496021")</f>
        <v>1496021</v>
      </c>
      <c r="E7597">
        <v>2</v>
      </c>
      <c r="F7597" t="s">
        <v>6297</v>
      </c>
    </row>
    <row r="7598" spans="1:6" x14ac:dyDescent="0.25">
      <c r="A7598" t="s">
        <v>7322</v>
      </c>
      <c r="B7598" t="s">
        <v>24</v>
      </c>
      <c r="C7598" t="s">
        <v>25</v>
      </c>
      <c r="D7598" t="str">
        <f>HYPERLINK("http://service.sap.com/sap/support/notes/1518522","1518522")</f>
        <v>1518522</v>
      </c>
      <c r="E7598">
        <v>3</v>
      </c>
      <c r="F7598" t="s">
        <v>7215</v>
      </c>
    </row>
    <row r="7599" spans="1:6" x14ac:dyDescent="0.25">
      <c r="A7599" t="s">
        <v>7322</v>
      </c>
      <c r="B7599" t="s">
        <v>24</v>
      </c>
      <c r="C7599" t="s">
        <v>25</v>
      </c>
      <c r="D7599" t="str">
        <f>HYPERLINK("http://service.sap.com/sap/support/notes/1559244","1559244")</f>
        <v>1559244</v>
      </c>
      <c r="E7599">
        <v>1</v>
      </c>
      <c r="F7599" t="s">
        <v>7216</v>
      </c>
    </row>
    <row r="7600" spans="1:6" x14ac:dyDescent="0.25">
      <c r="A7600" t="s">
        <v>7322</v>
      </c>
      <c r="B7600" t="s">
        <v>24</v>
      </c>
      <c r="C7600" t="s">
        <v>25</v>
      </c>
      <c r="D7600" t="str">
        <f>HYPERLINK("http://service.sap.com/sap/support/notes/1560005","1560005")</f>
        <v>1560005</v>
      </c>
      <c r="E7600">
        <v>1</v>
      </c>
      <c r="F7600" t="s">
        <v>7217</v>
      </c>
    </row>
    <row r="7601" spans="1:6" x14ac:dyDescent="0.25">
      <c r="A7601" t="s">
        <v>7322</v>
      </c>
      <c r="B7601" t="s">
        <v>24</v>
      </c>
      <c r="C7601" t="s">
        <v>25</v>
      </c>
      <c r="D7601" t="str">
        <f>HYPERLINK("http://service.sap.com/sap/support/notes/1560989","1560989")</f>
        <v>1560989</v>
      </c>
      <c r="E7601">
        <v>1</v>
      </c>
      <c r="F7601" t="s">
        <v>7218</v>
      </c>
    </row>
    <row r="7602" spans="1:6" x14ac:dyDescent="0.25">
      <c r="A7602" t="s">
        <v>7322</v>
      </c>
      <c r="B7602" t="s">
        <v>24</v>
      </c>
      <c r="C7602" t="s">
        <v>25</v>
      </c>
      <c r="D7602" t="str">
        <f>HYPERLINK("http://service.sap.com/sap/support/notes/1560994","1560994")</f>
        <v>1560994</v>
      </c>
      <c r="E7602">
        <v>1</v>
      </c>
      <c r="F7602" t="s">
        <v>7219</v>
      </c>
    </row>
    <row r="7603" spans="1:6" x14ac:dyDescent="0.25">
      <c r="A7603" t="s">
        <v>7322</v>
      </c>
      <c r="B7603" t="s">
        <v>24</v>
      </c>
      <c r="C7603" t="s">
        <v>25</v>
      </c>
      <c r="D7603" t="str">
        <f>HYPERLINK("http://service.sap.com/sap/support/notes/1561124","1561124")</f>
        <v>1561124</v>
      </c>
      <c r="E7603">
        <v>1</v>
      </c>
      <c r="F7603" t="s">
        <v>7220</v>
      </c>
    </row>
    <row r="7604" spans="1:6" x14ac:dyDescent="0.25">
      <c r="A7604" t="s">
        <v>7322</v>
      </c>
      <c r="B7604" t="s">
        <v>24</v>
      </c>
      <c r="C7604" t="s">
        <v>25</v>
      </c>
      <c r="D7604" t="str">
        <f>HYPERLINK("http://service.sap.com/sap/support/notes/1562883","1562883")</f>
        <v>1562883</v>
      </c>
      <c r="E7604">
        <v>1</v>
      </c>
      <c r="F7604" t="s">
        <v>7221</v>
      </c>
    </row>
    <row r="7605" spans="1:6" x14ac:dyDescent="0.25">
      <c r="A7605" t="s">
        <v>7322</v>
      </c>
      <c r="B7605" t="s">
        <v>24</v>
      </c>
      <c r="C7605" t="s">
        <v>25</v>
      </c>
      <c r="D7605" t="str">
        <f>HYPERLINK("http://service.sap.com/sap/support/notes/1564637","1564637")</f>
        <v>1564637</v>
      </c>
      <c r="E7605">
        <v>1</v>
      </c>
      <c r="F7605" t="s">
        <v>7222</v>
      </c>
    </row>
    <row r="7606" spans="1:6" x14ac:dyDescent="0.25">
      <c r="A7606" t="s">
        <v>7322</v>
      </c>
      <c r="B7606" t="s">
        <v>24</v>
      </c>
      <c r="C7606" t="s">
        <v>25</v>
      </c>
      <c r="D7606" t="str">
        <f>HYPERLINK("http://service.sap.com/sap/support/notes/1566091","1566091")</f>
        <v>1566091</v>
      </c>
      <c r="E7606">
        <v>2</v>
      </c>
      <c r="F7606" t="s">
        <v>7223</v>
      </c>
    </row>
    <row r="7607" spans="1:6" x14ac:dyDescent="0.25">
      <c r="A7607" t="s">
        <v>7322</v>
      </c>
      <c r="B7607" t="s">
        <v>24</v>
      </c>
      <c r="C7607" t="s">
        <v>25</v>
      </c>
      <c r="D7607" t="str">
        <f>HYPERLINK("http://service.sap.com/sap/support/notes/1566357","1566357")</f>
        <v>1566357</v>
      </c>
      <c r="E7607">
        <v>1</v>
      </c>
      <c r="F7607" t="s">
        <v>7224</v>
      </c>
    </row>
    <row r="7608" spans="1:6" x14ac:dyDescent="0.25">
      <c r="A7608" t="s">
        <v>7322</v>
      </c>
      <c r="B7608" t="s">
        <v>24</v>
      </c>
      <c r="C7608" t="s">
        <v>25</v>
      </c>
      <c r="D7608" t="str">
        <f>HYPERLINK("http://service.sap.com/sap/support/notes/1566933","1566933")</f>
        <v>1566933</v>
      </c>
      <c r="E7608">
        <v>1</v>
      </c>
      <c r="F7608" t="s">
        <v>7225</v>
      </c>
    </row>
    <row r="7609" spans="1:6" x14ac:dyDescent="0.25">
      <c r="A7609" t="s">
        <v>7322</v>
      </c>
      <c r="B7609" t="s">
        <v>24</v>
      </c>
      <c r="C7609" t="s">
        <v>25</v>
      </c>
      <c r="D7609" t="str">
        <f>HYPERLINK("http://service.sap.com/sap/support/notes/1567062","1567062")</f>
        <v>1567062</v>
      </c>
      <c r="E7609">
        <v>1</v>
      </c>
      <c r="F7609" t="s">
        <v>7226</v>
      </c>
    </row>
    <row r="7610" spans="1:6" x14ac:dyDescent="0.25">
      <c r="A7610" t="s">
        <v>7322</v>
      </c>
      <c r="B7610" t="s">
        <v>24</v>
      </c>
      <c r="C7610" t="s">
        <v>25</v>
      </c>
      <c r="D7610" t="str">
        <f>HYPERLINK("http://service.sap.com/sap/support/notes/1567357","1567357")</f>
        <v>1567357</v>
      </c>
      <c r="E7610">
        <v>1</v>
      </c>
      <c r="F7610" t="s">
        <v>7227</v>
      </c>
    </row>
    <row r="7611" spans="1:6" x14ac:dyDescent="0.25">
      <c r="A7611" t="s">
        <v>7322</v>
      </c>
      <c r="B7611" t="s">
        <v>24</v>
      </c>
      <c r="C7611" t="s">
        <v>25</v>
      </c>
      <c r="D7611" t="str">
        <f>HYPERLINK("http://service.sap.com/sap/support/notes/1567934","1567934")</f>
        <v>1567934</v>
      </c>
      <c r="E7611">
        <v>2</v>
      </c>
      <c r="F7611" t="s">
        <v>7228</v>
      </c>
    </row>
    <row r="7612" spans="1:6" x14ac:dyDescent="0.25">
      <c r="A7612" t="s">
        <v>7322</v>
      </c>
      <c r="B7612" t="s">
        <v>24</v>
      </c>
      <c r="C7612" t="s">
        <v>25</v>
      </c>
      <c r="D7612" t="str">
        <f>HYPERLINK("http://service.sap.com/sap/support/notes/1568022","1568022")</f>
        <v>1568022</v>
      </c>
      <c r="E7612">
        <v>1</v>
      </c>
      <c r="F7612" t="s">
        <v>7229</v>
      </c>
    </row>
    <row r="7613" spans="1:6" x14ac:dyDescent="0.25">
      <c r="A7613" t="s">
        <v>7322</v>
      </c>
      <c r="B7613" t="s">
        <v>24</v>
      </c>
      <c r="C7613" t="s">
        <v>25</v>
      </c>
      <c r="D7613" t="str">
        <f>HYPERLINK("http://service.sap.com/sap/support/notes/1568057","1568057")</f>
        <v>1568057</v>
      </c>
      <c r="E7613">
        <v>2</v>
      </c>
      <c r="F7613" t="s">
        <v>7230</v>
      </c>
    </row>
    <row r="7614" spans="1:6" x14ac:dyDescent="0.25">
      <c r="A7614" t="s">
        <v>7322</v>
      </c>
      <c r="B7614" t="s">
        <v>24</v>
      </c>
      <c r="C7614" t="s">
        <v>25</v>
      </c>
      <c r="D7614" t="str">
        <f>HYPERLINK("http://service.sap.com/sap/support/notes/1568611","1568611")</f>
        <v>1568611</v>
      </c>
      <c r="E7614">
        <v>1</v>
      </c>
      <c r="F7614" t="s">
        <v>7231</v>
      </c>
    </row>
    <row r="7615" spans="1:6" x14ac:dyDescent="0.25">
      <c r="A7615" t="s">
        <v>7322</v>
      </c>
      <c r="B7615" t="s">
        <v>24</v>
      </c>
      <c r="C7615" t="s">
        <v>25</v>
      </c>
      <c r="D7615" t="str">
        <f>HYPERLINK("http://service.sap.com/sap/support/notes/1569640","1569640")</f>
        <v>1569640</v>
      </c>
      <c r="E7615">
        <v>1</v>
      </c>
      <c r="F7615" t="s">
        <v>7232</v>
      </c>
    </row>
    <row r="7616" spans="1:6" x14ac:dyDescent="0.25">
      <c r="A7616" t="s">
        <v>7322</v>
      </c>
      <c r="B7616" t="s">
        <v>24</v>
      </c>
      <c r="C7616" t="s">
        <v>25</v>
      </c>
      <c r="D7616" t="str">
        <f>HYPERLINK("http://service.sap.com/sap/support/notes/1570214","1570214")</f>
        <v>1570214</v>
      </c>
      <c r="E7616">
        <v>3</v>
      </c>
      <c r="F7616" t="s">
        <v>7233</v>
      </c>
    </row>
    <row r="7617" spans="1:6" x14ac:dyDescent="0.25">
      <c r="A7617" t="s">
        <v>7322</v>
      </c>
      <c r="B7617" t="s">
        <v>4074</v>
      </c>
      <c r="C7617" t="s">
        <v>4075</v>
      </c>
      <c r="D7617" t="str">
        <f>HYPERLINK("http://service.sap.com/sap/support/notes/1525189","1525189")</f>
        <v>1525189</v>
      </c>
      <c r="E7617">
        <v>1</v>
      </c>
      <c r="F7617" t="s">
        <v>7234</v>
      </c>
    </row>
    <row r="7618" spans="1:6" x14ac:dyDescent="0.25">
      <c r="A7618" t="s">
        <v>7322</v>
      </c>
      <c r="B7618" t="s">
        <v>4074</v>
      </c>
      <c r="C7618" t="s">
        <v>4075</v>
      </c>
      <c r="D7618" t="str">
        <f>HYPERLINK("http://service.sap.com/sap/support/notes/1531374","1531374")</f>
        <v>1531374</v>
      </c>
      <c r="E7618">
        <v>2</v>
      </c>
      <c r="F7618" t="s">
        <v>7235</v>
      </c>
    </row>
    <row r="7619" spans="1:6" x14ac:dyDescent="0.25">
      <c r="A7619" t="s">
        <v>7322</v>
      </c>
      <c r="B7619" t="s">
        <v>4074</v>
      </c>
      <c r="C7619" t="s">
        <v>4075</v>
      </c>
      <c r="D7619" t="str">
        <f>HYPERLINK("http://service.sap.com/sap/support/notes/1559192","1559192")</f>
        <v>1559192</v>
      </c>
      <c r="E7619">
        <v>2</v>
      </c>
      <c r="F7619" t="s">
        <v>7236</v>
      </c>
    </row>
    <row r="7620" spans="1:6" x14ac:dyDescent="0.25">
      <c r="A7620" t="s">
        <v>7322</v>
      </c>
      <c r="B7620" t="s">
        <v>4074</v>
      </c>
      <c r="C7620" t="s">
        <v>4075</v>
      </c>
      <c r="D7620" t="str">
        <f>HYPERLINK("http://service.sap.com/sap/support/notes/1560044","1560044")</f>
        <v>1560044</v>
      </c>
      <c r="E7620">
        <v>2</v>
      </c>
      <c r="F7620" t="s">
        <v>7237</v>
      </c>
    </row>
    <row r="7621" spans="1:6" x14ac:dyDescent="0.25">
      <c r="A7621" t="s">
        <v>7322</v>
      </c>
      <c r="B7621" t="s">
        <v>4074</v>
      </c>
      <c r="C7621" t="s">
        <v>4075</v>
      </c>
      <c r="D7621" t="str">
        <f>HYPERLINK("http://service.sap.com/sap/support/notes/1565098","1565098")</f>
        <v>1565098</v>
      </c>
      <c r="E7621">
        <v>1</v>
      </c>
      <c r="F7621" t="s">
        <v>7238</v>
      </c>
    </row>
    <row r="7622" spans="1:6" x14ac:dyDescent="0.25">
      <c r="A7622" t="s">
        <v>7322</v>
      </c>
      <c r="B7622" t="s">
        <v>4074</v>
      </c>
      <c r="C7622" t="s">
        <v>4075</v>
      </c>
      <c r="D7622" t="str">
        <f>HYPERLINK("http://service.sap.com/sap/support/notes/1565406","1565406")</f>
        <v>1565406</v>
      </c>
      <c r="E7622">
        <v>1</v>
      </c>
      <c r="F7622" t="s">
        <v>7239</v>
      </c>
    </row>
    <row r="7623" spans="1:6" x14ac:dyDescent="0.25">
      <c r="A7623" t="s">
        <v>7322</v>
      </c>
      <c r="B7623" t="s">
        <v>4074</v>
      </c>
      <c r="C7623" t="s">
        <v>4075</v>
      </c>
      <c r="D7623" t="str">
        <f>HYPERLINK("http://service.sap.com/sap/support/notes/1567424","1567424")</f>
        <v>1567424</v>
      </c>
      <c r="E7623">
        <v>1</v>
      </c>
      <c r="F7623" t="s">
        <v>7240</v>
      </c>
    </row>
    <row r="7624" spans="1:6" x14ac:dyDescent="0.25">
      <c r="A7624" t="s">
        <v>7322</v>
      </c>
      <c r="B7624" t="s">
        <v>4081</v>
      </c>
      <c r="C7624" t="s">
        <v>4082</v>
      </c>
      <c r="D7624" t="str">
        <f>HYPERLINK("http://service.sap.com/sap/support/notes/1510194","1510194")</f>
        <v>1510194</v>
      </c>
      <c r="E7624">
        <v>1</v>
      </c>
      <c r="F7624" t="s">
        <v>6592</v>
      </c>
    </row>
    <row r="7625" spans="1:6" x14ac:dyDescent="0.25">
      <c r="A7625" t="s">
        <v>7322</v>
      </c>
      <c r="B7625" t="s">
        <v>4081</v>
      </c>
      <c r="C7625" t="s">
        <v>4082</v>
      </c>
      <c r="D7625" t="str">
        <f>HYPERLINK("http://service.sap.com/sap/support/notes/1564145","1564145")</f>
        <v>1564145</v>
      </c>
      <c r="E7625">
        <v>1</v>
      </c>
      <c r="F7625" t="s">
        <v>7241</v>
      </c>
    </row>
    <row r="7626" spans="1:6" x14ac:dyDescent="0.25">
      <c r="A7626" t="s">
        <v>7322</v>
      </c>
      <c r="B7626" t="s">
        <v>4081</v>
      </c>
      <c r="C7626" t="s">
        <v>4082</v>
      </c>
      <c r="D7626" t="str">
        <f>HYPERLINK("http://service.sap.com/sap/support/notes/1565109","1565109")</f>
        <v>1565109</v>
      </c>
      <c r="E7626">
        <v>1</v>
      </c>
      <c r="F7626" t="s">
        <v>7242</v>
      </c>
    </row>
    <row r="7627" spans="1:6" x14ac:dyDescent="0.25">
      <c r="A7627" t="s">
        <v>7322</v>
      </c>
      <c r="B7627" t="s">
        <v>4081</v>
      </c>
      <c r="C7627" t="s">
        <v>4082</v>
      </c>
      <c r="D7627" t="str">
        <f>HYPERLINK("http://service.sap.com/sap/support/notes/1565562","1565562")</f>
        <v>1565562</v>
      </c>
      <c r="E7627">
        <v>1</v>
      </c>
      <c r="F7627" t="s">
        <v>7243</v>
      </c>
    </row>
    <row r="7628" spans="1:6" x14ac:dyDescent="0.25">
      <c r="A7628" t="s">
        <v>7322</v>
      </c>
      <c r="B7628" t="s">
        <v>4081</v>
      </c>
      <c r="C7628" t="s">
        <v>4082</v>
      </c>
      <c r="D7628" t="str">
        <f>HYPERLINK("http://service.sap.com/sap/support/notes/1565586","1565586")</f>
        <v>1565586</v>
      </c>
      <c r="E7628">
        <v>1</v>
      </c>
      <c r="F7628" t="s">
        <v>7244</v>
      </c>
    </row>
    <row r="7629" spans="1:6" x14ac:dyDescent="0.25">
      <c r="A7629" t="s">
        <v>7322</v>
      </c>
      <c r="B7629" t="s">
        <v>4088</v>
      </c>
      <c r="C7629" t="s">
        <v>4089</v>
      </c>
      <c r="D7629" t="str">
        <f>HYPERLINK("http://service.sap.com/sap/support/notes/1568643","1568643")</f>
        <v>1568643</v>
      </c>
      <c r="E7629">
        <v>1</v>
      </c>
      <c r="F7629" t="s">
        <v>7245</v>
      </c>
    </row>
    <row r="7630" spans="1:6" x14ac:dyDescent="0.25">
      <c r="A7630" t="s">
        <v>7322</v>
      </c>
      <c r="B7630" t="s">
        <v>27</v>
      </c>
      <c r="C7630" t="s">
        <v>13</v>
      </c>
    </row>
    <row r="7631" spans="1:6" x14ac:dyDescent="0.25">
      <c r="A7631" t="s">
        <v>7322</v>
      </c>
      <c r="B7631" t="s">
        <v>4091</v>
      </c>
      <c r="C7631" t="s">
        <v>4092</v>
      </c>
      <c r="D7631" t="str">
        <f>HYPERLINK("http://service.sap.com/sap/support/notes/1531621","1531621")</f>
        <v>1531621</v>
      </c>
      <c r="E7631">
        <v>1</v>
      </c>
      <c r="F7631" t="s">
        <v>7246</v>
      </c>
    </row>
    <row r="7632" spans="1:6" x14ac:dyDescent="0.25">
      <c r="A7632" t="s">
        <v>7322</v>
      </c>
      <c r="B7632" t="s">
        <v>4091</v>
      </c>
      <c r="C7632" t="s">
        <v>4092</v>
      </c>
      <c r="D7632" t="str">
        <f>HYPERLINK("http://service.sap.com/sap/support/notes/1542872","1542872")</f>
        <v>1542872</v>
      </c>
      <c r="E7632">
        <v>1</v>
      </c>
      <c r="F7632" t="s">
        <v>7247</v>
      </c>
    </row>
    <row r="7633" spans="1:6" x14ac:dyDescent="0.25">
      <c r="A7633" t="s">
        <v>7322</v>
      </c>
      <c r="B7633" t="s">
        <v>4091</v>
      </c>
      <c r="C7633" t="s">
        <v>4092</v>
      </c>
      <c r="D7633" t="str">
        <f>HYPERLINK("http://service.sap.com/sap/support/notes/1555166","1555166")</f>
        <v>1555166</v>
      </c>
      <c r="E7633">
        <v>2</v>
      </c>
      <c r="F7633" t="s">
        <v>7248</v>
      </c>
    </row>
    <row r="7634" spans="1:6" x14ac:dyDescent="0.25">
      <c r="A7634" t="s">
        <v>7322</v>
      </c>
      <c r="B7634" t="s">
        <v>4091</v>
      </c>
      <c r="C7634" t="s">
        <v>4092</v>
      </c>
      <c r="D7634" t="str">
        <f>HYPERLINK("http://service.sap.com/sap/support/notes/1558073","1558073")</f>
        <v>1558073</v>
      </c>
      <c r="E7634">
        <v>1</v>
      </c>
      <c r="F7634" t="s">
        <v>7143</v>
      </c>
    </row>
    <row r="7635" spans="1:6" x14ac:dyDescent="0.25">
      <c r="A7635" t="s">
        <v>7322</v>
      </c>
      <c r="B7635" t="s">
        <v>28</v>
      </c>
      <c r="C7635" t="s">
        <v>29</v>
      </c>
      <c r="D7635" t="str">
        <f>HYPERLINK("http://service.sap.com/sap/support/notes/1543720","1543720")</f>
        <v>1543720</v>
      </c>
      <c r="E7635">
        <v>3</v>
      </c>
      <c r="F7635" t="s">
        <v>7249</v>
      </c>
    </row>
    <row r="7636" spans="1:6" x14ac:dyDescent="0.25">
      <c r="A7636" t="s">
        <v>7322</v>
      </c>
      <c r="B7636" t="s">
        <v>5967</v>
      </c>
      <c r="C7636" t="s">
        <v>5968</v>
      </c>
    </row>
    <row r="7637" spans="1:6" x14ac:dyDescent="0.25">
      <c r="A7637" t="s">
        <v>7322</v>
      </c>
      <c r="B7637" t="s">
        <v>7250</v>
      </c>
      <c r="C7637" t="s">
        <v>725</v>
      </c>
      <c r="D7637" t="str">
        <f>HYPERLINK("http://service.sap.com/sap/support/notes/1529815","1529815")</f>
        <v>1529815</v>
      </c>
      <c r="E7637">
        <v>4</v>
      </c>
      <c r="F7637" t="s">
        <v>7251</v>
      </c>
    </row>
    <row r="7638" spans="1:6" x14ac:dyDescent="0.25">
      <c r="A7638" t="s">
        <v>7322</v>
      </c>
      <c r="B7638" t="s">
        <v>2161</v>
      </c>
      <c r="C7638" t="s">
        <v>2162</v>
      </c>
      <c r="D7638" t="str">
        <f>HYPERLINK("http://service.sap.com/sap/support/notes/1562278","1562278")</f>
        <v>1562278</v>
      </c>
      <c r="E7638">
        <v>1</v>
      </c>
      <c r="F7638" t="s">
        <v>7252</v>
      </c>
    </row>
    <row r="7639" spans="1:6" x14ac:dyDescent="0.25">
      <c r="A7639" t="s">
        <v>7322</v>
      </c>
      <c r="B7639" t="s">
        <v>2161</v>
      </c>
      <c r="C7639" t="s">
        <v>2162</v>
      </c>
      <c r="D7639" t="str">
        <f>HYPERLINK("http://service.sap.com/sap/support/notes/1568089","1568089")</f>
        <v>1568089</v>
      </c>
      <c r="E7639">
        <v>1</v>
      </c>
      <c r="F7639" t="s">
        <v>7253</v>
      </c>
    </row>
    <row r="7640" spans="1:6" x14ac:dyDescent="0.25">
      <c r="A7640" t="s">
        <v>7322</v>
      </c>
      <c r="B7640" t="s">
        <v>4105</v>
      </c>
      <c r="C7640" t="s">
        <v>4106</v>
      </c>
      <c r="D7640" t="str">
        <f>HYPERLINK("http://service.sap.com/sap/support/notes/1558195","1558195")</f>
        <v>1558195</v>
      </c>
      <c r="E7640">
        <v>1</v>
      </c>
      <c r="F7640" t="s">
        <v>7254</v>
      </c>
    </row>
    <row r="7641" spans="1:6" x14ac:dyDescent="0.25">
      <c r="A7641" t="s">
        <v>7322</v>
      </c>
      <c r="B7641" t="s">
        <v>4105</v>
      </c>
      <c r="C7641" t="s">
        <v>4106</v>
      </c>
      <c r="D7641" t="str">
        <f>HYPERLINK("http://service.sap.com/sap/support/notes/1561913","1561913")</f>
        <v>1561913</v>
      </c>
      <c r="E7641">
        <v>1</v>
      </c>
      <c r="F7641" t="s">
        <v>7255</v>
      </c>
    </row>
    <row r="7642" spans="1:6" x14ac:dyDescent="0.25">
      <c r="A7642" t="s">
        <v>7322</v>
      </c>
      <c r="B7642" t="s">
        <v>4105</v>
      </c>
      <c r="C7642" t="s">
        <v>4106</v>
      </c>
      <c r="D7642" t="str">
        <f>HYPERLINK("http://service.sap.com/sap/support/notes/1563596","1563596")</f>
        <v>1563596</v>
      </c>
      <c r="E7642">
        <v>2</v>
      </c>
      <c r="F7642" t="s">
        <v>7256</v>
      </c>
    </row>
    <row r="7643" spans="1:6" x14ac:dyDescent="0.25">
      <c r="A7643" t="s">
        <v>7322</v>
      </c>
      <c r="B7643" t="s">
        <v>4105</v>
      </c>
      <c r="C7643" t="s">
        <v>4106</v>
      </c>
      <c r="D7643" t="str">
        <f>HYPERLINK("http://service.sap.com/sap/support/notes/1564980","1564980")</f>
        <v>1564980</v>
      </c>
      <c r="E7643">
        <v>2</v>
      </c>
      <c r="F7643" t="s">
        <v>7257</v>
      </c>
    </row>
    <row r="7644" spans="1:6" x14ac:dyDescent="0.25">
      <c r="A7644" t="s">
        <v>7322</v>
      </c>
      <c r="B7644" t="s">
        <v>4105</v>
      </c>
      <c r="C7644" t="s">
        <v>4106</v>
      </c>
      <c r="D7644" t="str">
        <f>HYPERLINK("http://service.sap.com/sap/support/notes/1565975","1565975")</f>
        <v>1565975</v>
      </c>
      <c r="E7644">
        <v>1</v>
      </c>
      <c r="F7644" t="s">
        <v>7258</v>
      </c>
    </row>
    <row r="7645" spans="1:6" x14ac:dyDescent="0.25">
      <c r="A7645" t="s">
        <v>7322</v>
      </c>
      <c r="B7645" t="s">
        <v>4105</v>
      </c>
      <c r="C7645" t="s">
        <v>4106</v>
      </c>
      <c r="D7645" t="str">
        <f>HYPERLINK("http://service.sap.com/sap/support/notes/1570279","1570279")</f>
        <v>1570279</v>
      </c>
      <c r="E7645">
        <v>2</v>
      </c>
      <c r="F7645" t="s">
        <v>7259</v>
      </c>
    </row>
    <row r="7646" spans="1:6" x14ac:dyDescent="0.25">
      <c r="A7646" t="s">
        <v>7322</v>
      </c>
      <c r="B7646" t="s">
        <v>4109</v>
      </c>
      <c r="C7646" t="s">
        <v>4110</v>
      </c>
      <c r="D7646" t="str">
        <f>HYPERLINK("http://service.sap.com/sap/support/notes/1565810","1565810")</f>
        <v>1565810</v>
      </c>
      <c r="E7646">
        <v>1</v>
      </c>
      <c r="F7646" t="s">
        <v>7260</v>
      </c>
    </row>
    <row r="7647" spans="1:6" x14ac:dyDescent="0.25">
      <c r="A7647" t="s">
        <v>7322</v>
      </c>
      <c r="B7647" t="s">
        <v>4109</v>
      </c>
      <c r="C7647" t="s">
        <v>4110</v>
      </c>
      <c r="D7647" t="str">
        <f>HYPERLINK("http://service.sap.com/sap/support/notes/1566489","1566489")</f>
        <v>1566489</v>
      </c>
      <c r="E7647">
        <v>1</v>
      </c>
      <c r="F7647" t="s">
        <v>7261</v>
      </c>
    </row>
    <row r="7648" spans="1:6" x14ac:dyDescent="0.25">
      <c r="A7648" t="s">
        <v>7322</v>
      </c>
      <c r="B7648" t="s">
        <v>4109</v>
      </c>
      <c r="C7648" t="s">
        <v>4110</v>
      </c>
      <c r="D7648" t="str">
        <f>HYPERLINK("http://service.sap.com/sap/support/notes/1568487","1568487")</f>
        <v>1568487</v>
      </c>
      <c r="E7648">
        <v>1</v>
      </c>
      <c r="F7648" t="s">
        <v>7262</v>
      </c>
    </row>
    <row r="7649" spans="1:6" x14ac:dyDescent="0.25">
      <c r="A7649" t="s">
        <v>7322</v>
      </c>
      <c r="B7649" t="s">
        <v>4109</v>
      </c>
      <c r="C7649" t="s">
        <v>4110</v>
      </c>
      <c r="D7649" t="str">
        <f>HYPERLINK("http://service.sap.com/sap/support/notes/1570182","1570182")</f>
        <v>1570182</v>
      </c>
      <c r="E7649">
        <v>2</v>
      </c>
      <c r="F7649" t="s">
        <v>7263</v>
      </c>
    </row>
    <row r="7650" spans="1:6" x14ac:dyDescent="0.25">
      <c r="A7650" t="s">
        <v>7322</v>
      </c>
      <c r="B7650" t="s">
        <v>4260</v>
      </c>
      <c r="C7650" t="s">
        <v>4261</v>
      </c>
      <c r="D7650" t="str">
        <f>HYPERLINK("http://service.sap.com/sap/support/notes/1568097","1568097")</f>
        <v>1568097</v>
      </c>
      <c r="E7650">
        <v>1</v>
      </c>
      <c r="F7650" t="s">
        <v>7264</v>
      </c>
    </row>
    <row r="7651" spans="1:6" x14ac:dyDescent="0.25">
      <c r="A7651" t="s">
        <v>7322</v>
      </c>
      <c r="B7651" t="s">
        <v>4112</v>
      </c>
      <c r="C7651" t="s">
        <v>4113</v>
      </c>
      <c r="D7651" t="str">
        <f>HYPERLINK("http://service.sap.com/sap/support/notes/1564609","1564609")</f>
        <v>1564609</v>
      </c>
      <c r="E7651">
        <v>1</v>
      </c>
      <c r="F7651" t="s">
        <v>7265</v>
      </c>
    </row>
    <row r="7652" spans="1:6" x14ac:dyDescent="0.25">
      <c r="A7652" t="s">
        <v>7322</v>
      </c>
      <c r="B7652" t="s">
        <v>5648</v>
      </c>
      <c r="C7652" t="s">
        <v>5649</v>
      </c>
    </row>
    <row r="7653" spans="1:6" x14ac:dyDescent="0.25">
      <c r="A7653" t="s">
        <v>7322</v>
      </c>
      <c r="B7653" t="s">
        <v>5650</v>
      </c>
      <c r="C7653" t="s">
        <v>5651</v>
      </c>
      <c r="D7653" t="str">
        <f>HYPERLINK("http://service.sap.com/sap/support/notes/1565869","1565869")</f>
        <v>1565869</v>
      </c>
      <c r="E7653">
        <v>2</v>
      </c>
      <c r="F7653" t="s">
        <v>7266</v>
      </c>
    </row>
    <row r="7654" spans="1:6" x14ac:dyDescent="0.25">
      <c r="A7654" t="s">
        <v>7322</v>
      </c>
      <c r="B7654" t="s">
        <v>5656</v>
      </c>
      <c r="C7654" t="s">
        <v>5657</v>
      </c>
      <c r="D7654" t="str">
        <f>HYPERLINK("http://service.sap.com/sap/support/notes/1561192","1561192")</f>
        <v>1561192</v>
      </c>
      <c r="E7654">
        <v>1</v>
      </c>
      <c r="F7654" t="s">
        <v>7267</v>
      </c>
    </row>
    <row r="7655" spans="1:6" x14ac:dyDescent="0.25">
      <c r="A7655" t="s">
        <v>7322</v>
      </c>
      <c r="B7655" t="s">
        <v>38</v>
      </c>
      <c r="C7655" t="s">
        <v>39</v>
      </c>
    </row>
    <row r="7656" spans="1:6" x14ac:dyDescent="0.25">
      <c r="A7656" t="s">
        <v>7322</v>
      </c>
      <c r="B7656" t="s">
        <v>7152</v>
      </c>
      <c r="C7656" t="s">
        <v>192</v>
      </c>
      <c r="D7656" t="str">
        <f>HYPERLINK("http://service.sap.com/sap/support/notes/1517527","1517527")</f>
        <v>1517527</v>
      </c>
      <c r="E7656">
        <v>2</v>
      </c>
      <c r="F7656" t="s">
        <v>7268</v>
      </c>
    </row>
    <row r="7657" spans="1:6" x14ac:dyDescent="0.25">
      <c r="A7657" t="s">
        <v>7322</v>
      </c>
      <c r="B7657" t="s">
        <v>7152</v>
      </c>
      <c r="C7657" t="s">
        <v>192</v>
      </c>
      <c r="D7657" t="str">
        <f>HYPERLINK("http://service.sap.com/sap/support/notes/1517528","1517528")</f>
        <v>1517528</v>
      </c>
      <c r="E7657">
        <v>3</v>
      </c>
      <c r="F7657" t="s">
        <v>7269</v>
      </c>
    </row>
    <row r="7658" spans="1:6" x14ac:dyDescent="0.25">
      <c r="A7658" t="s">
        <v>7322</v>
      </c>
      <c r="B7658" t="s">
        <v>79</v>
      </c>
      <c r="C7658" t="s">
        <v>80</v>
      </c>
      <c r="D7658" t="str">
        <f>HYPERLINK("http://service.sap.com/sap/support/notes/1567265","1567265")</f>
        <v>1567265</v>
      </c>
      <c r="E7658">
        <v>1</v>
      </c>
      <c r="F7658" t="s">
        <v>7270</v>
      </c>
    </row>
    <row r="7659" spans="1:6" x14ac:dyDescent="0.25">
      <c r="A7659" t="s">
        <v>7322</v>
      </c>
      <c r="B7659" t="s">
        <v>79</v>
      </c>
      <c r="C7659" t="s">
        <v>80</v>
      </c>
      <c r="D7659" t="str">
        <f>HYPERLINK("http://service.sap.com/sap/support/notes/1567966","1567966")</f>
        <v>1567966</v>
      </c>
      <c r="E7659">
        <v>1</v>
      </c>
      <c r="F7659" t="s">
        <v>7271</v>
      </c>
    </row>
    <row r="7660" spans="1:6" x14ac:dyDescent="0.25">
      <c r="A7660" t="s">
        <v>7322</v>
      </c>
      <c r="B7660" t="s">
        <v>89</v>
      </c>
      <c r="C7660" t="s">
        <v>90</v>
      </c>
      <c r="D7660" t="str">
        <f>HYPERLINK("http://service.sap.com/sap/support/notes/1507786","1507786")</f>
        <v>1507786</v>
      </c>
      <c r="E7660">
        <v>1</v>
      </c>
      <c r="F7660" t="s">
        <v>6490</v>
      </c>
    </row>
    <row r="7661" spans="1:6" x14ac:dyDescent="0.25">
      <c r="A7661" t="s">
        <v>7322</v>
      </c>
      <c r="B7661" t="s">
        <v>92</v>
      </c>
      <c r="C7661" t="s">
        <v>93</v>
      </c>
      <c r="D7661" t="str">
        <f>HYPERLINK("http://service.sap.com/sap/support/notes/1556342","1556342")</f>
        <v>1556342</v>
      </c>
      <c r="E7661">
        <v>3</v>
      </c>
      <c r="F7661" t="s">
        <v>7272</v>
      </c>
    </row>
    <row r="7662" spans="1:6" x14ac:dyDescent="0.25">
      <c r="A7662" t="s">
        <v>7322</v>
      </c>
      <c r="B7662" t="s">
        <v>92</v>
      </c>
      <c r="C7662" t="s">
        <v>93</v>
      </c>
      <c r="D7662" t="str">
        <f>HYPERLINK("http://service.sap.com/sap/support/notes/1568948","1568948")</f>
        <v>1568948</v>
      </c>
      <c r="E7662">
        <v>4</v>
      </c>
      <c r="F7662" t="s">
        <v>7273</v>
      </c>
    </row>
    <row r="7663" spans="1:6" x14ac:dyDescent="0.25">
      <c r="A7663" t="s">
        <v>7322</v>
      </c>
      <c r="B7663" t="s">
        <v>724</v>
      </c>
      <c r="C7663" t="s">
        <v>725</v>
      </c>
      <c r="D7663" t="str">
        <f>HYPERLINK("http://service.sap.com/sap/support/notes/1537817","1537817")</f>
        <v>1537817</v>
      </c>
      <c r="E7663">
        <v>1</v>
      </c>
      <c r="F7663" t="s">
        <v>7274</v>
      </c>
    </row>
    <row r="7664" spans="1:6" x14ac:dyDescent="0.25">
      <c r="A7664" t="s">
        <v>7322</v>
      </c>
      <c r="B7664" t="s">
        <v>790</v>
      </c>
      <c r="C7664" t="s">
        <v>4125</v>
      </c>
    </row>
    <row r="7665" spans="1:6" x14ac:dyDescent="0.25">
      <c r="A7665" t="s">
        <v>7322</v>
      </c>
      <c r="B7665" t="s">
        <v>791</v>
      </c>
      <c r="C7665" t="s">
        <v>4126</v>
      </c>
      <c r="D7665" t="str">
        <f>HYPERLINK("http://service.sap.com/sap/support/notes/1570149","1570149")</f>
        <v>1570149</v>
      </c>
      <c r="E7665">
        <v>1</v>
      </c>
      <c r="F7665" t="s">
        <v>7275</v>
      </c>
    </row>
    <row r="7666" spans="1:6" x14ac:dyDescent="0.25">
      <c r="A7666" t="s">
        <v>7322</v>
      </c>
      <c r="B7666" t="s">
        <v>810</v>
      </c>
      <c r="C7666" t="s">
        <v>4131</v>
      </c>
    </row>
    <row r="7667" spans="1:6" x14ac:dyDescent="0.25">
      <c r="A7667" t="s">
        <v>7322</v>
      </c>
      <c r="B7667" t="s">
        <v>4135</v>
      </c>
      <c r="C7667" t="s">
        <v>4136</v>
      </c>
      <c r="D7667" t="str">
        <f>HYPERLINK("http://service.sap.com/sap/support/notes/1489079","1489079")</f>
        <v>1489079</v>
      </c>
      <c r="E7667">
        <v>4</v>
      </c>
      <c r="F7667" t="s">
        <v>7276</v>
      </c>
    </row>
    <row r="7668" spans="1:6" x14ac:dyDescent="0.25">
      <c r="A7668" t="s">
        <v>7322</v>
      </c>
      <c r="B7668" t="s">
        <v>4135</v>
      </c>
      <c r="C7668" t="s">
        <v>4136</v>
      </c>
      <c r="D7668" t="str">
        <f>HYPERLINK("http://service.sap.com/sap/support/notes/1526118","1526118")</f>
        <v>1526118</v>
      </c>
      <c r="E7668">
        <v>1</v>
      </c>
      <c r="F7668" t="s">
        <v>7277</v>
      </c>
    </row>
    <row r="7669" spans="1:6" x14ac:dyDescent="0.25">
      <c r="A7669" t="s">
        <v>7322</v>
      </c>
      <c r="B7669" t="s">
        <v>4135</v>
      </c>
      <c r="C7669" t="s">
        <v>4136</v>
      </c>
      <c r="D7669" t="str">
        <f>HYPERLINK("http://service.sap.com/sap/support/notes/1552875","1552875")</f>
        <v>1552875</v>
      </c>
      <c r="E7669">
        <v>2</v>
      </c>
      <c r="F7669" t="s">
        <v>7278</v>
      </c>
    </row>
    <row r="7670" spans="1:6" x14ac:dyDescent="0.25">
      <c r="A7670" t="s">
        <v>7322</v>
      </c>
      <c r="B7670" t="s">
        <v>814</v>
      </c>
      <c r="C7670" t="s">
        <v>4142</v>
      </c>
      <c r="D7670" t="str">
        <f>HYPERLINK("http://service.sap.com/sap/support/notes/1553904","1553904")</f>
        <v>1553904</v>
      </c>
      <c r="E7670">
        <v>1</v>
      </c>
      <c r="F7670" t="s">
        <v>3551</v>
      </c>
    </row>
    <row r="7671" spans="1:6" x14ac:dyDescent="0.25">
      <c r="A7671" t="s">
        <v>7322</v>
      </c>
      <c r="B7671" t="s">
        <v>4144</v>
      </c>
      <c r="C7671" t="s">
        <v>4145</v>
      </c>
      <c r="D7671" t="str">
        <f>HYPERLINK("http://service.sap.com/sap/support/notes/1520538","1520538")</f>
        <v>1520538</v>
      </c>
      <c r="E7671">
        <v>3</v>
      </c>
      <c r="F7671" t="s">
        <v>7279</v>
      </c>
    </row>
    <row r="7672" spans="1:6" x14ac:dyDescent="0.25">
      <c r="A7672" t="s">
        <v>7322</v>
      </c>
      <c r="B7672" t="s">
        <v>4144</v>
      </c>
      <c r="C7672" t="s">
        <v>4145</v>
      </c>
      <c r="D7672" t="str">
        <f>HYPERLINK("http://service.sap.com/sap/support/notes/1550964","1550964")</f>
        <v>1550964</v>
      </c>
      <c r="E7672">
        <v>4</v>
      </c>
      <c r="F7672" t="s">
        <v>7280</v>
      </c>
    </row>
    <row r="7673" spans="1:6" x14ac:dyDescent="0.25">
      <c r="A7673" t="s">
        <v>7322</v>
      </c>
      <c r="B7673" t="s">
        <v>4144</v>
      </c>
      <c r="C7673" t="s">
        <v>4145</v>
      </c>
      <c r="D7673" t="str">
        <f>HYPERLINK("http://service.sap.com/sap/support/notes/1555950","1555950")</f>
        <v>1555950</v>
      </c>
      <c r="E7673">
        <v>1</v>
      </c>
      <c r="F7673" t="s">
        <v>7281</v>
      </c>
    </row>
    <row r="7674" spans="1:6" x14ac:dyDescent="0.25">
      <c r="A7674" t="s">
        <v>7322</v>
      </c>
      <c r="B7674" t="s">
        <v>4144</v>
      </c>
      <c r="C7674" t="s">
        <v>4145</v>
      </c>
      <c r="D7674" t="str">
        <f>HYPERLINK("http://service.sap.com/sap/support/notes/1559796","1559796")</f>
        <v>1559796</v>
      </c>
      <c r="E7674">
        <v>3</v>
      </c>
      <c r="F7674" t="s">
        <v>7176</v>
      </c>
    </row>
    <row r="7675" spans="1:6" x14ac:dyDescent="0.25">
      <c r="A7675" t="s">
        <v>7322</v>
      </c>
      <c r="B7675" t="s">
        <v>4144</v>
      </c>
      <c r="C7675" t="s">
        <v>4145</v>
      </c>
      <c r="D7675" t="str">
        <f>HYPERLINK("http://service.sap.com/sap/support/notes/1561031","1561031")</f>
        <v>1561031</v>
      </c>
      <c r="E7675">
        <v>1</v>
      </c>
      <c r="F7675" t="s">
        <v>7282</v>
      </c>
    </row>
    <row r="7676" spans="1:6" x14ac:dyDescent="0.25">
      <c r="A7676" t="s">
        <v>7322</v>
      </c>
      <c r="B7676" t="s">
        <v>4144</v>
      </c>
      <c r="C7676" t="s">
        <v>4145</v>
      </c>
      <c r="D7676" t="str">
        <f>HYPERLINK("http://service.sap.com/sap/support/notes/1561778","1561778")</f>
        <v>1561778</v>
      </c>
      <c r="E7676">
        <v>3</v>
      </c>
      <c r="F7676" t="s">
        <v>7283</v>
      </c>
    </row>
    <row r="7677" spans="1:6" x14ac:dyDescent="0.25">
      <c r="A7677" t="s">
        <v>7322</v>
      </c>
      <c r="B7677" t="s">
        <v>4144</v>
      </c>
      <c r="C7677" t="s">
        <v>4145</v>
      </c>
      <c r="D7677" t="str">
        <f>HYPERLINK("http://service.sap.com/sap/support/notes/1564254","1564254")</f>
        <v>1564254</v>
      </c>
      <c r="E7677">
        <v>1</v>
      </c>
      <c r="F7677" t="s">
        <v>7284</v>
      </c>
    </row>
    <row r="7678" spans="1:6" x14ac:dyDescent="0.25">
      <c r="A7678" t="s">
        <v>7322</v>
      </c>
      <c r="B7678" t="s">
        <v>4144</v>
      </c>
      <c r="C7678" t="s">
        <v>4145</v>
      </c>
      <c r="D7678" t="str">
        <f>HYPERLINK("http://service.sap.com/sap/support/notes/1565542","1565542")</f>
        <v>1565542</v>
      </c>
      <c r="E7678">
        <v>1</v>
      </c>
      <c r="F7678" t="s">
        <v>7285</v>
      </c>
    </row>
    <row r="7679" spans="1:6" x14ac:dyDescent="0.25">
      <c r="A7679" t="s">
        <v>7322</v>
      </c>
      <c r="B7679" t="s">
        <v>4144</v>
      </c>
      <c r="C7679" t="s">
        <v>4145</v>
      </c>
      <c r="D7679" t="str">
        <f>HYPERLINK("http://service.sap.com/sap/support/notes/1566644","1566644")</f>
        <v>1566644</v>
      </c>
      <c r="E7679">
        <v>1</v>
      </c>
      <c r="F7679" t="s">
        <v>7286</v>
      </c>
    </row>
    <row r="7680" spans="1:6" x14ac:dyDescent="0.25">
      <c r="A7680" t="s">
        <v>7322</v>
      </c>
      <c r="B7680" t="s">
        <v>4144</v>
      </c>
      <c r="C7680" t="s">
        <v>4145</v>
      </c>
      <c r="D7680" t="str">
        <f>HYPERLINK("http://service.sap.com/sap/support/notes/1567740","1567740")</f>
        <v>1567740</v>
      </c>
      <c r="E7680">
        <v>1</v>
      </c>
      <c r="F7680" t="s">
        <v>7287</v>
      </c>
    </row>
    <row r="7681" spans="1:6" x14ac:dyDescent="0.25">
      <c r="A7681" t="s">
        <v>7322</v>
      </c>
      <c r="B7681" t="s">
        <v>126</v>
      </c>
      <c r="C7681" t="s">
        <v>127</v>
      </c>
    </row>
    <row r="7682" spans="1:6" x14ac:dyDescent="0.25">
      <c r="A7682" t="s">
        <v>7322</v>
      </c>
      <c r="B7682" t="s">
        <v>824</v>
      </c>
      <c r="C7682" t="s">
        <v>1777</v>
      </c>
    </row>
    <row r="7683" spans="1:6" x14ac:dyDescent="0.25">
      <c r="A7683" t="s">
        <v>7322</v>
      </c>
      <c r="B7683" t="s">
        <v>4416</v>
      </c>
      <c r="C7683" t="s">
        <v>4417</v>
      </c>
      <c r="D7683" t="str">
        <f>HYPERLINK("http://service.sap.com/sap/support/notes/1399156","1399156")</f>
        <v>1399156</v>
      </c>
      <c r="E7683">
        <v>2</v>
      </c>
      <c r="F7683" t="s">
        <v>7288</v>
      </c>
    </row>
    <row r="7684" spans="1:6" x14ac:dyDescent="0.25">
      <c r="A7684" t="s">
        <v>7322</v>
      </c>
      <c r="B7684" t="s">
        <v>4416</v>
      </c>
      <c r="C7684" t="s">
        <v>4417</v>
      </c>
      <c r="D7684" t="str">
        <f>HYPERLINK("http://service.sap.com/sap/support/notes/1566414","1566414")</f>
        <v>1566414</v>
      </c>
      <c r="E7684">
        <v>1</v>
      </c>
      <c r="F7684" t="s">
        <v>7289</v>
      </c>
    </row>
    <row r="7685" spans="1:6" x14ac:dyDescent="0.25">
      <c r="A7685" t="s">
        <v>7322</v>
      </c>
      <c r="B7685" t="s">
        <v>4157</v>
      </c>
      <c r="C7685" t="s">
        <v>4158</v>
      </c>
      <c r="D7685" t="str">
        <f>HYPERLINK("http://service.sap.com/sap/support/notes/1560792","1560792")</f>
        <v>1560792</v>
      </c>
      <c r="E7685">
        <v>1</v>
      </c>
      <c r="F7685" t="s">
        <v>7290</v>
      </c>
    </row>
    <row r="7686" spans="1:6" x14ac:dyDescent="0.25">
      <c r="A7686" t="s">
        <v>7322</v>
      </c>
      <c r="B7686" t="s">
        <v>825</v>
      </c>
      <c r="C7686" t="s">
        <v>1778</v>
      </c>
      <c r="D7686" t="str">
        <f>HYPERLINK("http://service.sap.com/sap/support/notes/1316549","1316549")</f>
        <v>1316549</v>
      </c>
      <c r="E7686">
        <v>4</v>
      </c>
      <c r="F7686" t="s">
        <v>7291</v>
      </c>
    </row>
    <row r="7687" spans="1:6" x14ac:dyDescent="0.25">
      <c r="A7687" t="s">
        <v>7322</v>
      </c>
      <c r="B7687" t="s">
        <v>825</v>
      </c>
      <c r="C7687" t="s">
        <v>1778</v>
      </c>
      <c r="D7687" t="str">
        <f>HYPERLINK("http://service.sap.com/sap/support/notes/1344943","1344943")</f>
        <v>1344943</v>
      </c>
      <c r="E7687">
        <v>2</v>
      </c>
      <c r="F7687" t="s">
        <v>7292</v>
      </c>
    </row>
    <row r="7688" spans="1:6" x14ac:dyDescent="0.25">
      <c r="A7688" t="s">
        <v>7322</v>
      </c>
      <c r="B7688" t="s">
        <v>825</v>
      </c>
      <c r="C7688" t="s">
        <v>1778</v>
      </c>
      <c r="D7688" t="str">
        <f>HYPERLINK("http://service.sap.com/sap/support/notes/1426832","1426832")</f>
        <v>1426832</v>
      </c>
      <c r="E7688">
        <v>4</v>
      </c>
      <c r="F7688" t="s">
        <v>7293</v>
      </c>
    </row>
    <row r="7689" spans="1:6" x14ac:dyDescent="0.25">
      <c r="A7689" t="s">
        <v>7322</v>
      </c>
      <c r="B7689" t="s">
        <v>825</v>
      </c>
      <c r="C7689" t="s">
        <v>1778</v>
      </c>
      <c r="D7689" t="str">
        <f>HYPERLINK("http://service.sap.com/sap/support/notes/1499441","1499441")</f>
        <v>1499441</v>
      </c>
      <c r="E7689">
        <v>1</v>
      </c>
      <c r="F7689" t="s">
        <v>7294</v>
      </c>
    </row>
    <row r="7690" spans="1:6" x14ac:dyDescent="0.25">
      <c r="A7690" t="s">
        <v>7322</v>
      </c>
      <c r="B7690" t="s">
        <v>825</v>
      </c>
      <c r="C7690" t="s">
        <v>1778</v>
      </c>
      <c r="D7690" t="str">
        <f>HYPERLINK("http://service.sap.com/sap/support/notes/1528511","1528511")</f>
        <v>1528511</v>
      </c>
      <c r="E7690">
        <v>2</v>
      </c>
      <c r="F7690" t="s">
        <v>7295</v>
      </c>
    </row>
    <row r="7691" spans="1:6" x14ac:dyDescent="0.25">
      <c r="A7691" t="s">
        <v>7322</v>
      </c>
      <c r="B7691" t="s">
        <v>825</v>
      </c>
      <c r="C7691" t="s">
        <v>1778</v>
      </c>
      <c r="D7691" t="str">
        <f>HYPERLINK("http://service.sap.com/sap/support/notes/1552053","1552053")</f>
        <v>1552053</v>
      </c>
      <c r="E7691">
        <v>1</v>
      </c>
      <c r="F7691" t="s">
        <v>7296</v>
      </c>
    </row>
    <row r="7692" spans="1:6" x14ac:dyDescent="0.25">
      <c r="A7692" t="s">
        <v>7322</v>
      </c>
      <c r="B7692" t="s">
        <v>825</v>
      </c>
      <c r="C7692" t="s">
        <v>1778</v>
      </c>
      <c r="D7692" t="str">
        <f>HYPERLINK("http://service.sap.com/sap/support/notes/1554020","1554020")</f>
        <v>1554020</v>
      </c>
      <c r="E7692">
        <v>2</v>
      </c>
      <c r="F7692" t="s">
        <v>7297</v>
      </c>
    </row>
    <row r="7693" spans="1:6" x14ac:dyDescent="0.25">
      <c r="A7693" t="s">
        <v>7322</v>
      </c>
      <c r="B7693" t="s">
        <v>825</v>
      </c>
      <c r="C7693" t="s">
        <v>1778</v>
      </c>
      <c r="D7693" t="str">
        <f>HYPERLINK("http://service.sap.com/sap/support/notes/1554476","1554476")</f>
        <v>1554476</v>
      </c>
      <c r="E7693">
        <v>1</v>
      </c>
      <c r="F7693" t="s">
        <v>7298</v>
      </c>
    </row>
    <row r="7694" spans="1:6" x14ac:dyDescent="0.25">
      <c r="A7694" t="s">
        <v>7322</v>
      </c>
      <c r="B7694" t="s">
        <v>825</v>
      </c>
      <c r="C7694" t="s">
        <v>1778</v>
      </c>
      <c r="D7694" t="str">
        <f>HYPERLINK("http://service.sap.com/sap/support/notes/1555003","1555003")</f>
        <v>1555003</v>
      </c>
      <c r="E7694">
        <v>1</v>
      </c>
      <c r="F7694" t="s">
        <v>7299</v>
      </c>
    </row>
    <row r="7695" spans="1:6" x14ac:dyDescent="0.25">
      <c r="A7695" t="s">
        <v>7322</v>
      </c>
      <c r="B7695" t="s">
        <v>825</v>
      </c>
      <c r="C7695" t="s">
        <v>1778</v>
      </c>
      <c r="D7695" t="str">
        <f>HYPERLINK("http://service.sap.com/sap/support/notes/1558408","1558408")</f>
        <v>1558408</v>
      </c>
      <c r="E7695">
        <v>1</v>
      </c>
      <c r="F7695" t="s">
        <v>7300</v>
      </c>
    </row>
    <row r="7696" spans="1:6" x14ac:dyDescent="0.25">
      <c r="A7696" t="s">
        <v>7322</v>
      </c>
      <c r="B7696" t="s">
        <v>825</v>
      </c>
      <c r="C7696" t="s">
        <v>1778</v>
      </c>
      <c r="D7696" t="str">
        <f>HYPERLINK("http://service.sap.com/sap/support/notes/1559087","1559087")</f>
        <v>1559087</v>
      </c>
      <c r="E7696">
        <v>1</v>
      </c>
      <c r="F7696" t="s">
        <v>7301</v>
      </c>
    </row>
    <row r="7697" spans="1:6" x14ac:dyDescent="0.25">
      <c r="A7697" t="s">
        <v>7322</v>
      </c>
      <c r="B7697" t="s">
        <v>825</v>
      </c>
      <c r="C7697" t="s">
        <v>1778</v>
      </c>
      <c r="D7697" t="str">
        <f>HYPERLINK("http://service.sap.com/sap/support/notes/1561194","1561194")</f>
        <v>1561194</v>
      </c>
      <c r="E7697">
        <v>2</v>
      </c>
      <c r="F7697" t="s">
        <v>7302</v>
      </c>
    </row>
    <row r="7698" spans="1:6" x14ac:dyDescent="0.25">
      <c r="A7698" t="s">
        <v>7322</v>
      </c>
      <c r="B7698" t="s">
        <v>825</v>
      </c>
      <c r="C7698" t="s">
        <v>1778</v>
      </c>
      <c r="D7698" t="str">
        <f>HYPERLINK("http://service.sap.com/sap/support/notes/1562946","1562946")</f>
        <v>1562946</v>
      </c>
      <c r="E7698">
        <v>1</v>
      </c>
      <c r="F7698" t="s">
        <v>7303</v>
      </c>
    </row>
    <row r="7699" spans="1:6" x14ac:dyDescent="0.25">
      <c r="A7699" t="s">
        <v>7322</v>
      </c>
      <c r="B7699" t="s">
        <v>825</v>
      </c>
      <c r="C7699" t="s">
        <v>1778</v>
      </c>
      <c r="D7699" t="str">
        <f>HYPERLINK("http://service.sap.com/sap/support/notes/1564265","1564265")</f>
        <v>1564265</v>
      </c>
      <c r="E7699">
        <v>1</v>
      </c>
      <c r="F7699" t="s">
        <v>7304</v>
      </c>
    </row>
    <row r="7700" spans="1:6" x14ac:dyDescent="0.25">
      <c r="A7700" t="s">
        <v>7322</v>
      </c>
      <c r="B7700" t="s">
        <v>825</v>
      </c>
      <c r="C7700" t="s">
        <v>1778</v>
      </c>
      <c r="D7700" t="str">
        <f>HYPERLINK("http://service.sap.com/sap/support/notes/1566430","1566430")</f>
        <v>1566430</v>
      </c>
      <c r="E7700">
        <v>1</v>
      </c>
      <c r="F7700" t="s">
        <v>7305</v>
      </c>
    </row>
    <row r="7701" spans="1:6" x14ac:dyDescent="0.25">
      <c r="A7701" t="s">
        <v>7322</v>
      </c>
      <c r="B7701" t="s">
        <v>831</v>
      </c>
      <c r="C7701" t="s">
        <v>2598</v>
      </c>
    </row>
    <row r="7702" spans="1:6" x14ac:dyDescent="0.25">
      <c r="A7702" t="s">
        <v>7322</v>
      </c>
      <c r="B7702" t="s">
        <v>832</v>
      </c>
      <c r="C7702" t="s">
        <v>6371</v>
      </c>
      <c r="D7702" t="str">
        <f>HYPERLINK("http://service.sap.com/sap/support/notes/1558749","1558749")</f>
        <v>1558749</v>
      </c>
      <c r="E7702">
        <v>1</v>
      </c>
      <c r="F7702" t="s">
        <v>7306</v>
      </c>
    </row>
    <row r="7703" spans="1:6" x14ac:dyDescent="0.25">
      <c r="A7703" t="s">
        <v>7322</v>
      </c>
      <c r="B7703" t="s">
        <v>849</v>
      </c>
      <c r="C7703" t="s">
        <v>4450</v>
      </c>
    </row>
    <row r="7704" spans="1:6" x14ac:dyDescent="0.25">
      <c r="A7704" t="s">
        <v>7322</v>
      </c>
      <c r="B7704" t="s">
        <v>867</v>
      </c>
      <c r="C7704" t="s">
        <v>4451</v>
      </c>
    </row>
    <row r="7705" spans="1:6" x14ac:dyDescent="0.25">
      <c r="A7705" t="s">
        <v>7322</v>
      </c>
      <c r="B7705" t="s">
        <v>868</v>
      </c>
      <c r="C7705" t="s">
        <v>6376</v>
      </c>
      <c r="D7705" t="str">
        <f>HYPERLINK("http://service.sap.com/sap/support/notes/1554155","1554155")</f>
        <v>1554155</v>
      </c>
      <c r="E7705">
        <v>1</v>
      </c>
      <c r="F7705" t="s">
        <v>7307</v>
      </c>
    </row>
    <row r="7706" spans="1:6" x14ac:dyDescent="0.25">
      <c r="A7706" t="s">
        <v>7322</v>
      </c>
      <c r="B7706" t="s">
        <v>4452</v>
      </c>
      <c r="C7706" t="s">
        <v>4048</v>
      </c>
      <c r="D7706" t="str">
        <f>HYPERLINK("http://service.sap.com/sap/support/notes/1131910","1131910")</f>
        <v>1131910</v>
      </c>
      <c r="E7706">
        <v>3</v>
      </c>
      <c r="F7706" t="s">
        <v>7308</v>
      </c>
    </row>
    <row r="7707" spans="1:6" x14ac:dyDescent="0.25">
      <c r="A7707" t="s">
        <v>7322</v>
      </c>
      <c r="B7707" t="s">
        <v>4452</v>
      </c>
      <c r="C7707" t="s">
        <v>4048</v>
      </c>
      <c r="D7707" t="str">
        <f>HYPERLINK("http://service.sap.com/sap/support/notes/1463466","1463466")</f>
        <v>1463466</v>
      </c>
      <c r="E7707">
        <v>2</v>
      </c>
      <c r="F7707" t="s">
        <v>7309</v>
      </c>
    </row>
    <row r="7708" spans="1:6" x14ac:dyDescent="0.25">
      <c r="A7708" t="s">
        <v>7322</v>
      </c>
      <c r="B7708" t="s">
        <v>4452</v>
      </c>
      <c r="C7708" t="s">
        <v>4048</v>
      </c>
      <c r="D7708" t="str">
        <f>HYPERLINK("http://service.sap.com/sap/support/notes/1530395","1530395")</f>
        <v>1530395</v>
      </c>
      <c r="E7708">
        <v>1</v>
      </c>
      <c r="F7708" t="s">
        <v>7310</v>
      </c>
    </row>
    <row r="7709" spans="1:6" x14ac:dyDescent="0.25">
      <c r="A7709" t="s">
        <v>7322</v>
      </c>
      <c r="B7709" t="s">
        <v>131</v>
      </c>
      <c r="C7709" t="s">
        <v>132</v>
      </c>
    </row>
    <row r="7710" spans="1:6" x14ac:dyDescent="0.25">
      <c r="A7710" t="s">
        <v>7322</v>
      </c>
      <c r="B7710" t="s">
        <v>155</v>
      </c>
      <c r="C7710" t="s">
        <v>156</v>
      </c>
      <c r="D7710" t="str">
        <f>HYPERLINK("http://service.sap.com/sap/support/notes/1562464","1562464")</f>
        <v>1562464</v>
      </c>
      <c r="E7710">
        <v>1</v>
      </c>
      <c r="F7710" t="s">
        <v>2620</v>
      </c>
    </row>
    <row r="7711" spans="1:6" x14ac:dyDescent="0.25">
      <c r="A7711" t="s">
        <v>7322</v>
      </c>
      <c r="B7711" t="s">
        <v>155</v>
      </c>
      <c r="C7711" t="s">
        <v>156</v>
      </c>
      <c r="D7711" t="str">
        <f>HYPERLINK("http://service.sap.com/sap/support/notes/1563348","1563348")</f>
        <v>1563348</v>
      </c>
      <c r="E7711">
        <v>1</v>
      </c>
      <c r="F7711" t="s">
        <v>2622</v>
      </c>
    </row>
    <row r="7712" spans="1:6" x14ac:dyDescent="0.25">
      <c r="A7712" t="s">
        <v>7322</v>
      </c>
      <c r="B7712" t="s">
        <v>155</v>
      </c>
      <c r="C7712" t="s">
        <v>156</v>
      </c>
      <c r="D7712" t="str">
        <f>HYPERLINK("http://service.sap.com/sap/support/notes/1563839","1563839")</f>
        <v>1563839</v>
      </c>
      <c r="E7712">
        <v>1</v>
      </c>
      <c r="F7712" t="s">
        <v>2623</v>
      </c>
    </row>
    <row r="7713" spans="1:6" x14ac:dyDescent="0.25">
      <c r="A7713" t="s">
        <v>7322</v>
      </c>
      <c r="B7713" t="s">
        <v>155</v>
      </c>
      <c r="C7713" t="s">
        <v>156</v>
      </c>
      <c r="D7713" t="str">
        <f>HYPERLINK("http://service.sap.com/sap/support/notes/1568307","1568307")</f>
        <v>1568307</v>
      </c>
      <c r="E7713">
        <v>1</v>
      </c>
      <c r="F7713" t="s">
        <v>2626</v>
      </c>
    </row>
    <row r="7714" spans="1:6" x14ac:dyDescent="0.25">
      <c r="A7714" t="s">
        <v>7322</v>
      </c>
      <c r="B7714" t="s">
        <v>168</v>
      </c>
      <c r="C7714" t="s">
        <v>169</v>
      </c>
      <c r="D7714" t="str">
        <f>HYPERLINK("http://service.sap.com/sap/support/notes/1564785","1564785")</f>
        <v>1564785</v>
      </c>
      <c r="E7714">
        <v>1</v>
      </c>
      <c r="F7714" t="s">
        <v>7311</v>
      </c>
    </row>
    <row r="7715" spans="1:6" x14ac:dyDescent="0.25">
      <c r="A7715" t="s">
        <v>7322</v>
      </c>
      <c r="B7715" t="s">
        <v>201</v>
      </c>
      <c r="C7715" t="s">
        <v>202</v>
      </c>
    </row>
    <row r="7716" spans="1:6" x14ac:dyDescent="0.25">
      <c r="A7716" t="s">
        <v>7322</v>
      </c>
      <c r="B7716" t="s">
        <v>2275</v>
      </c>
      <c r="C7716" t="s">
        <v>2276</v>
      </c>
      <c r="D7716" t="str">
        <f>HYPERLINK("http://service.sap.com/sap/support/notes/1560807","1560807")</f>
        <v>1560807</v>
      </c>
      <c r="E7716">
        <v>3</v>
      </c>
      <c r="F7716" t="s">
        <v>7312</v>
      </c>
    </row>
    <row r="7717" spans="1:6" x14ac:dyDescent="0.25">
      <c r="A7717" t="s">
        <v>7322</v>
      </c>
      <c r="B7717" t="s">
        <v>226</v>
      </c>
      <c r="C7717" t="s">
        <v>52</v>
      </c>
    </row>
    <row r="7718" spans="1:6" x14ac:dyDescent="0.25">
      <c r="A7718" t="s">
        <v>7322</v>
      </c>
      <c r="B7718" t="s">
        <v>235</v>
      </c>
      <c r="C7718" t="s">
        <v>236</v>
      </c>
    </row>
    <row r="7719" spans="1:6" x14ac:dyDescent="0.25">
      <c r="A7719" t="s">
        <v>7322</v>
      </c>
      <c r="B7719" t="s">
        <v>246</v>
      </c>
      <c r="C7719" t="s">
        <v>247</v>
      </c>
      <c r="D7719" t="str">
        <f>HYPERLINK("http://service.sap.com/sap/support/notes/1559750","1559750")</f>
        <v>1559750</v>
      </c>
      <c r="E7719">
        <v>2</v>
      </c>
      <c r="F7719" t="s">
        <v>7189</v>
      </c>
    </row>
    <row r="7720" spans="1:6" x14ac:dyDescent="0.25">
      <c r="A7720" t="s">
        <v>7322</v>
      </c>
      <c r="B7720" t="s">
        <v>246</v>
      </c>
      <c r="C7720" t="s">
        <v>247</v>
      </c>
      <c r="D7720" t="str">
        <f>HYPERLINK("http://service.sap.com/sap/support/notes/1562961","1562961")</f>
        <v>1562961</v>
      </c>
      <c r="E7720">
        <v>1</v>
      </c>
      <c r="F7720" t="s">
        <v>2701</v>
      </c>
    </row>
    <row r="7721" spans="1:6" x14ac:dyDescent="0.25">
      <c r="A7721" t="s">
        <v>7322</v>
      </c>
      <c r="B7721" t="s">
        <v>250</v>
      </c>
      <c r="C7721" t="s">
        <v>251</v>
      </c>
    </row>
    <row r="7722" spans="1:6" x14ac:dyDescent="0.25">
      <c r="A7722" t="s">
        <v>7322</v>
      </c>
      <c r="B7722" t="s">
        <v>5313</v>
      </c>
      <c r="C7722" t="s">
        <v>5314</v>
      </c>
      <c r="D7722" t="str">
        <f>HYPERLINK("http://service.sap.com/sap/support/notes/1563459","1563459")</f>
        <v>1563459</v>
      </c>
      <c r="E7722">
        <v>1</v>
      </c>
      <c r="F7722" t="s">
        <v>7313</v>
      </c>
    </row>
    <row r="7723" spans="1:6" x14ac:dyDescent="0.25">
      <c r="A7723" t="s">
        <v>7322</v>
      </c>
      <c r="B7723" t="s">
        <v>258</v>
      </c>
      <c r="C7723" t="s">
        <v>259</v>
      </c>
      <c r="D7723" t="str">
        <f>HYPERLINK("http://service.sap.com/sap/support/notes/1564387","1564387")</f>
        <v>1564387</v>
      </c>
      <c r="E7723">
        <v>2</v>
      </c>
      <c r="F7723" t="s">
        <v>2712</v>
      </c>
    </row>
    <row r="7724" spans="1:6" x14ac:dyDescent="0.25">
      <c r="A7724" t="s">
        <v>7322</v>
      </c>
      <c r="B7724" t="s">
        <v>273</v>
      </c>
      <c r="C7724" t="s">
        <v>153</v>
      </c>
    </row>
    <row r="7725" spans="1:6" x14ac:dyDescent="0.25">
      <c r="A7725" t="s">
        <v>7322</v>
      </c>
      <c r="B7725" t="s">
        <v>284</v>
      </c>
      <c r="C7725" t="s">
        <v>285</v>
      </c>
      <c r="D7725" t="str">
        <f>HYPERLINK("http://service.sap.com/sap/support/notes/1564802","1564802")</f>
        <v>1564802</v>
      </c>
      <c r="E7725">
        <v>1</v>
      </c>
      <c r="F7725" t="s">
        <v>2730</v>
      </c>
    </row>
    <row r="7726" spans="1:6" x14ac:dyDescent="0.25">
      <c r="A7726" t="s">
        <v>7322</v>
      </c>
      <c r="B7726" t="s">
        <v>343</v>
      </c>
      <c r="C7726" t="s">
        <v>344</v>
      </c>
      <c r="D7726" t="str">
        <f>HYPERLINK("http://service.sap.com/sap/support/notes/1564356","1564356")</f>
        <v>1564356</v>
      </c>
      <c r="E7726">
        <v>1</v>
      </c>
      <c r="F7726" t="s">
        <v>7314</v>
      </c>
    </row>
    <row r="7727" spans="1:6" x14ac:dyDescent="0.25">
      <c r="A7727" t="s">
        <v>7322</v>
      </c>
      <c r="B7727" t="s">
        <v>343</v>
      </c>
      <c r="C7727" t="s">
        <v>344</v>
      </c>
      <c r="D7727" t="str">
        <f>HYPERLINK("http://service.sap.com/sap/support/notes/1564954","1564954")</f>
        <v>1564954</v>
      </c>
      <c r="E7727">
        <v>1</v>
      </c>
      <c r="F7727" t="s">
        <v>7315</v>
      </c>
    </row>
    <row r="7728" spans="1:6" x14ac:dyDescent="0.25">
      <c r="A7728" t="s">
        <v>7322</v>
      </c>
      <c r="B7728" t="s">
        <v>349</v>
      </c>
      <c r="C7728" t="s">
        <v>299</v>
      </c>
    </row>
    <row r="7729" spans="1:6" x14ac:dyDescent="0.25">
      <c r="A7729" t="s">
        <v>7322</v>
      </c>
      <c r="B7729" t="s">
        <v>350</v>
      </c>
      <c r="C7729" t="s">
        <v>351</v>
      </c>
      <c r="D7729" t="str">
        <f>HYPERLINK("http://service.sap.com/sap/support/notes/1569795","1569795")</f>
        <v>1569795</v>
      </c>
      <c r="E7729">
        <v>1</v>
      </c>
      <c r="F7729" t="s">
        <v>7316</v>
      </c>
    </row>
    <row r="7730" spans="1:6" x14ac:dyDescent="0.25">
      <c r="A7730" t="s">
        <v>7322</v>
      </c>
      <c r="B7730" t="s">
        <v>363</v>
      </c>
      <c r="C7730" t="s">
        <v>74</v>
      </c>
      <c r="D7730" t="str">
        <f>HYPERLINK("http://service.sap.com/sap/support/notes/1542951","1542951")</f>
        <v>1542951</v>
      </c>
      <c r="E7730">
        <v>1</v>
      </c>
      <c r="F7730" t="s">
        <v>7070</v>
      </c>
    </row>
    <row r="7731" spans="1:6" x14ac:dyDescent="0.25">
      <c r="A7731" t="s">
        <v>7322</v>
      </c>
      <c r="B7731" t="s">
        <v>371</v>
      </c>
      <c r="C7731" t="s">
        <v>372</v>
      </c>
      <c r="D7731" t="str">
        <f>HYPERLINK("http://service.sap.com/sap/support/notes/1531593","1531593")</f>
        <v>1531593</v>
      </c>
      <c r="E7731">
        <v>1</v>
      </c>
      <c r="F7731" t="s">
        <v>7191</v>
      </c>
    </row>
    <row r="7732" spans="1:6" x14ac:dyDescent="0.25">
      <c r="A7732" t="s">
        <v>7322</v>
      </c>
      <c r="B7732" t="s">
        <v>396</v>
      </c>
      <c r="C7732" t="s">
        <v>397</v>
      </c>
      <c r="D7732" t="str">
        <f>HYPERLINK("http://service.sap.com/sap/support/notes/1346548","1346548")</f>
        <v>1346548</v>
      </c>
      <c r="E7732">
        <v>1</v>
      </c>
      <c r="F7732" t="s">
        <v>2841</v>
      </c>
    </row>
    <row r="7733" spans="1:6" x14ac:dyDescent="0.25">
      <c r="A7733" t="s">
        <v>7322</v>
      </c>
      <c r="B7733" t="s">
        <v>460</v>
      </c>
      <c r="C7733" t="s">
        <v>461</v>
      </c>
      <c r="D7733" t="str">
        <f>HYPERLINK("http://service.sap.com/sap/support/notes/1568837","1568837")</f>
        <v>1568837</v>
      </c>
      <c r="E7733">
        <v>2</v>
      </c>
      <c r="F7733" t="s">
        <v>2899</v>
      </c>
    </row>
    <row r="7734" spans="1:6" x14ac:dyDescent="0.25">
      <c r="A7734" t="s">
        <v>7322</v>
      </c>
      <c r="B7734" t="s">
        <v>472</v>
      </c>
      <c r="C7734" t="s">
        <v>473</v>
      </c>
      <c r="D7734" t="str">
        <f>HYPERLINK("http://service.sap.com/sap/support/notes/1481383","1481383")</f>
        <v>1481383</v>
      </c>
      <c r="E7734">
        <v>6</v>
      </c>
      <c r="F7734" t="s">
        <v>2902</v>
      </c>
    </row>
    <row r="7735" spans="1:6" x14ac:dyDescent="0.25">
      <c r="A7735" t="s">
        <v>7322</v>
      </c>
      <c r="B7735" t="s">
        <v>476</v>
      </c>
      <c r="C7735" t="s">
        <v>477</v>
      </c>
      <c r="D7735" t="str">
        <f>HYPERLINK("http://service.sap.com/sap/support/notes/1563758","1563758")</f>
        <v>1563758</v>
      </c>
      <c r="E7735">
        <v>1</v>
      </c>
      <c r="F7735" t="s">
        <v>7317</v>
      </c>
    </row>
    <row r="7736" spans="1:6" x14ac:dyDescent="0.25">
      <c r="A7736" t="s">
        <v>7322</v>
      </c>
      <c r="B7736" t="s">
        <v>476</v>
      </c>
      <c r="C7736" t="s">
        <v>477</v>
      </c>
      <c r="D7736" t="str">
        <f>HYPERLINK("http://service.sap.com/sap/support/notes/1568309","1568309")</f>
        <v>1568309</v>
      </c>
      <c r="E7736">
        <v>1</v>
      </c>
      <c r="F7736" t="s">
        <v>7318</v>
      </c>
    </row>
    <row r="7737" spans="1:6" x14ac:dyDescent="0.25">
      <c r="A7737" t="s">
        <v>7322</v>
      </c>
      <c r="B7737" t="s">
        <v>476</v>
      </c>
      <c r="C7737" t="s">
        <v>477</v>
      </c>
      <c r="D7737" t="str">
        <f>HYPERLINK("http://service.sap.com/sap/support/notes/1569051","1569051")</f>
        <v>1569051</v>
      </c>
      <c r="E7737">
        <v>1</v>
      </c>
      <c r="F7737" t="s">
        <v>7319</v>
      </c>
    </row>
    <row r="7738" spans="1:6" x14ac:dyDescent="0.25">
      <c r="A7738" t="s">
        <v>7322</v>
      </c>
      <c r="B7738" t="s">
        <v>499</v>
      </c>
      <c r="C7738" t="s">
        <v>108</v>
      </c>
    </row>
    <row r="7739" spans="1:6" x14ac:dyDescent="0.25">
      <c r="A7739" t="s">
        <v>7322</v>
      </c>
      <c r="B7739" t="s">
        <v>1269</v>
      </c>
      <c r="C7739" t="s">
        <v>1270</v>
      </c>
      <c r="D7739" t="str">
        <f>HYPERLINK("http://service.sap.com/sap/support/notes/1483769","1483769")</f>
        <v>1483769</v>
      </c>
      <c r="E7739">
        <v>2</v>
      </c>
      <c r="F7739" t="s">
        <v>7320</v>
      </c>
    </row>
    <row r="7740" spans="1:6" x14ac:dyDescent="0.25">
      <c r="A7740" t="s">
        <v>7322</v>
      </c>
      <c r="B7740" t="s">
        <v>1269</v>
      </c>
      <c r="C7740" t="s">
        <v>1270</v>
      </c>
      <c r="D7740" t="str">
        <f>HYPERLINK("http://service.sap.com/sap/support/notes/1561091","1561091")</f>
        <v>1561091</v>
      </c>
      <c r="E7740">
        <v>2</v>
      </c>
      <c r="F7740" t="s">
        <v>7321</v>
      </c>
    </row>
    <row r="7741" spans="1:6" x14ac:dyDescent="0.25">
      <c r="A7741" t="s">
        <v>7512</v>
      </c>
      <c r="B7741" t="s">
        <v>573</v>
      </c>
      <c r="C7741" t="s">
        <v>4037</v>
      </c>
    </row>
    <row r="7742" spans="1:6" x14ac:dyDescent="0.25">
      <c r="A7742" t="s">
        <v>7512</v>
      </c>
      <c r="B7742" t="s">
        <v>4038</v>
      </c>
      <c r="C7742" t="s">
        <v>4039</v>
      </c>
    </row>
    <row r="7743" spans="1:6" x14ac:dyDescent="0.25">
      <c r="A7743" t="s">
        <v>7512</v>
      </c>
      <c r="B7743" t="s">
        <v>7323</v>
      </c>
      <c r="C7743" t="s">
        <v>7324</v>
      </c>
    </row>
    <row r="7744" spans="1:6" x14ac:dyDescent="0.25">
      <c r="A7744" t="s">
        <v>7512</v>
      </c>
      <c r="B7744" t="s">
        <v>7325</v>
      </c>
      <c r="C7744" t="s">
        <v>7326</v>
      </c>
      <c r="D7744" t="str">
        <f>HYPERLINK("http://service.sap.com/sap/support/notes/1400267","1400267")</f>
        <v>1400267</v>
      </c>
      <c r="E7744">
        <v>1</v>
      </c>
      <c r="F7744" t="s">
        <v>7327</v>
      </c>
    </row>
    <row r="7745" spans="1:6" x14ac:dyDescent="0.25">
      <c r="A7745" t="s">
        <v>7512</v>
      </c>
      <c r="B7745" t="s">
        <v>4043</v>
      </c>
      <c r="C7745" t="s">
        <v>4044</v>
      </c>
    </row>
    <row r="7746" spans="1:6" x14ac:dyDescent="0.25">
      <c r="A7746" t="s">
        <v>7512</v>
      </c>
      <c r="B7746" t="s">
        <v>4045</v>
      </c>
      <c r="C7746" t="s">
        <v>4046</v>
      </c>
    </row>
    <row r="7747" spans="1:6" x14ac:dyDescent="0.25">
      <c r="A7747" t="s">
        <v>7512</v>
      </c>
      <c r="B7747" t="s">
        <v>4047</v>
      </c>
      <c r="C7747" t="s">
        <v>4048</v>
      </c>
      <c r="D7747" t="str">
        <f>HYPERLINK("http://service.sap.com/sap/support/notes/1552077","1552077")</f>
        <v>1552077</v>
      </c>
      <c r="E7747">
        <v>1</v>
      </c>
      <c r="F7747" t="s">
        <v>4197</v>
      </c>
    </row>
    <row r="7748" spans="1:6" x14ac:dyDescent="0.25">
      <c r="A7748" t="s">
        <v>7512</v>
      </c>
      <c r="B7748" t="s">
        <v>4047</v>
      </c>
      <c r="C7748" t="s">
        <v>4048</v>
      </c>
      <c r="D7748" t="str">
        <f>HYPERLINK("http://service.sap.com/sap/support/notes/1571022","1571022")</f>
        <v>1571022</v>
      </c>
      <c r="E7748">
        <v>4</v>
      </c>
      <c r="F7748" t="s">
        <v>7328</v>
      </c>
    </row>
    <row r="7749" spans="1:6" x14ac:dyDescent="0.25">
      <c r="A7749" t="s">
        <v>7512</v>
      </c>
      <c r="B7749" t="s">
        <v>4047</v>
      </c>
      <c r="C7749" t="s">
        <v>4048</v>
      </c>
      <c r="D7749" t="str">
        <f>HYPERLINK("http://service.sap.com/sap/support/notes/1576322","1576322")</f>
        <v>1576322</v>
      </c>
      <c r="E7749">
        <v>8</v>
      </c>
      <c r="F7749" t="s">
        <v>7329</v>
      </c>
    </row>
    <row r="7750" spans="1:6" x14ac:dyDescent="0.25">
      <c r="A7750" t="s">
        <v>7512</v>
      </c>
      <c r="B7750" t="s">
        <v>4047</v>
      </c>
      <c r="C7750" t="s">
        <v>4048</v>
      </c>
      <c r="D7750" t="str">
        <f>HYPERLINK("http://service.sap.com/sap/support/notes/1581493","1581493")</f>
        <v>1581493</v>
      </c>
      <c r="E7750">
        <v>1</v>
      </c>
      <c r="F7750" t="s">
        <v>7330</v>
      </c>
    </row>
    <row r="7751" spans="1:6" x14ac:dyDescent="0.25">
      <c r="A7751" t="s">
        <v>7512</v>
      </c>
      <c r="B7751" t="s">
        <v>585</v>
      </c>
      <c r="C7751" t="s">
        <v>1443</v>
      </c>
    </row>
    <row r="7752" spans="1:6" x14ac:dyDescent="0.25">
      <c r="A7752" t="s">
        <v>7512</v>
      </c>
      <c r="B7752" t="s">
        <v>586</v>
      </c>
      <c r="C7752" t="s">
        <v>1444</v>
      </c>
    </row>
    <row r="7753" spans="1:6" x14ac:dyDescent="0.25">
      <c r="A7753" t="s">
        <v>7512</v>
      </c>
      <c r="B7753" t="s">
        <v>587</v>
      </c>
      <c r="C7753" t="s">
        <v>1445</v>
      </c>
    </row>
    <row r="7754" spans="1:6" x14ac:dyDescent="0.25">
      <c r="A7754" t="s">
        <v>7512</v>
      </c>
      <c r="B7754" t="s">
        <v>588</v>
      </c>
      <c r="C7754" t="s">
        <v>1446</v>
      </c>
      <c r="D7754" t="str">
        <f>HYPERLINK("http://service.sap.com/sap/support/notes/1379940","1379940")</f>
        <v>1379940</v>
      </c>
      <c r="E7754">
        <v>4</v>
      </c>
      <c r="F7754" t="s">
        <v>7331</v>
      </c>
    </row>
    <row r="7755" spans="1:6" x14ac:dyDescent="0.25">
      <c r="A7755" t="s">
        <v>7512</v>
      </c>
      <c r="B7755" t="s">
        <v>588</v>
      </c>
      <c r="C7755" t="s">
        <v>1446</v>
      </c>
      <c r="D7755" t="str">
        <f>HYPERLINK("http://service.sap.com/sap/support/notes/1568271","1568271")</f>
        <v>1568271</v>
      </c>
      <c r="E7755">
        <v>1</v>
      </c>
      <c r="F7755" t="s">
        <v>7210</v>
      </c>
    </row>
    <row r="7756" spans="1:6" x14ac:dyDescent="0.25">
      <c r="A7756" t="s">
        <v>7512</v>
      </c>
      <c r="B7756" t="s">
        <v>588</v>
      </c>
      <c r="C7756" t="s">
        <v>1446</v>
      </c>
      <c r="D7756" t="str">
        <f>HYPERLINK("http://service.sap.com/sap/support/notes/1572200","1572200")</f>
        <v>1572200</v>
      </c>
      <c r="E7756">
        <v>1</v>
      </c>
      <c r="F7756" t="s">
        <v>7332</v>
      </c>
    </row>
    <row r="7757" spans="1:6" x14ac:dyDescent="0.25">
      <c r="A7757" t="s">
        <v>7512</v>
      </c>
      <c r="B7757" t="s">
        <v>588</v>
      </c>
      <c r="C7757" t="s">
        <v>1446</v>
      </c>
      <c r="D7757" t="str">
        <f>HYPERLINK("http://service.sap.com/sap/support/notes/1572620","1572620")</f>
        <v>1572620</v>
      </c>
      <c r="E7757">
        <v>1</v>
      </c>
      <c r="F7757" t="s">
        <v>7333</v>
      </c>
    </row>
    <row r="7758" spans="1:6" x14ac:dyDescent="0.25">
      <c r="A7758" t="s">
        <v>7512</v>
      </c>
      <c r="B7758" t="s">
        <v>588</v>
      </c>
      <c r="C7758" t="s">
        <v>1446</v>
      </c>
      <c r="D7758" t="str">
        <f>HYPERLINK("http://service.sap.com/sap/support/notes/1573355","1573355")</f>
        <v>1573355</v>
      </c>
      <c r="E7758">
        <v>1</v>
      </c>
      <c r="F7758" t="s">
        <v>7334</v>
      </c>
    </row>
    <row r="7759" spans="1:6" x14ac:dyDescent="0.25">
      <c r="A7759" t="s">
        <v>7512</v>
      </c>
      <c r="B7759" t="s">
        <v>588</v>
      </c>
      <c r="C7759" t="s">
        <v>1446</v>
      </c>
      <c r="D7759" t="str">
        <f>HYPERLINK("http://service.sap.com/sap/support/notes/1582654","1582654")</f>
        <v>1582654</v>
      </c>
      <c r="E7759">
        <v>1</v>
      </c>
      <c r="F7759" t="s">
        <v>7335</v>
      </c>
    </row>
    <row r="7760" spans="1:6" x14ac:dyDescent="0.25">
      <c r="A7760" t="s">
        <v>7512</v>
      </c>
      <c r="B7760" t="s">
        <v>20</v>
      </c>
      <c r="C7760" t="s">
        <v>21</v>
      </c>
    </row>
    <row r="7761" spans="1:6" x14ac:dyDescent="0.25">
      <c r="A7761" t="s">
        <v>7512</v>
      </c>
      <c r="B7761" t="s">
        <v>22</v>
      </c>
      <c r="C7761" t="s">
        <v>23</v>
      </c>
      <c r="D7761" t="str">
        <f>HYPERLINK("http://service.sap.com/sap/support/notes/1572189","1572189")</f>
        <v>1572189</v>
      </c>
      <c r="E7761">
        <v>2</v>
      </c>
      <c r="F7761" t="s">
        <v>7336</v>
      </c>
    </row>
    <row r="7762" spans="1:6" x14ac:dyDescent="0.25">
      <c r="A7762" t="s">
        <v>7512</v>
      </c>
      <c r="B7762" t="s">
        <v>22</v>
      </c>
      <c r="C7762" t="s">
        <v>23</v>
      </c>
      <c r="D7762" t="str">
        <f>HYPERLINK("http://service.sap.com/sap/support/notes/1572396","1572396")</f>
        <v>1572396</v>
      </c>
      <c r="E7762">
        <v>1</v>
      </c>
      <c r="F7762" t="s">
        <v>7337</v>
      </c>
    </row>
    <row r="7763" spans="1:6" x14ac:dyDescent="0.25">
      <c r="A7763" t="s">
        <v>7512</v>
      </c>
      <c r="B7763" t="s">
        <v>22</v>
      </c>
      <c r="C7763" t="s">
        <v>23</v>
      </c>
      <c r="D7763" t="str">
        <f>HYPERLINK("http://service.sap.com/sap/support/notes/1576688","1576688")</f>
        <v>1576688</v>
      </c>
      <c r="E7763">
        <v>3</v>
      </c>
      <c r="F7763" t="s">
        <v>7338</v>
      </c>
    </row>
    <row r="7764" spans="1:6" x14ac:dyDescent="0.25">
      <c r="A7764" t="s">
        <v>7512</v>
      </c>
      <c r="B7764" t="s">
        <v>22</v>
      </c>
      <c r="C7764" t="s">
        <v>23</v>
      </c>
      <c r="D7764" t="str">
        <f>HYPERLINK("http://service.sap.com/sap/support/notes/1577326","1577326")</f>
        <v>1577326</v>
      </c>
      <c r="E7764">
        <v>1</v>
      </c>
      <c r="F7764" t="s">
        <v>7339</v>
      </c>
    </row>
    <row r="7765" spans="1:6" x14ac:dyDescent="0.25">
      <c r="A7765" t="s">
        <v>7512</v>
      </c>
      <c r="B7765" t="s">
        <v>22</v>
      </c>
      <c r="C7765" t="s">
        <v>23</v>
      </c>
      <c r="D7765" t="str">
        <f>HYPERLINK("http://service.sap.com/sap/support/notes/1579982","1579982")</f>
        <v>1579982</v>
      </c>
      <c r="E7765">
        <v>2</v>
      </c>
      <c r="F7765" t="s">
        <v>7340</v>
      </c>
    </row>
    <row r="7766" spans="1:6" x14ac:dyDescent="0.25">
      <c r="A7766" t="s">
        <v>7512</v>
      </c>
      <c r="B7766" t="s">
        <v>22</v>
      </c>
      <c r="C7766" t="s">
        <v>23</v>
      </c>
      <c r="D7766" t="str">
        <f>HYPERLINK("http://service.sap.com/sap/support/notes/1580634","1580634")</f>
        <v>1580634</v>
      </c>
      <c r="E7766">
        <v>1</v>
      </c>
      <c r="F7766" t="s">
        <v>7341</v>
      </c>
    </row>
    <row r="7767" spans="1:6" x14ac:dyDescent="0.25">
      <c r="A7767" t="s">
        <v>7512</v>
      </c>
      <c r="B7767" t="s">
        <v>22</v>
      </c>
      <c r="C7767" t="s">
        <v>23</v>
      </c>
      <c r="D7767" t="str">
        <f>HYPERLINK("http://service.sap.com/sap/support/notes/1581551","1581551")</f>
        <v>1581551</v>
      </c>
      <c r="E7767">
        <v>1</v>
      </c>
      <c r="F7767" t="s">
        <v>7342</v>
      </c>
    </row>
    <row r="7768" spans="1:6" x14ac:dyDescent="0.25">
      <c r="A7768" t="s">
        <v>7512</v>
      </c>
      <c r="B7768" t="s">
        <v>22</v>
      </c>
      <c r="C7768" t="s">
        <v>23</v>
      </c>
      <c r="D7768" t="str">
        <f>HYPERLINK("http://service.sap.com/sap/support/notes/1581792","1581792")</f>
        <v>1581792</v>
      </c>
      <c r="E7768">
        <v>1</v>
      </c>
      <c r="F7768" t="s">
        <v>7343</v>
      </c>
    </row>
    <row r="7769" spans="1:6" x14ac:dyDescent="0.25">
      <c r="A7769" t="s">
        <v>7512</v>
      </c>
      <c r="B7769" t="s">
        <v>24</v>
      </c>
      <c r="C7769" t="s">
        <v>25</v>
      </c>
      <c r="D7769" t="str">
        <f>HYPERLINK("http://service.sap.com/sap/support/notes/1565423","1565423")</f>
        <v>1565423</v>
      </c>
      <c r="E7769">
        <v>2</v>
      </c>
      <c r="F7769" t="s">
        <v>7344</v>
      </c>
    </row>
    <row r="7770" spans="1:6" x14ac:dyDescent="0.25">
      <c r="A7770" t="s">
        <v>7512</v>
      </c>
      <c r="B7770" t="s">
        <v>24</v>
      </c>
      <c r="C7770" t="s">
        <v>25</v>
      </c>
      <c r="D7770" t="str">
        <f>HYPERLINK("http://service.sap.com/sap/support/notes/1569304","1569304")</f>
        <v>1569304</v>
      </c>
      <c r="E7770">
        <v>2</v>
      </c>
      <c r="F7770" t="s">
        <v>4207</v>
      </c>
    </row>
    <row r="7771" spans="1:6" x14ac:dyDescent="0.25">
      <c r="A7771" t="s">
        <v>7512</v>
      </c>
      <c r="B7771" t="s">
        <v>24</v>
      </c>
      <c r="C7771" t="s">
        <v>25</v>
      </c>
      <c r="D7771" t="str">
        <f>HYPERLINK("http://service.sap.com/sap/support/notes/1569552","1569552")</f>
        <v>1569552</v>
      </c>
      <c r="E7771">
        <v>1</v>
      </c>
      <c r="F7771" t="s">
        <v>7345</v>
      </c>
    </row>
    <row r="7772" spans="1:6" x14ac:dyDescent="0.25">
      <c r="A7772" t="s">
        <v>7512</v>
      </c>
      <c r="B7772" t="s">
        <v>24</v>
      </c>
      <c r="C7772" t="s">
        <v>25</v>
      </c>
      <c r="D7772" t="str">
        <f>HYPERLINK("http://service.sap.com/sap/support/notes/1570301","1570301")</f>
        <v>1570301</v>
      </c>
      <c r="E7772">
        <v>1</v>
      </c>
      <c r="F7772" t="s">
        <v>7346</v>
      </c>
    </row>
    <row r="7773" spans="1:6" x14ac:dyDescent="0.25">
      <c r="A7773" t="s">
        <v>7512</v>
      </c>
      <c r="B7773" t="s">
        <v>24</v>
      </c>
      <c r="C7773" t="s">
        <v>25</v>
      </c>
      <c r="D7773" t="str">
        <f>HYPERLINK("http://service.sap.com/sap/support/notes/1571163","1571163")</f>
        <v>1571163</v>
      </c>
      <c r="E7773">
        <v>3</v>
      </c>
      <c r="F7773" t="s">
        <v>7347</v>
      </c>
    </row>
    <row r="7774" spans="1:6" x14ac:dyDescent="0.25">
      <c r="A7774" t="s">
        <v>7512</v>
      </c>
      <c r="B7774" t="s">
        <v>24</v>
      </c>
      <c r="C7774" t="s">
        <v>25</v>
      </c>
      <c r="D7774" t="str">
        <f>HYPERLINK("http://service.sap.com/sap/support/notes/1571317","1571317")</f>
        <v>1571317</v>
      </c>
      <c r="E7774">
        <v>3</v>
      </c>
      <c r="F7774" t="s">
        <v>7348</v>
      </c>
    </row>
    <row r="7775" spans="1:6" x14ac:dyDescent="0.25">
      <c r="A7775" t="s">
        <v>7512</v>
      </c>
      <c r="B7775" t="s">
        <v>24</v>
      </c>
      <c r="C7775" t="s">
        <v>25</v>
      </c>
      <c r="D7775" t="str">
        <f>HYPERLINK("http://service.sap.com/sap/support/notes/1571321","1571321")</f>
        <v>1571321</v>
      </c>
      <c r="E7775">
        <v>1</v>
      </c>
      <c r="F7775" t="s">
        <v>7349</v>
      </c>
    </row>
    <row r="7776" spans="1:6" x14ac:dyDescent="0.25">
      <c r="A7776" t="s">
        <v>7512</v>
      </c>
      <c r="B7776" t="s">
        <v>24</v>
      </c>
      <c r="C7776" t="s">
        <v>25</v>
      </c>
      <c r="D7776" t="str">
        <f>HYPERLINK("http://service.sap.com/sap/support/notes/1571401","1571401")</f>
        <v>1571401</v>
      </c>
      <c r="E7776">
        <v>2</v>
      </c>
      <c r="F7776" t="s">
        <v>7350</v>
      </c>
    </row>
    <row r="7777" spans="1:6" x14ac:dyDescent="0.25">
      <c r="A7777" t="s">
        <v>7512</v>
      </c>
      <c r="B7777" t="s">
        <v>24</v>
      </c>
      <c r="C7777" t="s">
        <v>25</v>
      </c>
      <c r="D7777" t="str">
        <f>HYPERLINK("http://service.sap.com/sap/support/notes/1572352","1572352")</f>
        <v>1572352</v>
      </c>
      <c r="E7777">
        <v>1</v>
      </c>
      <c r="F7777" t="s">
        <v>7351</v>
      </c>
    </row>
    <row r="7778" spans="1:6" x14ac:dyDescent="0.25">
      <c r="A7778" t="s">
        <v>7512</v>
      </c>
      <c r="B7778" t="s">
        <v>24</v>
      </c>
      <c r="C7778" t="s">
        <v>25</v>
      </c>
      <c r="D7778" t="str">
        <f>HYPERLINK("http://service.sap.com/sap/support/notes/1574864","1574864")</f>
        <v>1574864</v>
      </c>
      <c r="E7778">
        <v>1</v>
      </c>
      <c r="F7778" t="s">
        <v>7352</v>
      </c>
    </row>
    <row r="7779" spans="1:6" x14ac:dyDescent="0.25">
      <c r="A7779" t="s">
        <v>7512</v>
      </c>
      <c r="B7779" t="s">
        <v>24</v>
      </c>
      <c r="C7779" t="s">
        <v>25</v>
      </c>
      <c r="D7779" t="str">
        <f>HYPERLINK("http://service.sap.com/sap/support/notes/1575175","1575175")</f>
        <v>1575175</v>
      </c>
      <c r="E7779">
        <v>2</v>
      </c>
      <c r="F7779" t="s">
        <v>7353</v>
      </c>
    </row>
    <row r="7780" spans="1:6" x14ac:dyDescent="0.25">
      <c r="A7780" t="s">
        <v>7512</v>
      </c>
      <c r="B7780" t="s">
        <v>24</v>
      </c>
      <c r="C7780" t="s">
        <v>25</v>
      </c>
      <c r="D7780" t="str">
        <f>HYPERLINK("http://service.sap.com/sap/support/notes/1575729","1575729")</f>
        <v>1575729</v>
      </c>
      <c r="E7780">
        <v>3</v>
      </c>
      <c r="F7780" t="s">
        <v>3386</v>
      </c>
    </row>
    <row r="7781" spans="1:6" x14ac:dyDescent="0.25">
      <c r="A7781" t="s">
        <v>7512</v>
      </c>
      <c r="B7781" t="s">
        <v>24</v>
      </c>
      <c r="C7781" t="s">
        <v>25</v>
      </c>
      <c r="D7781" t="str">
        <f>HYPERLINK("http://service.sap.com/sap/support/notes/1576603","1576603")</f>
        <v>1576603</v>
      </c>
      <c r="E7781">
        <v>1</v>
      </c>
      <c r="F7781" t="s">
        <v>7354</v>
      </c>
    </row>
    <row r="7782" spans="1:6" x14ac:dyDescent="0.25">
      <c r="A7782" t="s">
        <v>7512</v>
      </c>
      <c r="B7782" t="s">
        <v>24</v>
      </c>
      <c r="C7782" t="s">
        <v>25</v>
      </c>
      <c r="D7782" t="str">
        <f>HYPERLINK("http://service.sap.com/sap/support/notes/1576612","1576612")</f>
        <v>1576612</v>
      </c>
      <c r="E7782">
        <v>1</v>
      </c>
      <c r="F7782" t="s">
        <v>7355</v>
      </c>
    </row>
    <row r="7783" spans="1:6" x14ac:dyDescent="0.25">
      <c r="A7783" t="s">
        <v>7512</v>
      </c>
      <c r="B7783" t="s">
        <v>24</v>
      </c>
      <c r="C7783" t="s">
        <v>25</v>
      </c>
      <c r="D7783" t="str">
        <f>HYPERLINK("http://service.sap.com/sap/support/notes/1577029","1577029")</f>
        <v>1577029</v>
      </c>
      <c r="E7783">
        <v>1</v>
      </c>
      <c r="F7783" t="s">
        <v>7356</v>
      </c>
    </row>
    <row r="7784" spans="1:6" x14ac:dyDescent="0.25">
      <c r="A7784" t="s">
        <v>7512</v>
      </c>
      <c r="B7784" t="s">
        <v>24</v>
      </c>
      <c r="C7784" t="s">
        <v>25</v>
      </c>
      <c r="D7784" t="str">
        <f>HYPERLINK("http://service.sap.com/sap/support/notes/1577202","1577202")</f>
        <v>1577202</v>
      </c>
      <c r="E7784">
        <v>2</v>
      </c>
      <c r="F7784" t="s">
        <v>7357</v>
      </c>
    </row>
    <row r="7785" spans="1:6" x14ac:dyDescent="0.25">
      <c r="A7785" t="s">
        <v>7512</v>
      </c>
      <c r="B7785" t="s">
        <v>24</v>
      </c>
      <c r="C7785" t="s">
        <v>25</v>
      </c>
      <c r="D7785" t="str">
        <f>HYPERLINK("http://service.sap.com/sap/support/notes/1577402","1577402")</f>
        <v>1577402</v>
      </c>
      <c r="E7785">
        <v>3</v>
      </c>
      <c r="F7785" t="s">
        <v>7358</v>
      </c>
    </row>
    <row r="7786" spans="1:6" x14ac:dyDescent="0.25">
      <c r="A7786" t="s">
        <v>7512</v>
      </c>
      <c r="B7786" t="s">
        <v>24</v>
      </c>
      <c r="C7786" t="s">
        <v>25</v>
      </c>
      <c r="D7786" t="str">
        <f>HYPERLINK("http://service.sap.com/sap/support/notes/1577533","1577533")</f>
        <v>1577533</v>
      </c>
      <c r="E7786">
        <v>2</v>
      </c>
      <c r="F7786" t="s">
        <v>7359</v>
      </c>
    </row>
    <row r="7787" spans="1:6" x14ac:dyDescent="0.25">
      <c r="A7787" t="s">
        <v>7512</v>
      </c>
      <c r="B7787" t="s">
        <v>24</v>
      </c>
      <c r="C7787" t="s">
        <v>25</v>
      </c>
      <c r="D7787" t="str">
        <f>HYPERLINK("http://service.sap.com/sap/support/notes/1578585","1578585")</f>
        <v>1578585</v>
      </c>
      <c r="E7787">
        <v>1</v>
      </c>
      <c r="F7787" t="s">
        <v>7360</v>
      </c>
    </row>
    <row r="7788" spans="1:6" x14ac:dyDescent="0.25">
      <c r="A7788" t="s">
        <v>7512</v>
      </c>
      <c r="B7788" t="s">
        <v>24</v>
      </c>
      <c r="C7788" t="s">
        <v>25</v>
      </c>
      <c r="D7788" t="str">
        <f>HYPERLINK("http://service.sap.com/sap/support/notes/1579162","1579162")</f>
        <v>1579162</v>
      </c>
      <c r="E7788">
        <v>1</v>
      </c>
      <c r="F7788" t="s">
        <v>7361</v>
      </c>
    </row>
    <row r="7789" spans="1:6" x14ac:dyDescent="0.25">
      <c r="A7789" t="s">
        <v>7512</v>
      </c>
      <c r="B7789" t="s">
        <v>24</v>
      </c>
      <c r="C7789" t="s">
        <v>25</v>
      </c>
      <c r="D7789" t="str">
        <f>HYPERLINK("http://service.sap.com/sap/support/notes/1581789","1581789")</f>
        <v>1581789</v>
      </c>
      <c r="E7789">
        <v>1</v>
      </c>
      <c r="F7789" t="s">
        <v>7362</v>
      </c>
    </row>
    <row r="7790" spans="1:6" x14ac:dyDescent="0.25">
      <c r="A7790" t="s">
        <v>7512</v>
      </c>
      <c r="B7790" t="s">
        <v>24</v>
      </c>
      <c r="C7790" t="s">
        <v>25</v>
      </c>
      <c r="D7790" t="str">
        <f>HYPERLINK("http://service.sap.com/sap/support/notes/1581993","1581993")</f>
        <v>1581993</v>
      </c>
      <c r="E7790">
        <v>1</v>
      </c>
      <c r="F7790" t="s">
        <v>7363</v>
      </c>
    </row>
    <row r="7791" spans="1:6" x14ac:dyDescent="0.25">
      <c r="A7791" t="s">
        <v>7512</v>
      </c>
      <c r="B7791" t="s">
        <v>24</v>
      </c>
      <c r="C7791" t="s">
        <v>25</v>
      </c>
      <c r="D7791" t="str">
        <f>HYPERLINK("http://service.sap.com/sap/support/notes/1582031","1582031")</f>
        <v>1582031</v>
      </c>
      <c r="E7791">
        <v>1</v>
      </c>
      <c r="F7791" t="s">
        <v>7364</v>
      </c>
    </row>
    <row r="7792" spans="1:6" x14ac:dyDescent="0.25">
      <c r="A7792" t="s">
        <v>7512</v>
      </c>
      <c r="B7792" t="s">
        <v>4074</v>
      </c>
      <c r="C7792" t="s">
        <v>4075</v>
      </c>
      <c r="D7792" t="str">
        <f>HYPERLINK("http://service.sap.com/sap/support/notes/1497361","1497361")</f>
        <v>1497361</v>
      </c>
      <c r="E7792">
        <v>3</v>
      </c>
      <c r="F7792" t="s">
        <v>6915</v>
      </c>
    </row>
    <row r="7793" spans="1:6" x14ac:dyDescent="0.25">
      <c r="A7793" t="s">
        <v>7512</v>
      </c>
      <c r="B7793" t="s">
        <v>4074</v>
      </c>
      <c r="C7793" t="s">
        <v>4075</v>
      </c>
      <c r="D7793" t="str">
        <f>HYPERLINK("http://service.sap.com/sap/support/notes/1509840","1509840")</f>
        <v>1509840</v>
      </c>
      <c r="E7793">
        <v>1</v>
      </c>
      <c r="F7793" t="s">
        <v>7365</v>
      </c>
    </row>
    <row r="7794" spans="1:6" x14ac:dyDescent="0.25">
      <c r="A7794" t="s">
        <v>7512</v>
      </c>
      <c r="B7794" t="s">
        <v>4074</v>
      </c>
      <c r="C7794" t="s">
        <v>4075</v>
      </c>
      <c r="D7794" t="str">
        <f>HYPERLINK("http://service.sap.com/sap/support/notes/1562901","1562901")</f>
        <v>1562901</v>
      </c>
      <c r="E7794">
        <v>1</v>
      </c>
      <c r="F7794" t="s">
        <v>7366</v>
      </c>
    </row>
    <row r="7795" spans="1:6" x14ac:dyDescent="0.25">
      <c r="A7795" t="s">
        <v>7512</v>
      </c>
      <c r="B7795" t="s">
        <v>4074</v>
      </c>
      <c r="C7795" t="s">
        <v>4075</v>
      </c>
      <c r="D7795" t="str">
        <f>HYPERLINK("http://service.sap.com/sap/support/notes/1566922","1566922")</f>
        <v>1566922</v>
      </c>
      <c r="E7795">
        <v>1</v>
      </c>
      <c r="F7795" t="s">
        <v>7367</v>
      </c>
    </row>
    <row r="7796" spans="1:6" x14ac:dyDescent="0.25">
      <c r="A7796" t="s">
        <v>7512</v>
      </c>
      <c r="B7796" t="s">
        <v>4074</v>
      </c>
      <c r="C7796" t="s">
        <v>4075</v>
      </c>
      <c r="D7796" t="str">
        <f>HYPERLINK("http://service.sap.com/sap/support/notes/1567900","1567900")</f>
        <v>1567900</v>
      </c>
      <c r="E7796">
        <v>1</v>
      </c>
      <c r="F7796" t="s">
        <v>7368</v>
      </c>
    </row>
    <row r="7797" spans="1:6" x14ac:dyDescent="0.25">
      <c r="A7797" t="s">
        <v>7512</v>
      </c>
      <c r="B7797" t="s">
        <v>4074</v>
      </c>
      <c r="C7797" t="s">
        <v>4075</v>
      </c>
      <c r="D7797" t="str">
        <f>HYPERLINK("http://service.sap.com/sap/support/notes/1569188","1569188")</f>
        <v>1569188</v>
      </c>
      <c r="E7797">
        <v>4</v>
      </c>
      <c r="F7797" t="s">
        <v>7369</v>
      </c>
    </row>
    <row r="7798" spans="1:6" x14ac:dyDescent="0.25">
      <c r="A7798" t="s">
        <v>7512</v>
      </c>
      <c r="B7798" t="s">
        <v>4074</v>
      </c>
      <c r="C7798" t="s">
        <v>4075</v>
      </c>
      <c r="D7798" t="str">
        <f>HYPERLINK("http://service.sap.com/sap/support/notes/1569409","1569409")</f>
        <v>1569409</v>
      </c>
      <c r="E7798">
        <v>1</v>
      </c>
      <c r="F7798" t="s">
        <v>7370</v>
      </c>
    </row>
    <row r="7799" spans="1:6" x14ac:dyDescent="0.25">
      <c r="A7799" t="s">
        <v>7512</v>
      </c>
      <c r="B7799" t="s">
        <v>4074</v>
      </c>
      <c r="C7799" t="s">
        <v>4075</v>
      </c>
      <c r="D7799" t="str">
        <f>HYPERLINK("http://service.sap.com/sap/support/notes/1569852","1569852")</f>
        <v>1569852</v>
      </c>
      <c r="E7799">
        <v>1</v>
      </c>
      <c r="F7799" t="s">
        <v>7371</v>
      </c>
    </row>
    <row r="7800" spans="1:6" x14ac:dyDescent="0.25">
      <c r="A7800" t="s">
        <v>7512</v>
      </c>
      <c r="B7800" t="s">
        <v>4074</v>
      </c>
      <c r="C7800" t="s">
        <v>4075</v>
      </c>
      <c r="D7800" t="str">
        <f>HYPERLINK("http://service.sap.com/sap/support/notes/1572338","1572338")</f>
        <v>1572338</v>
      </c>
      <c r="E7800">
        <v>1</v>
      </c>
      <c r="F7800" t="s">
        <v>7372</v>
      </c>
    </row>
    <row r="7801" spans="1:6" x14ac:dyDescent="0.25">
      <c r="A7801" t="s">
        <v>7512</v>
      </c>
      <c r="B7801" t="s">
        <v>4074</v>
      </c>
      <c r="C7801" t="s">
        <v>4075</v>
      </c>
      <c r="D7801" t="str">
        <f>HYPERLINK("http://service.sap.com/sap/support/notes/1573842","1573842")</f>
        <v>1573842</v>
      </c>
      <c r="E7801">
        <v>1</v>
      </c>
      <c r="F7801" t="s">
        <v>7373</v>
      </c>
    </row>
    <row r="7802" spans="1:6" x14ac:dyDescent="0.25">
      <c r="A7802" t="s">
        <v>7512</v>
      </c>
      <c r="B7802" t="s">
        <v>4074</v>
      </c>
      <c r="C7802" t="s">
        <v>4075</v>
      </c>
      <c r="D7802" t="str">
        <f>HYPERLINK("http://service.sap.com/sap/support/notes/1575656","1575656")</f>
        <v>1575656</v>
      </c>
      <c r="E7802">
        <v>1</v>
      </c>
      <c r="F7802" t="s">
        <v>7374</v>
      </c>
    </row>
    <row r="7803" spans="1:6" x14ac:dyDescent="0.25">
      <c r="A7803" t="s">
        <v>7512</v>
      </c>
      <c r="B7803" t="s">
        <v>4074</v>
      </c>
      <c r="C7803" t="s">
        <v>4075</v>
      </c>
      <c r="D7803" t="str">
        <f>HYPERLINK("http://service.sap.com/sap/support/notes/1581744","1581744")</f>
        <v>1581744</v>
      </c>
      <c r="E7803">
        <v>1</v>
      </c>
      <c r="F7803" t="s">
        <v>7375</v>
      </c>
    </row>
    <row r="7804" spans="1:6" x14ac:dyDescent="0.25">
      <c r="A7804" t="s">
        <v>7512</v>
      </c>
      <c r="B7804" t="s">
        <v>4081</v>
      </c>
      <c r="C7804" t="s">
        <v>4082</v>
      </c>
      <c r="D7804" t="str">
        <f>HYPERLINK("http://service.sap.com/sap/support/notes/1539922","1539922")</f>
        <v>1539922</v>
      </c>
      <c r="E7804">
        <v>6</v>
      </c>
      <c r="F7804" t="s">
        <v>6928</v>
      </c>
    </row>
    <row r="7805" spans="1:6" x14ac:dyDescent="0.25">
      <c r="A7805" t="s">
        <v>7512</v>
      </c>
      <c r="B7805" t="s">
        <v>4081</v>
      </c>
      <c r="C7805" t="s">
        <v>4082</v>
      </c>
      <c r="D7805" t="str">
        <f>HYPERLINK("http://service.sap.com/sap/support/notes/1571860","1571860")</f>
        <v>1571860</v>
      </c>
      <c r="E7805">
        <v>2</v>
      </c>
      <c r="F7805" t="s">
        <v>7376</v>
      </c>
    </row>
    <row r="7806" spans="1:6" x14ac:dyDescent="0.25">
      <c r="A7806" t="s">
        <v>7512</v>
      </c>
      <c r="B7806" t="s">
        <v>4081</v>
      </c>
      <c r="C7806" t="s">
        <v>4082</v>
      </c>
      <c r="D7806" t="str">
        <f>HYPERLINK("http://service.sap.com/sap/support/notes/1573811","1573811")</f>
        <v>1573811</v>
      </c>
      <c r="E7806">
        <v>1</v>
      </c>
      <c r="F7806" t="s">
        <v>7377</v>
      </c>
    </row>
    <row r="7807" spans="1:6" x14ac:dyDescent="0.25">
      <c r="A7807" t="s">
        <v>7512</v>
      </c>
      <c r="B7807" t="s">
        <v>4081</v>
      </c>
      <c r="C7807" t="s">
        <v>4082</v>
      </c>
      <c r="D7807" t="str">
        <f>HYPERLINK("http://service.sap.com/sap/support/notes/1580040","1580040")</f>
        <v>1580040</v>
      </c>
      <c r="E7807">
        <v>1</v>
      </c>
      <c r="F7807" t="s">
        <v>7378</v>
      </c>
    </row>
    <row r="7808" spans="1:6" x14ac:dyDescent="0.25">
      <c r="A7808" t="s">
        <v>7512</v>
      </c>
      <c r="B7808" t="s">
        <v>4088</v>
      </c>
      <c r="C7808" t="s">
        <v>4089</v>
      </c>
      <c r="D7808" t="str">
        <f>HYPERLINK("http://service.sap.com/sap/support/notes/1385146","1385146")</f>
        <v>1385146</v>
      </c>
      <c r="E7808">
        <v>4</v>
      </c>
      <c r="F7808" t="s">
        <v>7379</v>
      </c>
    </row>
    <row r="7809" spans="1:6" x14ac:dyDescent="0.25">
      <c r="A7809" t="s">
        <v>7512</v>
      </c>
      <c r="B7809" t="s">
        <v>4088</v>
      </c>
      <c r="C7809" t="s">
        <v>4089</v>
      </c>
      <c r="D7809" t="str">
        <f>HYPERLINK("http://service.sap.com/sap/support/notes/1583493","1583493")</f>
        <v>1583493</v>
      </c>
      <c r="E7809">
        <v>1</v>
      </c>
      <c r="F7809" t="s">
        <v>7380</v>
      </c>
    </row>
    <row r="7810" spans="1:6" x14ac:dyDescent="0.25">
      <c r="A7810" t="s">
        <v>7512</v>
      </c>
      <c r="B7810" t="s">
        <v>27</v>
      </c>
      <c r="C7810" t="s">
        <v>13</v>
      </c>
    </row>
    <row r="7811" spans="1:6" x14ac:dyDescent="0.25">
      <c r="A7811" t="s">
        <v>7512</v>
      </c>
      <c r="B7811" t="s">
        <v>4091</v>
      </c>
      <c r="C7811" t="s">
        <v>4092</v>
      </c>
      <c r="D7811" t="str">
        <f>HYPERLINK("http://service.sap.com/sap/support/notes/1537283","1537283")</f>
        <v>1537283</v>
      </c>
      <c r="E7811">
        <v>7</v>
      </c>
      <c r="F7811" t="s">
        <v>7381</v>
      </c>
    </row>
    <row r="7812" spans="1:6" x14ac:dyDescent="0.25">
      <c r="A7812" t="s">
        <v>7512</v>
      </c>
      <c r="B7812" t="s">
        <v>4091</v>
      </c>
      <c r="C7812" t="s">
        <v>4092</v>
      </c>
      <c r="D7812" t="str">
        <f>HYPERLINK("http://service.sap.com/sap/support/notes/1538580","1538580")</f>
        <v>1538580</v>
      </c>
      <c r="E7812">
        <v>2</v>
      </c>
      <c r="F7812" t="s">
        <v>7382</v>
      </c>
    </row>
    <row r="7813" spans="1:6" x14ac:dyDescent="0.25">
      <c r="A7813" t="s">
        <v>7512</v>
      </c>
      <c r="B7813" t="s">
        <v>4091</v>
      </c>
      <c r="C7813" t="s">
        <v>4092</v>
      </c>
      <c r="D7813" t="str">
        <f>HYPERLINK("http://service.sap.com/sap/support/notes/1539246","1539246")</f>
        <v>1539246</v>
      </c>
      <c r="E7813">
        <v>3</v>
      </c>
      <c r="F7813" t="s">
        <v>7383</v>
      </c>
    </row>
    <row r="7814" spans="1:6" x14ac:dyDescent="0.25">
      <c r="A7814" t="s">
        <v>7512</v>
      </c>
      <c r="B7814" t="s">
        <v>4091</v>
      </c>
      <c r="C7814" t="s">
        <v>4092</v>
      </c>
      <c r="D7814" t="str">
        <f>HYPERLINK("http://service.sap.com/sap/support/notes/1543133","1543133")</f>
        <v>1543133</v>
      </c>
      <c r="E7814">
        <v>1</v>
      </c>
      <c r="F7814" t="s">
        <v>7384</v>
      </c>
    </row>
    <row r="7815" spans="1:6" x14ac:dyDescent="0.25">
      <c r="A7815" t="s">
        <v>7512</v>
      </c>
      <c r="B7815" t="s">
        <v>4091</v>
      </c>
      <c r="C7815" t="s">
        <v>4092</v>
      </c>
      <c r="D7815" t="str">
        <f>HYPERLINK("http://service.sap.com/sap/support/notes/1543843","1543843")</f>
        <v>1543843</v>
      </c>
      <c r="E7815">
        <v>1</v>
      </c>
      <c r="F7815" t="s">
        <v>7385</v>
      </c>
    </row>
    <row r="7816" spans="1:6" x14ac:dyDescent="0.25">
      <c r="A7816" t="s">
        <v>7512</v>
      </c>
      <c r="B7816" t="s">
        <v>4091</v>
      </c>
      <c r="C7816" t="s">
        <v>4092</v>
      </c>
      <c r="D7816" t="str">
        <f>HYPERLINK("http://service.sap.com/sap/support/notes/1543975","1543975")</f>
        <v>1543975</v>
      </c>
      <c r="E7816">
        <v>4</v>
      </c>
      <c r="F7816" t="s">
        <v>7386</v>
      </c>
    </row>
    <row r="7817" spans="1:6" x14ac:dyDescent="0.25">
      <c r="A7817" t="s">
        <v>7512</v>
      </c>
      <c r="B7817" t="s">
        <v>4091</v>
      </c>
      <c r="C7817" t="s">
        <v>4092</v>
      </c>
      <c r="D7817" t="str">
        <f>HYPERLINK("http://service.sap.com/sap/support/notes/1546592","1546592")</f>
        <v>1546592</v>
      </c>
      <c r="E7817">
        <v>1</v>
      </c>
      <c r="F7817" t="s">
        <v>7387</v>
      </c>
    </row>
    <row r="7818" spans="1:6" x14ac:dyDescent="0.25">
      <c r="A7818" t="s">
        <v>7512</v>
      </c>
      <c r="B7818" t="s">
        <v>4091</v>
      </c>
      <c r="C7818" t="s">
        <v>4092</v>
      </c>
      <c r="D7818" t="str">
        <f>HYPERLINK("http://service.sap.com/sap/support/notes/1554513","1554513")</f>
        <v>1554513</v>
      </c>
      <c r="E7818">
        <v>1</v>
      </c>
      <c r="F7818" t="s">
        <v>7388</v>
      </c>
    </row>
    <row r="7819" spans="1:6" x14ac:dyDescent="0.25">
      <c r="A7819" t="s">
        <v>7512</v>
      </c>
      <c r="B7819" t="s">
        <v>4091</v>
      </c>
      <c r="C7819" t="s">
        <v>4092</v>
      </c>
      <c r="D7819" t="str">
        <f>HYPERLINK("http://service.sap.com/sap/support/notes/1558632","1558632")</f>
        <v>1558632</v>
      </c>
      <c r="E7819">
        <v>3</v>
      </c>
      <c r="F7819" t="s">
        <v>7389</v>
      </c>
    </row>
    <row r="7820" spans="1:6" x14ac:dyDescent="0.25">
      <c r="A7820" t="s">
        <v>7512</v>
      </c>
      <c r="B7820" t="s">
        <v>4091</v>
      </c>
      <c r="C7820" t="s">
        <v>4092</v>
      </c>
      <c r="D7820" t="str">
        <f>HYPERLINK("http://service.sap.com/sap/support/notes/1561429","1561429")</f>
        <v>1561429</v>
      </c>
      <c r="E7820">
        <v>1</v>
      </c>
      <c r="F7820" t="s">
        <v>7390</v>
      </c>
    </row>
    <row r="7821" spans="1:6" x14ac:dyDescent="0.25">
      <c r="A7821" t="s">
        <v>7512</v>
      </c>
      <c r="B7821" t="s">
        <v>4091</v>
      </c>
      <c r="C7821" t="s">
        <v>4092</v>
      </c>
      <c r="D7821" t="str">
        <f>HYPERLINK("http://service.sap.com/sap/support/notes/1562830","1562830")</f>
        <v>1562830</v>
      </c>
      <c r="E7821">
        <v>1</v>
      </c>
      <c r="F7821" t="s">
        <v>7391</v>
      </c>
    </row>
    <row r="7822" spans="1:6" x14ac:dyDescent="0.25">
      <c r="A7822" t="s">
        <v>7512</v>
      </c>
      <c r="B7822" t="s">
        <v>4091</v>
      </c>
      <c r="C7822" t="s">
        <v>4092</v>
      </c>
      <c r="D7822" t="str">
        <f>HYPERLINK("http://service.sap.com/sap/support/notes/1566757","1566757")</f>
        <v>1566757</v>
      </c>
      <c r="E7822">
        <v>3</v>
      </c>
      <c r="F7822" t="s">
        <v>7392</v>
      </c>
    </row>
    <row r="7823" spans="1:6" x14ac:dyDescent="0.25">
      <c r="A7823" t="s">
        <v>7512</v>
      </c>
      <c r="B7823" t="s">
        <v>4091</v>
      </c>
      <c r="C7823" t="s">
        <v>4092</v>
      </c>
      <c r="D7823" t="str">
        <f>HYPERLINK("http://service.sap.com/sap/support/notes/1570576","1570576")</f>
        <v>1570576</v>
      </c>
      <c r="E7823">
        <v>3</v>
      </c>
      <c r="F7823" t="s">
        <v>7393</v>
      </c>
    </row>
    <row r="7824" spans="1:6" x14ac:dyDescent="0.25">
      <c r="A7824" t="s">
        <v>7512</v>
      </c>
      <c r="B7824" t="s">
        <v>4091</v>
      </c>
      <c r="C7824" t="s">
        <v>4092</v>
      </c>
      <c r="D7824" t="str">
        <f>HYPERLINK("http://service.sap.com/sap/support/notes/1575307","1575307")</f>
        <v>1575307</v>
      </c>
      <c r="E7824">
        <v>2</v>
      </c>
      <c r="F7824" t="s">
        <v>7394</v>
      </c>
    </row>
    <row r="7825" spans="1:6" x14ac:dyDescent="0.25">
      <c r="A7825" t="s">
        <v>7512</v>
      </c>
      <c r="B7825" t="s">
        <v>4091</v>
      </c>
      <c r="C7825" t="s">
        <v>4092</v>
      </c>
      <c r="D7825" t="str">
        <f>HYPERLINK("http://service.sap.com/sap/support/notes/1580693","1580693")</f>
        <v>1580693</v>
      </c>
      <c r="E7825">
        <v>1</v>
      </c>
      <c r="F7825" t="s">
        <v>7395</v>
      </c>
    </row>
    <row r="7826" spans="1:6" x14ac:dyDescent="0.25">
      <c r="A7826" t="s">
        <v>7512</v>
      </c>
      <c r="B7826" t="s">
        <v>2161</v>
      </c>
      <c r="C7826" t="s">
        <v>2162</v>
      </c>
      <c r="D7826" t="str">
        <f>HYPERLINK("http://service.sap.com/sap/support/notes/1559758","1559758")</f>
        <v>1559758</v>
      </c>
      <c r="E7826">
        <v>1</v>
      </c>
      <c r="F7826" t="s">
        <v>7396</v>
      </c>
    </row>
    <row r="7827" spans="1:6" x14ac:dyDescent="0.25">
      <c r="A7827" t="s">
        <v>7512</v>
      </c>
      <c r="B7827" t="s">
        <v>2161</v>
      </c>
      <c r="C7827" t="s">
        <v>2162</v>
      </c>
      <c r="D7827" t="str">
        <f>HYPERLINK("http://service.sap.com/sap/support/notes/1564727","1564727")</f>
        <v>1564727</v>
      </c>
      <c r="E7827">
        <v>2</v>
      </c>
      <c r="F7827" t="s">
        <v>7397</v>
      </c>
    </row>
    <row r="7828" spans="1:6" x14ac:dyDescent="0.25">
      <c r="A7828" t="s">
        <v>7512</v>
      </c>
      <c r="B7828" t="s">
        <v>2161</v>
      </c>
      <c r="C7828" t="s">
        <v>2162</v>
      </c>
      <c r="D7828" t="str">
        <f>HYPERLINK("http://service.sap.com/sap/support/notes/1571700","1571700")</f>
        <v>1571700</v>
      </c>
      <c r="E7828">
        <v>2</v>
      </c>
      <c r="F7828" t="s">
        <v>7398</v>
      </c>
    </row>
    <row r="7829" spans="1:6" x14ac:dyDescent="0.25">
      <c r="A7829" t="s">
        <v>7512</v>
      </c>
      <c r="B7829" t="s">
        <v>2161</v>
      </c>
      <c r="C7829" t="s">
        <v>2162</v>
      </c>
      <c r="D7829" t="str">
        <f>HYPERLINK("http://service.sap.com/sap/support/notes/1571723","1571723")</f>
        <v>1571723</v>
      </c>
      <c r="E7829">
        <v>1</v>
      </c>
      <c r="F7829" t="s">
        <v>7399</v>
      </c>
    </row>
    <row r="7830" spans="1:6" x14ac:dyDescent="0.25">
      <c r="A7830" t="s">
        <v>7512</v>
      </c>
      <c r="B7830" t="s">
        <v>2161</v>
      </c>
      <c r="C7830" t="s">
        <v>2162</v>
      </c>
      <c r="D7830" t="str">
        <f>HYPERLINK("http://service.sap.com/sap/support/notes/1573317","1573317")</f>
        <v>1573317</v>
      </c>
      <c r="E7830">
        <v>1</v>
      </c>
      <c r="F7830" t="s">
        <v>7400</v>
      </c>
    </row>
    <row r="7831" spans="1:6" x14ac:dyDescent="0.25">
      <c r="A7831" t="s">
        <v>7512</v>
      </c>
      <c r="B7831" t="s">
        <v>2161</v>
      </c>
      <c r="C7831" t="s">
        <v>2162</v>
      </c>
      <c r="D7831" t="str">
        <f>HYPERLINK("http://service.sap.com/sap/support/notes/1574730","1574730")</f>
        <v>1574730</v>
      </c>
      <c r="E7831">
        <v>3</v>
      </c>
      <c r="F7831" t="s">
        <v>7401</v>
      </c>
    </row>
    <row r="7832" spans="1:6" x14ac:dyDescent="0.25">
      <c r="A7832" t="s">
        <v>7512</v>
      </c>
      <c r="B7832" t="s">
        <v>2161</v>
      </c>
      <c r="C7832" t="s">
        <v>2162</v>
      </c>
      <c r="D7832" t="str">
        <f>HYPERLINK("http://service.sap.com/sap/support/notes/1576613","1576613")</f>
        <v>1576613</v>
      </c>
      <c r="E7832">
        <v>2</v>
      </c>
      <c r="F7832" t="s">
        <v>7402</v>
      </c>
    </row>
    <row r="7833" spans="1:6" x14ac:dyDescent="0.25">
      <c r="A7833" t="s">
        <v>7512</v>
      </c>
      <c r="B7833" t="s">
        <v>4105</v>
      </c>
      <c r="C7833" t="s">
        <v>4106</v>
      </c>
      <c r="D7833" t="str">
        <f>HYPERLINK("http://service.sap.com/sap/support/notes/1556781","1556781")</f>
        <v>1556781</v>
      </c>
      <c r="E7833">
        <v>1</v>
      </c>
      <c r="F7833" t="s">
        <v>7403</v>
      </c>
    </row>
    <row r="7834" spans="1:6" x14ac:dyDescent="0.25">
      <c r="A7834" t="s">
        <v>7512</v>
      </c>
      <c r="B7834" t="s">
        <v>4105</v>
      </c>
      <c r="C7834" t="s">
        <v>4106</v>
      </c>
      <c r="D7834" t="str">
        <f>HYPERLINK("http://service.sap.com/sap/support/notes/1570279","1570279")</f>
        <v>1570279</v>
      </c>
      <c r="E7834">
        <v>2</v>
      </c>
      <c r="F7834" t="s">
        <v>7259</v>
      </c>
    </row>
    <row r="7835" spans="1:6" x14ac:dyDescent="0.25">
      <c r="A7835" t="s">
        <v>7512</v>
      </c>
      <c r="B7835" t="s">
        <v>4105</v>
      </c>
      <c r="C7835" t="s">
        <v>4106</v>
      </c>
      <c r="D7835" t="str">
        <f>HYPERLINK("http://service.sap.com/sap/support/notes/1571621","1571621")</f>
        <v>1571621</v>
      </c>
      <c r="E7835">
        <v>2</v>
      </c>
      <c r="F7835" t="s">
        <v>7404</v>
      </c>
    </row>
    <row r="7836" spans="1:6" x14ac:dyDescent="0.25">
      <c r="A7836" t="s">
        <v>7512</v>
      </c>
      <c r="B7836" t="s">
        <v>4105</v>
      </c>
      <c r="C7836" t="s">
        <v>4106</v>
      </c>
      <c r="D7836" t="str">
        <f>HYPERLINK("http://service.sap.com/sap/support/notes/1579151","1579151")</f>
        <v>1579151</v>
      </c>
      <c r="E7836">
        <v>1</v>
      </c>
      <c r="F7836" t="s">
        <v>7405</v>
      </c>
    </row>
    <row r="7837" spans="1:6" x14ac:dyDescent="0.25">
      <c r="A7837" t="s">
        <v>7512</v>
      </c>
      <c r="B7837" t="s">
        <v>4109</v>
      </c>
      <c r="C7837" t="s">
        <v>4110</v>
      </c>
      <c r="D7837" t="str">
        <f>HYPERLINK("http://service.sap.com/sap/support/notes/1571211","1571211")</f>
        <v>1571211</v>
      </c>
      <c r="E7837">
        <v>1</v>
      </c>
      <c r="F7837" t="s">
        <v>7406</v>
      </c>
    </row>
    <row r="7838" spans="1:6" x14ac:dyDescent="0.25">
      <c r="A7838" t="s">
        <v>7512</v>
      </c>
      <c r="B7838" t="s">
        <v>4109</v>
      </c>
      <c r="C7838" t="s">
        <v>4110</v>
      </c>
      <c r="D7838" t="str">
        <f>HYPERLINK("http://service.sap.com/sap/support/notes/1572215","1572215")</f>
        <v>1572215</v>
      </c>
      <c r="E7838">
        <v>1</v>
      </c>
      <c r="F7838" t="s">
        <v>7407</v>
      </c>
    </row>
    <row r="7839" spans="1:6" x14ac:dyDescent="0.25">
      <c r="A7839" t="s">
        <v>7512</v>
      </c>
      <c r="B7839" t="s">
        <v>4109</v>
      </c>
      <c r="C7839" t="s">
        <v>4110</v>
      </c>
      <c r="D7839" t="str">
        <f>HYPERLINK("http://service.sap.com/sap/support/notes/1573344","1573344")</f>
        <v>1573344</v>
      </c>
      <c r="E7839">
        <v>1</v>
      </c>
      <c r="F7839" t="s">
        <v>7408</v>
      </c>
    </row>
    <row r="7840" spans="1:6" x14ac:dyDescent="0.25">
      <c r="A7840" t="s">
        <v>7512</v>
      </c>
      <c r="B7840" t="s">
        <v>4109</v>
      </c>
      <c r="C7840" t="s">
        <v>4110</v>
      </c>
      <c r="D7840" t="str">
        <f>HYPERLINK("http://service.sap.com/sap/support/notes/1575531","1575531")</f>
        <v>1575531</v>
      </c>
      <c r="E7840">
        <v>1</v>
      </c>
      <c r="F7840" t="s">
        <v>7409</v>
      </c>
    </row>
    <row r="7841" spans="1:6" x14ac:dyDescent="0.25">
      <c r="A7841" t="s">
        <v>7512</v>
      </c>
      <c r="B7841" t="s">
        <v>4109</v>
      </c>
      <c r="C7841" t="s">
        <v>4110</v>
      </c>
      <c r="D7841" t="str">
        <f>HYPERLINK("http://service.sap.com/sap/support/notes/1576182","1576182")</f>
        <v>1576182</v>
      </c>
      <c r="E7841">
        <v>1</v>
      </c>
      <c r="F7841" t="s">
        <v>7410</v>
      </c>
    </row>
    <row r="7842" spans="1:6" x14ac:dyDescent="0.25">
      <c r="A7842" t="s">
        <v>7512</v>
      </c>
      <c r="B7842" t="s">
        <v>4109</v>
      </c>
      <c r="C7842" t="s">
        <v>4110</v>
      </c>
      <c r="D7842" t="str">
        <f>HYPERLINK("http://service.sap.com/sap/support/notes/1581132","1581132")</f>
        <v>1581132</v>
      </c>
      <c r="E7842">
        <v>1</v>
      </c>
      <c r="F7842" t="s">
        <v>7411</v>
      </c>
    </row>
    <row r="7843" spans="1:6" x14ac:dyDescent="0.25">
      <c r="A7843" t="s">
        <v>7512</v>
      </c>
      <c r="B7843" t="s">
        <v>4260</v>
      </c>
      <c r="C7843" t="s">
        <v>4261</v>
      </c>
      <c r="D7843" t="str">
        <f>HYPERLINK("http://service.sap.com/sap/support/notes/1570840","1570840")</f>
        <v>1570840</v>
      </c>
      <c r="E7843">
        <v>1</v>
      </c>
      <c r="F7843" t="s">
        <v>7412</v>
      </c>
    </row>
    <row r="7844" spans="1:6" x14ac:dyDescent="0.25">
      <c r="A7844" t="s">
        <v>7512</v>
      </c>
      <c r="B7844" t="s">
        <v>4260</v>
      </c>
      <c r="C7844" t="s">
        <v>4261</v>
      </c>
      <c r="D7844" t="str">
        <f>HYPERLINK("http://service.sap.com/sap/support/notes/1571013","1571013")</f>
        <v>1571013</v>
      </c>
      <c r="E7844">
        <v>1</v>
      </c>
      <c r="F7844" t="s">
        <v>7413</v>
      </c>
    </row>
    <row r="7845" spans="1:6" x14ac:dyDescent="0.25">
      <c r="A7845" t="s">
        <v>7512</v>
      </c>
      <c r="B7845" t="s">
        <v>4112</v>
      </c>
      <c r="C7845" t="s">
        <v>4113</v>
      </c>
      <c r="D7845" t="str">
        <f>HYPERLINK("http://service.sap.com/sap/support/notes/1567732","1567732")</f>
        <v>1567732</v>
      </c>
      <c r="E7845">
        <v>2</v>
      </c>
      <c r="F7845" t="s">
        <v>7414</v>
      </c>
    </row>
    <row r="7846" spans="1:6" x14ac:dyDescent="0.25">
      <c r="A7846" t="s">
        <v>7512</v>
      </c>
      <c r="B7846" t="s">
        <v>4112</v>
      </c>
      <c r="C7846" t="s">
        <v>4113</v>
      </c>
      <c r="D7846" t="str">
        <f>HYPERLINK("http://service.sap.com/sap/support/notes/1568513","1568513")</f>
        <v>1568513</v>
      </c>
      <c r="E7846">
        <v>1</v>
      </c>
      <c r="F7846" t="s">
        <v>7415</v>
      </c>
    </row>
    <row r="7847" spans="1:6" x14ac:dyDescent="0.25">
      <c r="A7847" t="s">
        <v>7512</v>
      </c>
      <c r="B7847" t="s">
        <v>5645</v>
      </c>
      <c r="C7847" t="s">
        <v>5646</v>
      </c>
      <c r="D7847" t="str">
        <f>HYPERLINK("http://service.sap.com/sap/support/notes/1401338","1401338")</f>
        <v>1401338</v>
      </c>
      <c r="E7847">
        <v>5</v>
      </c>
      <c r="F7847" t="s">
        <v>7416</v>
      </c>
    </row>
    <row r="7848" spans="1:6" x14ac:dyDescent="0.25">
      <c r="A7848" t="s">
        <v>7512</v>
      </c>
      <c r="B7848" t="s">
        <v>5648</v>
      </c>
      <c r="C7848" t="s">
        <v>5649</v>
      </c>
    </row>
    <row r="7849" spans="1:6" x14ac:dyDescent="0.25">
      <c r="A7849" t="s">
        <v>7512</v>
      </c>
      <c r="B7849" t="s">
        <v>5650</v>
      </c>
      <c r="C7849" t="s">
        <v>5651</v>
      </c>
      <c r="D7849" t="str">
        <f>HYPERLINK("http://service.sap.com/sap/support/notes/1558995","1558995")</f>
        <v>1558995</v>
      </c>
      <c r="E7849">
        <v>2</v>
      </c>
      <c r="F7849" t="s">
        <v>7417</v>
      </c>
    </row>
    <row r="7850" spans="1:6" x14ac:dyDescent="0.25">
      <c r="A7850" t="s">
        <v>7512</v>
      </c>
      <c r="B7850" t="s">
        <v>5650</v>
      </c>
      <c r="C7850" t="s">
        <v>5651</v>
      </c>
      <c r="D7850" t="str">
        <f>HYPERLINK("http://service.sap.com/sap/support/notes/1570021","1570021")</f>
        <v>1570021</v>
      </c>
      <c r="E7850">
        <v>2</v>
      </c>
      <c r="F7850" t="s">
        <v>7418</v>
      </c>
    </row>
    <row r="7851" spans="1:6" x14ac:dyDescent="0.25">
      <c r="A7851" t="s">
        <v>7512</v>
      </c>
      <c r="B7851" t="s">
        <v>5650</v>
      </c>
      <c r="C7851" t="s">
        <v>5651</v>
      </c>
      <c r="D7851" t="str">
        <f>HYPERLINK("http://service.sap.com/sap/support/notes/1576412","1576412")</f>
        <v>1576412</v>
      </c>
      <c r="E7851">
        <v>2</v>
      </c>
      <c r="F7851" t="s">
        <v>7419</v>
      </c>
    </row>
    <row r="7852" spans="1:6" x14ac:dyDescent="0.25">
      <c r="A7852" t="s">
        <v>7512</v>
      </c>
      <c r="B7852" t="s">
        <v>5650</v>
      </c>
      <c r="C7852" t="s">
        <v>5651</v>
      </c>
      <c r="D7852" t="str">
        <f>HYPERLINK("http://service.sap.com/sap/support/notes/1577099","1577099")</f>
        <v>1577099</v>
      </c>
      <c r="E7852">
        <v>2</v>
      </c>
      <c r="F7852" t="s">
        <v>7420</v>
      </c>
    </row>
    <row r="7853" spans="1:6" x14ac:dyDescent="0.25">
      <c r="A7853" t="s">
        <v>7512</v>
      </c>
      <c r="B7853" t="s">
        <v>5650</v>
      </c>
      <c r="C7853" t="s">
        <v>5651</v>
      </c>
      <c r="D7853" t="str">
        <f>HYPERLINK("http://service.sap.com/sap/support/notes/1577498","1577498")</f>
        <v>1577498</v>
      </c>
      <c r="E7853">
        <v>1</v>
      </c>
      <c r="F7853" t="s">
        <v>7421</v>
      </c>
    </row>
    <row r="7854" spans="1:6" x14ac:dyDescent="0.25">
      <c r="A7854" t="s">
        <v>7512</v>
      </c>
      <c r="B7854" t="s">
        <v>5650</v>
      </c>
      <c r="C7854" t="s">
        <v>5651</v>
      </c>
      <c r="D7854" t="str">
        <f>HYPERLINK("http://service.sap.com/sap/support/notes/1578318","1578318")</f>
        <v>1578318</v>
      </c>
      <c r="E7854">
        <v>2</v>
      </c>
      <c r="F7854" t="s">
        <v>7422</v>
      </c>
    </row>
    <row r="7855" spans="1:6" x14ac:dyDescent="0.25">
      <c r="A7855" t="s">
        <v>7512</v>
      </c>
      <c r="B7855" t="s">
        <v>7423</v>
      </c>
      <c r="C7855" t="s">
        <v>7424</v>
      </c>
      <c r="D7855" t="str">
        <f>HYPERLINK("http://service.sap.com/sap/support/notes/1579012","1579012")</f>
        <v>1579012</v>
      </c>
      <c r="E7855">
        <v>1</v>
      </c>
      <c r="F7855" t="s">
        <v>7425</v>
      </c>
    </row>
    <row r="7856" spans="1:6" x14ac:dyDescent="0.25">
      <c r="A7856" t="s">
        <v>7512</v>
      </c>
      <c r="B7856" t="s">
        <v>5652</v>
      </c>
      <c r="C7856" t="s">
        <v>5653</v>
      </c>
      <c r="D7856" t="str">
        <f>HYPERLINK("http://service.sap.com/sap/support/notes/1572081","1572081")</f>
        <v>1572081</v>
      </c>
      <c r="E7856">
        <v>1</v>
      </c>
      <c r="F7856" t="s">
        <v>7426</v>
      </c>
    </row>
    <row r="7857" spans="1:6" x14ac:dyDescent="0.25">
      <c r="A7857" t="s">
        <v>7512</v>
      </c>
      <c r="B7857" t="s">
        <v>5656</v>
      </c>
      <c r="C7857" t="s">
        <v>5657</v>
      </c>
      <c r="D7857" t="str">
        <f>HYPERLINK("http://service.sap.com/sap/support/notes/1542733","1542733")</f>
        <v>1542733</v>
      </c>
      <c r="E7857">
        <v>2</v>
      </c>
      <c r="F7857" t="s">
        <v>7427</v>
      </c>
    </row>
    <row r="7858" spans="1:6" x14ac:dyDescent="0.25">
      <c r="A7858" t="s">
        <v>7512</v>
      </c>
      <c r="B7858" t="s">
        <v>38</v>
      </c>
      <c r="C7858" t="s">
        <v>39</v>
      </c>
    </row>
    <row r="7859" spans="1:6" x14ac:dyDescent="0.25">
      <c r="A7859" t="s">
        <v>7512</v>
      </c>
      <c r="B7859" t="s">
        <v>7428</v>
      </c>
      <c r="C7859" t="s">
        <v>156</v>
      </c>
    </row>
    <row r="7860" spans="1:6" x14ac:dyDescent="0.25">
      <c r="A7860" t="s">
        <v>7512</v>
      </c>
      <c r="B7860" t="s">
        <v>7429</v>
      </c>
      <c r="C7860" t="s">
        <v>7430</v>
      </c>
      <c r="D7860" t="str">
        <f>HYPERLINK("http://service.sap.com/sap/support/notes/1528422","1528422")</f>
        <v>1528422</v>
      </c>
      <c r="E7860">
        <v>1</v>
      </c>
      <c r="F7860" t="s">
        <v>7431</v>
      </c>
    </row>
    <row r="7861" spans="1:6" x14ac:dyDescent="0.25">
      <c r="A7861" t="s">
        <v>7512</v>
      </c>
      <c r="B7861" t="s">
        <v>44</v>
      </c>
      <c r="C7861" t="s">
        <v>45</v>
      </c>
      <c r="D7861" t="str">
        <f>HYPERLINK("http://service.sap.com/sap/support/notes/1577198","1577198")</f>
        <v>1577198</v>
      </c>
      <c r="E7861">
        <v>1</v>
      </c>
      <c r="F7861" t="s">
        <v>7432</v>
      </c>
    </row>
    <row r="7862" spans="1:6" x14ac:dyDescent="0.25">
      <c r="A7862" t="s">
        <v>7512</v>
      </c>
      <c r="B7862" t="s">
        <v>44</v>
      </c>
      <c r="C7862" t="s">
        <v>45</v>
      </c>
      <c r="D7862" t="str">
        <f>HYPERLINK("http://service.sap.com/sap/support/notes/1578531","1578531")</f>
        <v>1578531</v>
      </c>
      <c r="E7862">
        <v>1</v>
      </c>
      <c r="F7862" t="s">
        <v>7433</v>
      </c>
    </row>
    <row r="7863" spans="1:6" x14ac:dyDescent="0.25">
      <c r="A7863" t="s">
        <v>7512</v>
      </c>
      <c r="B7863" t="s">
        <v>7152</v>
      </c>
      <c r="C7863" t="s">
        <v>192</v>
      </c>
      <c r="D7863" t="str">
        <f>HYPERLINK("http://service.sap.com/sap/support/notes/1499566","1499566")</f>
        <v>1499566</v>
      </c>
      <c r="E7863">
        <v>2</v>
      </c>
      <c r="F7863" t="s">
        <v>7434</v>
      </c>
    </row>
    <row r="7864" spans="1:6" x14ac:dyDescent="0.25">
      <c r="A7864" t="s">
        <v>7512</v>
      </c>
      <c r="B7864" t="s">
        <v>79</v>
      </c>
      <c r="C7864" t="s">
        <v>80</v>
      </c>
      <c r="D7864" t="str">
        <f>HYPERLINK("http://service.sap.com/sap/support/notes/1570049","1570049")</f>
        <v>1570049</v>
      </c>
      <c r="E7864">
        <v>1</v>
      </c>
      <c r="F7864" t="s">
        <v>7435</v>
      </c>
    </row>
    <row r="7865" spans="1:6" x14ac:dyDescent="0.25">
      <c r="A7865" t="s">
        <v>7512</v>
      </c>
      <c r="B7865" t="s">
        <v>89</v>
      </c>
      <c r="C7865" t="s">
        <v>90</v>
      </c>
      <c r="D7865" t="str">
        <f>HYPERLINK("http://service.sap.com/sap/support/notes/1507786","1507786")</f>
        <v>1507786</v>
      </c>
      <c r="E7865">
        <v>1</v>
      </c>
      <c r="F7865" t="s">
        <v>6490</v>
      </c>
    </row>
    <row r="7866" spans="1:6" x14ac:dyDescent="0.25">
      <c r="A7866" t="s">
        <v>7512</v>
      </c>
      <c r="B7866" t="s">
        <v>704</v>
      </c>
      <c r="C7866" t="s">
        <v>412</v>
      </c>
      <c r="D7866" t="str">
        <f>HYPERLINK("http://service.sap.com/sap/support/notes/1578199","1578199")</f>
        <v>1578199</v>
      </c>
      <c r="E7866">
        <v>1</v>
      </c>
      <c r="F7866" t="s">
        <v>7436</v>
      </c>
    </row>
    <row r="7867" spans="1:6" x14ac:dyDescent="0.25">
      <c r="A7867" t="s">
        <v>7512</v>
      </c>
      <c r="B7867" t="s">
        <v>92</v>
      </c>
      <c r="C7867" t="s">
        <v>93</v>
      </c>
      <c r="D7867" t="str">
        <f>HYPERLINK("http://service.sap.com/sap/support/notes/1568948","1568948")</f>
        <v>1568948</v>
      </c>
      <c r="E7867">
        <v>6</v>
      </c>
      <c r="F7867" t="s">
        <v>7273</v>
      </c>
    </row>
    <row r="7868" spans="1:6" x14ac:dyDescent="0.25">
      <c r="A7868" t="s">
        <v>7512</v>
      </c>
      <c r="B7868" t="s">
        <v>92</v>
      </c>
      <c r="C7868" t="s">
        <v>93</v>
      </c>
      <c r="D7868" t="str">
        <f>HYPERLINK("http://service.sap.com/sap/support/notes/1575319","1575319")</f>
        <v>1575319</v>
      </c>
      <c r="E7868">
        <v>10</v>
      </c>
      <c r="F7868" t="s">
        <v>2991</v>
      </c>
    </row>
    <row r="7869" spans="1:6" x14ac:dyDescent="0.25">
      <c r="A7869" t="s">
        <v>7512</v>
      </c>
      <c r="B7869" t="s">
        <v>92</v>
      </c>
      <c r="C7869" t="s">
        <v>93</v>
      </c>
      <c r="D7869" t="str">
        <f>HYPERLINK("http://service.sap.com/sap/support/notes/1576939","1576939")</f>
        <v>1576939</v>
      </c>
      <c r="E7869">
        <v>1</v>
      </c>
      <c r="F7869" t="s">
        <v>7437</v>
      </c>
    </row>
    <row r="7870" spans="1:6" x14ac:dyDescent="0.25">
      <c r="A7870" t="s">
        <v>7512</v>
      </c>
      <c r="B7870" t="s">
        <v>724</v>
      </c>
      <c r="C7870" t="s">
        <v>725</v>
      </c>
      <c r="D7870" t="str">
        <f>HYPERLINK("http://service.sap.com/sap/support/notes/1521999","1521999")</f>
        <v>1521999</v>
      </c>
      <c r="E7870">
        <v>5</v>
      </c>
      <c r="F7870" t="s">
        <v>7438</v>
      </c>
    </row>
    <row r="7871" spans="1:6" x14ac:dyDescent="0.25">
      <c r="A7871" t="s">
        <v>7512</v>
      </c>
      <c r="B7871" t="s">
        <v>724</v>
      </c>
      <c r="C7871" t="s">
        <v>725</v>
      </c>
      <c r="D7871" t="str">
        <f>HYPERLINK("http://service.sap.com/sap/support/notes/1534983","1534983")</f>
        <v>1534983</v>
      </c>
      <c r="E7871">
        <v>1</v>
      </c>
      <c r="F7871" t="s">
        <v>7439</v>
      </c>
    </row>
    <row r="7872" spans="1:6" x14ac:dyDescent="0.25">
      <c r="A7872" t="s">
        <v>7512</v>
      </c>
      <c r="B7872" t="s">
        <v>790</v>
      </c>
      <c r="C7872" t="s">
        <v>4125</v>
      </c>
    </row>
    <row r="7873" spans="1:6" x14ac:dyDescent="0.25">
      <c r="A7873" t="s">
        <v>7512</v>
      </c>
      <c r="B7873" t="s">
        <v>791</v>
      </c>
      <c r="C7873" t="s">
        <v>4126</v>
      </c>
      <c r="D7873" t="str">
        <f>HYPERLINK("http://service.sap.com/sap/support/notes/1547393","1547393")</f>
        <v>1547393</v>
      </c>
      <c r="E7873">
        <v>2</v>
      </c>
      <c r="F7873" t="s">
        <v>7440</v>
      </c>
    </row>
    <row r="7874" spans="1:6" x14ac:dyDescent="0.25">
      <c r="A7874" t="s">
        <v>7512</v>
      </c>
      <c r="B7874" t="s">
        <v>791</v>
      </c>
      <c r="C7874" t="s">
        <v>4126</v>
      </c>
      <c r="D7874" t="str">
        <f>HYPERLINK("http://service.sap.com/sap/support/notes/1555202","1555202")</f>
        <v>1555202</v>
      </c>
      <c r="E7874">
        <v>1</v>
      </c>
      <c r="F7874" t="s">
        <v>7441</v>
      </c>
    </row>
    <row r="7875" spans="1:6" x14ac:dyDescent="0.25">
      <c r="A7875" t="s">
        <v>7512</v>
      </c>
      <c r="B7875" t="s">
        <v>791</v>
      </c>
      <c r="C7875" t="s">
        <v>4126</v>
      </c>
      <c r="D7875" t="str">
        <f>HYPERLINK("http://service.sap.com/sap/support/notes/1560315","1560315")</f>
        <v>1560315</v>
      </c>
      <c r="E7875">
        <v>3</v>
      </c>
      <c r="F7875" t="s">
        <v>7442</v>
      </c>
    </row>
    <row r="7876" spans="1:6" x14ac:dyDescent="0.25">
      <c r="A7876" t="s">
        <v>7512</v>
      </c>
      <c r="B7876" t="s">
        <v>791</v>
      </c>
      <c r="C7876" t="s">
        <v>4126</v>
      </c>
      <c r="D7876" t="str">
        <f>HYPERLINK("http://service.sap.com/sap/support/notes/1570149","1570149")</f>
        <v>1570149</v>
      </c>
      <c r="E7876">
        <v>1</v>
      </c>
      <c r="F7876" t="s">
        <v>7275</v>
      </c>
    </row>
    <row r="7877" spans="1:6" x14ac:dyDescent="0.25">
      <c r="A7877" t="s">
        <v>7512</v>
      </c>
      <c r="B7877" t="s">
        <v>791</v>
      </c>
      <c r="C7877" t="s">
        <v>4126</v>
      </c>
      <c r="D7877" t="str">
        <f>HYPERLINK("http://service.sap.com/sap/support/notes/1575178","1575178")</f>
        <v>1575178</v>
      </c>
      <c r="E7877">
        <v>4</v>
      </c>
      <c r="F7877" t="s">
        <v>7443</v>
      </c>
    </row>
    <row r="7878" spans="1:6" x14ac:dyDescent="0.25">
      <c r="A7878" t="s">
        <v>7512</v>
      </c>
      <c r="B7878" t="s">
        <v>791</v>
      </c>
      <c r="C7878" t="s">
        <v>4126</v>
      </c>
      <c r="D7878" t="str">
        <f>HYPERLINK("http://service.sap.com/sap/support/notes/1575448","1575448")</f>
        <v>1575448</v>
      </c>
      <c r="E7878">
        <v>1</v>
      </c>
      <c r="F7878" t="s">
        <v>7444</v>
      </c>
    </row>
    <row r="7879" spans="1:6" x14ac:dyDescent="0.25">
      <c r="A7879" t="s">
        <v>7512</v>
      </c>
      <c r="B7879" t="s">
        <v>791</v>
      </c>
      <c r="C7879" t="s">
        <v>4126</v>
      </c>
      <c r="D7879" t="str">
        <f>HYPERLINK("http://service.sap.com/sap/support/notes/1576273","1576273")</f>
        <v>1576273</v>
      </c>
      <c r="E7879">
        <v>2</v>
      </c>
      <c r="F7879" t="s">
        <v>7445</v>
      </c>
    </row>
    <row r="7880" spans="1:6" x14ac:dyDescent="0.25">
      <c r="A7880" t="s">
        <v>7512</v>
      </c>
      <c r="B7880" t="s">
        <v>791</v>
      </c>
      <c r="C7880" t="s">
        <v>4126</v>
      </c>
      <c r="D7880" t="str">
        <f>HYPERLINK("http://service.sap.com/sap/support/notes/1576786","1576786")</f>
        <v>1576786</v>
      </c>
      <c r="E7880">
        <v>1</v>
      </c>
      <c r="F7880" t="s">
        <v>7446</v>
      </c>
    </row>
    <row r="7881" spans="1:6" x14ac:dyDescent="0.25">
      <c r="A7881" t="s">
        <v>7512</v>
      </c>
      <c r="B7881" t="s">
        <v>791</v>
      </c>
      <c r="C7881" t="s">
        <v>4126</v>
      </c>
      <c r="D7881" t="str">
        <f>HYPERLINK("http://service.sap.com/sap/support/notes/1578678","1578678")</f>
        <v>1578678</v>
      </c>
      <c r="E7881">
        <v>2</v>
      </c>
      <c r="F7881" t="s">
        <v>7447</v>
      </c>
    </row>
    <row r="7882" spans="1:6" x14ac:dyDescent="0.25">
      <c r="A7882" t="s">
        <v>7512</v>
      </c>
      <c r="B7882" t="s">
        <v>791</v>
      </c>
      <c r="C7882" t="s">
        <v>4126</v>
      </c>
      <c r="D7882" t="str">
        <f>HYPERLINK("http://service.sap.com/sap/support/notes/1578957","1578957")</f>
        <v>1578957</v>
      </c>
      <c r="E7882">
        <v>5</v>
      </c>
      <c r="F7882" t="s">
        <v>7448</v>
      </c>
    </row>
    <row r="7883" spans="1:6" x14ac:dyDescent="0.25">
      <c r="A7883" t="s">
        <v>7512</v>
      </c>
      <c r="B7883" t="s">
        <v>810</v>
      </c>
      <c r="C7883" t="s">
        <v>4131</v>
      </c>
    </row>
    <row r="7884" spans="1:6" x14ac:dyDescent="0.25">
      <c r="A7884" t="s">
        <v>7512</v>
      </c>
      <c r="B7884" t="s">
        <v>811</v>
      </c>
      <c r="C7884" t="s">
        <v>4132</v>
      </c>
      <c r="D7884" t="str">
        <f>HYPERLINK("http://service.sap.com/sap/support/notes/1563602","1563602")</f>
        <v>1563602</v>
      </c>
      <c r="E7884">
        <v>2</v>
      </c>
      <c r="F7884" t="s">
        <v>7449</v>
      </c>
    </row>
    <row r="7885" spans="1:6" x14ac:dyDescent="0.25">
      <c r="A7885" t="s">
        <v>7512</v>
      </c>
      <c r="B7885" t="s">
        <v>4144</v>
      </c>
      <c r="C7885" t="s">
        <v>4145</v>
      </c>
      <c r="D7885" t="str">
        <f>HYPERLINK("http://service.sap.com/sap/support/notes/1520538","1520538")</f>
        <v>1520538</v>
      </c>
      <c r="E7885">
        <v>3</v>
      </c>
      <c r="F7885" t="s">
        <v>7279</v>
      </c>
    </row>
    <row r="7886" spans="1:6" x14ac:dyDescent="0.25">
      <c r="A7886" t="s">
        <v>7512</v>
      </c>
      <c r="B7886" t="s">
        <v>4144</v>
      </c>
      <c r="C7886" t="s">
        <v>4145</v>
      </c>
      <c r="D7886" t="str">
        <f>HYPERLINK("http://service.sap.com/sap/support/notes/1554061","1554061")</f>
        <v>1554061</v>
      </c>
      <c r="E7886">
        <v>3</v>
      </c>
      <c r="F7886" t="s">
        <v>7450</v>
      </c>
    </row>
    <row r="7887" spans="1:6" x14ac:dyDescent="0.25">
      <c r="A7887" t="s">
        <v>7512</v>
      </c>
      <c r="B7887" t="s">
        <v>4144</v>
      </c>
      <c r="C7887" t="s">
        <v>4145</v>
      </c>
      <c r="D7887" t="str">
        <f>HYPERLINK("http://service.sap.com/sap/support/notes/1558355","1558355")</f>
        <v>1558355</v>
      </c>
      <c r="E7887">
        <v>6</v>
      </c>
      <c r="F7887" t="s">
        <v>7451</v>
      </c>
    </row>
    <row r="7888" spans="1:6" x14ac:dyDescent="0.25">
      <c r="A7888" t="s">
        <v>7512</v>
      </c>
      <c r="B7888" t="s">
        <v>4144</v>
      </c>
      <c r="C7888" t="s">
        <v>4145</v>
      </c>
      <c r="D7888" t="str">
        <f>HYPERLINK("http://service.sap.com/sap/support/notes/1559459","1559459")</f>
        <v>1559459</v>
      </c>
      <c r="E7888">
        <v>1</v>
      </c>
      <c r="F7888" t="s">
        <v>7452</v>
      </c>
    </row>
    <row r="7889" spans="1:6" x14ac:dyDescent="0.25">
      <c r="A7889" t="s">
        <v>7512</v>
      </c>
      <c r="B7889" t="s">
        <v>4144</v>
      </c>
      <c r="C7889" t="s">
        <v>4145</v>
      </c>
      <c r="D7889" t="str">
        <f>HYPERLINK("http://service.sap.com/sap/support/notes/1560966","1560966")</f>
        <v>1560966</v>
      </c>
      <c r="E7889">
        <v>1</v>
      </c>
      <c r="F7889" t="s">
        <v>7453</v>
      </c>
    </row>
    <row r="7890" spans="1:6" x14ac:dyDescent="0.25">
      <c r="A7890" t="s">
        <v>7512</v>
      </c>
      <c r="B7890" t="s">
        <v>4144</v>
      </c>
      <c r="C7890" t="s">
        <v>4145</v>
      </c>
      <c r="D7890" t="str">
        <f>HYPERLINK("http://service.sap.com/sap/support/notes/1567065","1567065")</f>
        <v>1567065</v>
      </c>
      <c r="E7890">
        <v>1</v>
      </c>
      <c r="F7890" t="s">
        <v>7454</v>
      </c>
    </row>
    <row r="7891" spans="1:6" x14ac:dyDescent="0.25">
      <c r="A7891" t="s">
        <v>7512</v>
      </c>
      <c r="B7891" t="s">
        <v>4144</v>
      </c>
      <c r="C7891" t="s">
        <v>4145</v>
      </c>
      <c r="D7891" t="str">
        <f>HYPERLINK("http://service.sap.com/sap/support/notes/1568563","1568563")</f>
        <v>1568563</v>
      </c>
      <c r="E7891">
        <v>1</v>
      </c>
      <c r="F7891" t="s">
        <v>7455</v>
      </c>
    </row>
    <row r="7892" spans="1:6" x14ac:dyDescent="0.25">
      <c r="A7892" t="s">
        <v>7512</v>
      </c>
      <c r="B7892" t="s">
        <v>4144</v>
      </c>
      <c r="C7892" t="s">
        <v>4145</v>
      </c>
      <c r="D7892" t="str">
        <f>HYPERLINK("http://service.sap.com/sap/support/notes/1571359","1571359")</f>
        <v>1571359</v>
      </c>
      <c r="E7892">
        <v>1</v>
      </c>
      <c r="F7892" t="s">
        <v>7456</v>
      </c>
    </row>
    <row r="7893" spans="1:6" x14ac:dyDescent="0.25">
      <c r="A7893" t="s">
        <v>7512</v>
      </c>
      <c r="B7893" t="s">
        <v>4144</v>
      </c>
      <c r="C7893" t="s">
        <v>4145</v>
      </c>
      <c r="D7893" t="str">
        <f>HYPERLINK("http://service.sap.com/sap/support/notes/1571433","1571433")</f>
        <v>1571433</v>
      </c>
      <c r="E7893">
        <v>2</v>
      </c>
      <c r="F7893" t="s">
        <v>7457</v>
      </c>
    </row>
    <row r="7894" spans="1:6" x14ac:dyDescent="0.25">
      <c r="A7894" t="s">
        <v>7512</v>
      </c>
      <c r="B7894" t="s">
        <v>4144</v>
      </c>
      <c r="C7894" t="s">
        <v>4145</v>
      </c>
      <c r="D7894" t="str">
        <f>HYPERLINK("http://service.sap.com/sap/support/notes/1571532","1571532")</f>
        <v>1571532</v>
      </c>
      <c r="E7894">
        <v>1</v>
      </c>
      <c r="F7894" t="s">
        <v>7458</v>
      </c>
    </row>
    <row r="7895" spans="1:6" x14ac:dyDescent="0.25">
      <c r="A7895" t="s">
        <v>7512</v>
      </c>
      <c r="B7895" t="s">
        <v>4144</v>
      </c>
      <c r="C7895" t="s">
        <v>4145</v>
      </c>
      <c r="D7895" t="str">
        <f>HYPERLINK("http://service.sap.com/sap/support/notes/1575158","1575158")</f>
        <v>1575158</v>
      </c>
      <c r="E7895">
        <v>1</v>
      </c>
      <c r="F7895" t="s">
        <v>4281</v>
      </c>
    </row>
    <row r="7896" spans="1:6" x14ac:dyDescent="0.25">
      <c r="A7896" t="s">
        <v>7512</v>
      </c>
      <c r="B7896" t="s">
        <v>4144</v>
      </c>
      <c r="C7896" t="s">
        <v>4145</v>
      </c>
      <c r="D7896" t="str">
        <f>HYPERLINK("http://service.sap.com/sap/support/notes/1575338","1575338")</f>
        <v>1575338</v>
      </c>
      <c r="E7896">
        <v>2</v>
      </c>
      <c r="F7896" t="s">
        <v>7459</v>
      </c>
    </row>
    <row r="7897" spans="1:6" x14ac:dyDescent="0.25">
      <c r="A7897" t="s">
        <v>7512</v>
      </c>
      <c r="B7897" t="s">
        <v>4144</v>
      </c>
      <c r="C7897" t="s">
        <v>4145</v>
      </c>
      <c r="D7897" t="str">
        <f>HYPERLINK("http://service.sap.com/sap/support/notes/1575398","1575398")</f>
        <v>1575398</v>
      </c>
      <c r="E7897">
        <v>1</v>
      </c>
      <c r="F7897" t="s">
        <v>7460</v>
      </c>
    </row>
    <row r="7898" spans="1:6" x14ac:dyDescent="0.25">
      <c r="A7898" t="s">
        <v>7512</v>
      </c>
      <c r="B7898" t="s">
        <v>4144</v>
      </c>
      <c r="C7898" t="s">
        <v>4145</v>
      </c>
      <c r="D7898" t="str">
        <f>HYPERLINK("http://service.sap.com/sap/support/notes/1575454","1575454")</f>
        <v>1575454</v>
      </c>
      <c r="E7898">
        <v>1</v>
      </c>
      <c r="F7898" t="s">
        <v>7461</v>
      </c>
    </row>
    <row r="7899" spans="1:6" x14ac:dyDescent="0.25">
      <c r="A7899" t="s">
        <v>7512</v>
      </c>
      <c r="B7899" t="s">
        <v>4144</v>
      </c>
      <c r="C7899" t="s">
        <v>4145</v>
      </c>
      <c r="D7899" t="str">
        <f>HYPERLINK("http://service.sap.com/sap/support/notes/1579690","1579690")</f>
        <v>1579690</v>
      </c>
      <c r="E7899">
        <v>3</v>
      </c>
      <c r="F7899" t="s">
        <v>7462</v>
      </c>
    </row>
    <row r="7900" spans="1:6" x14ac:dyDescent="0.25">
      <c r="A7900" t="s">
        <v>7512</v>
      </c>
      <c r="B7900" t="s">
        <v>4144</v>
      </c>
      <c r="C7900" t="s">
        <v>4145</v>
      </c>
      <c r="D7900" t="str">
        <f>HYPERLINK("http://service.sap.com/sap/support/notes/1580223","1580223")</f>
        <v>1580223</v>
      </c>
      <c r="E7900">
        <v>2</v>
      </c>
      <c r="F7900" t="s">
        <v>7463</v>
      </c>
    </row>
    <row r="7901" spans="1:6" x14ac:dyDescent="0.25">
      <c r="A7901" t="s">
        <v>7512</v>
      </c>
      <c r="B7901" t="s">
        <v>4144</v>
      </c>
      <c r="C7901" t="s">
        <v>4145</v>
      </c>
      <c r="D7901" t="str">
        <f>HYPERLINK("http://service.sap.com/sap/support/notes/1582286","1582286")</f>
        <v>1582286</v>
      </c>
      <c r="E7901">
        <v>1</v>
      </c>
      <c r="F7901" t="s">
        <v>7464</v>
      </c>
    </row>
    <row r="7902" spans="1:6" x14ac:dyDescent="0.25">
      <c r="A7902" t="s">
        <v>7512</v>
      </c>
      <c r="B7902" t="s">
        <v>126</v>
      </c>
      <c r="C7902" t="s">
        <v>127</v>
      </c>
    </row>
    <row r="7903" spans="1:6" x14ac:dyDescent="0.25">
      <c r="A7903" t="s">
        <v>7512</v>
      </c>
      <c r="B7903" t="s">
        <v>1772</v>
      </c>
      <c r="C7903" t="s">
        <v>1773</v>
      </c>
    </row>
    <row r="7904" spans="1:6" x14ac:dyDescent="0.25">
      <c r="A7904" t="s">
        <v>7512</v>
      </c>
      <c r="B7904" t="s">
        <v>1774</v>
      </c>
      <c r="C7904" t="s">
        <v>1775</v>
      </c>
      <c r="D7904" t="str">
        <f>HYPERLINK("http://service.sap.com/sap/support/notes/1569124","1569124")</f>
        <v>1569124</v>
      </c>
      <c r="E7904">
        <v>2</v>
      </c>
      <c r="F7904" t="s">
        <v>7465</v>
      </c>
    </row>
    <row r="7905" spans="1:6" x14ac:dyDescent="0.25">
      <c r="A7905" t="s">
        <v>7512</v>
      </c>
      <c r="B7905" t="s">
        <v>824</v>
      </c>
      <c r="C7905" t="s">
        <v>1777</v>
      </c>
    </row>
    <row r="7906" spans="1:6" x14ac:dyDescent="0.25">
      <c r="A7906" t="s">
        <v>7512</v>
      </c>
      <c r="B7906" t="s">
        <v>4416</v>
      </c>
      <c r="C7906" t="s">
        <v>4417</v>
      </c>
      <c r="D7906" t="str">
        <f>HYPERLINK("http://service.sap.com/sap/support/notes/1571535","1571535")</f>
        <v>1571535</v>
      </c>
      <c r="E7906">
        <v>1</v>
      </c>
      <c r="F7906" t="s">
        <v>7466</v>
      </c>
    </row>
    <row r="7907" spans="1:6" x14ac:dyDescent="0.25">
      <c r="A7907" t="s">
        <v>7512</v>
      </c>
      <c r="B7907" t="s">
        <v>4157</v>
      </c>
      <c r="C7907" t="s">
        <v>4158</v>
      </c>
      <c r="D7907" t="str">
        <f>HYPERLINK("http://service.sap.com/sap/support/notes/1565899","1565899")</f>
        <v>1565899</v>
      </c>
      <c r="E7907">
        <v>1</v>
      </c>
      <c r="F7907" t="s">
        <v>7467</v>
      </c>
    </row>
    <row r="7908" spans="1:6" x14ac:dyDescent="0.25">
      <c r="A7908" t="s">
        <v>7512</v>
      </c>
      <c r="B7908" t="s">
        <v>825</v>
      </c>
      <c r="C7908" t="s">
        <v>1778</v>
      </c>
      <c r="D7908" t="str">
        <f>HYPERLINK("http://service.sap.com/sap/support/notes/1420582","1420582")</f>
        <v>1420582</v>
      </c>
      <c r="E7908">
        <v>4</v>
      </c>
      <c r="F7908" t="s">
        <v>7468</v>
      </c>
    </row>
    <row r="7909" spans="1:6" x14ac:dyDescent="0.25">
      <c r="A7909" t="s">
        <v>7512</v>
      </c>
      <c r="B7909" t="s">
        <v>825</v>
      </c>
      <c r="C7909" t="s">
        <v>1778</v>
      </c>
      <c r="D7909" t="str">
        <f>HYPERLINK("http://service.sap.com/sap/support/notes/1483603","1483603")</f>
        <v>1483603</v>
      </c>
      <c r="E7909">
        <v>2</v>
      </c>
      <c r="F7909" t="s">
        <v>3000</v>
      </c>
    </row>
    <row r="7910" spans="1:6" x14ac:dyDescent="0.25">
      <c r="A7910" t="s">
        <v>7512</v>
      </c>
      <c r="B7910" t="s">
        <v>825</v>
      </c>
      <c r="C7910" t="s">
        <v>1778</v>
      </c>
      <c r="D7910" t="str">
        <f>HYPERLINK("http://service.sap.com/sap/support/notes/1496898","1496898")</f>
        <v>1496898</v>
      </c>
      <c r="E7910">
        <v>2</v>
      </c>
      <c r="F7910" t="s">
        <v>7469</v>
      </c>
    </row>
    <row r="7911" spans="1:6" x14ac:dyDescent="0.25">
      <c r="A7911" t="s">
        <v>7512</v>
      </c>
      <c r="B7911" t="s">
        <v>825</v>
      </c>
      <c r="C7911" t="s">
        <v>1778</v>
      </c>
      <c r="D7911" t="str">
        <f>HYPERLINK("http://service.sap.com/sap/support/notes/1521389","1521389")</f>
        <v>1521389</v>
      </c>
      <c r="E7911">
        <v>3</v>
      </c>
      <c r="F7911" t="s">
        <v>7470</v>
      </c>
    </row>
    <row r="7912" spans="1:6" x14ac:dyDescent="0.25">
      <c r="A7912" t="s">
        <v>7512</v>
      </c>
      <c r="B7912" t="s">
        <v>825</v>
      </c>
      <c r="C7912" t="s">
        <v>1778</v>
      </c>
      <c r="D7912" t="str">
        <f>HYPERLINK("http://service.sap.com/sap/support/notes/1544518","1544518")</f>
        <v>1544518</v>
      </c>
      <c r="E7912">
        <v>1</v>
      </c>
      <c r="F7912" t="s">
        <v>7471</v>
      </c>
    </row>
    <row r="7913" spans="1:6" x14ac:dyDescent="0.25">
      <c r="A7913" t="s">
        <v>7512</v>
      </c>
      <c r="B7913" t="s">
        <v>825</v>
      </c>
      <c r="C7913" t="s">
        <v>1778</v>
      </c>
      <c r="D7913" t="str">
        <f>HYPERLINK("http://service.sap.com/sap/support/notes/1557070","1557070")</f>
        <v>1557070</v>
      </c>
      <c r="E7913">
        <v>2</v>
      </c>
      <c r="F7913" t="s">
        <v>7472</v>
      </c>
    </row>
    <row r="7914" spans="1:6" x14ac:dyDescent="0.25">
      <c r="A7914" t="s">
        <v>7512</v>
      </c>
      <c r="B7914" t="s">
        <v>825</v>
      </c>
      <c r="C7914" t="s">
        <v>1778</v>
      </c>
      <c r="D7914" t="str">
        <f>HYPERLINK("http://service.sap.com/sap/support/notes/1559038","1559038")</f>
        <v>1559038</v>
      </c>
      <c r="E7914">
        <v>3</v>
      </c>
      <c r="F7914" t="s">
        <v>7473</v>
      </c>
    </row>
    <row r="7915" spans="1:6" x14ac:dyDescent="0.25">
      <c r="A7915" t="s">
        <v>7512</v>
      </c>
      <c r="B7915" t="s">
        <v>825</v>
      </c>
      <c r="C7915" t="s">
        <v>1778</v>
      </c>
      <c r="D7915" t="str">
        <f>HYPERLINK("http://service.sap.com/sap/support/notes/1564902","1564902")</f>
        <v>1564902</v>
      </c>
      <c r="E7915">
        <v>3</v>
      </c>
      <c r="F7915" t="s">
        <v>7474</v>
      </c>
    </row>
    <row r="7916" spans="1:6" x14ac:dyDescent="0.25">
      <c r="A7916" t="s">
        <v>7512</v>
      </c>
      <c r="B7916" t="s">
        <v>825</v>
      </c>
      <c r="C7916" t="s">
        <v>1778</v>
      </c>
      <c r="D7916" t="str">
        <f>HYPERLINK("http://service.sap.com/sap/support/notes/1566752","1566752")</f>
        <v>1566752</v>
      </c>
      <c r="E7916">
        <v>1</v>
      </c>
      <c r="F7916" t="s">
        <v>7475</v>
      </c>
    </row>
    <row r="7917" spans="1:6" x14ac:dyDescent="0.25">
      <c r="A7917" t="s">
        <v>7512</v>
      </c>
      <c r="B7917" t="s">
        <v>825</v>
      </c>
      <c r="C7917" t="s">
        <v>1778</v>
      </c>
      <c r="D7917" t="str">
        <f>HYPERLINK("http://service.sap.com/sap/support/notes/1567600","1567600")</f>
        <v>1567600</v>
      </c>
      <c r="E7917">
        <v>1</v>
      </c>
      <c r="F7917" t="s">
        <v>7476</v>
      </c>
    </row>
    <row r="7918" spans="1:6" x14ac:dyDescent="0.25">
      <c r="A7918" t="s">
        <v>7512</v>
      </c>
      <c r="B7918" t="s">
        <v>825</v>
      </c>
      <c r="C7918" t="s">
        <v>1778</v>
      </c>
      <c r="D7918" t="str">
        <f>HYPERLINK("http://service.sap.com/sap/support/notes/1567743","1567743")</f>
        <v>1567743</v>
      </c>
      <c r="E7918">
        <v>1</v>
      </c>
      <c r="F7918" t="s">
        <v>7477</v>
      </c>
    </row>
    <row r="7919" spans="1:6" x14ac:dyDescent="0.25">
      <c r="A7919" t="s">
        <v>7512</v>
      </c>
      <c r="B7919" t="s">
        <v>825</v>
      </c>
      <c r="C7919" t="s">
        <v>1778</v>
      </c>
      <c r="D7919" t="str">
        <f>HYPERLINK("http://service.sap.com/sap/support/notes/1568844","1568844")</f>
        <v>1568844</v>
      </c>
      <c r="E7919">
        <v>2</v>
      </c>
      <c r="F7919" t="s">
        <v>7478</v>
      </c>
    </row>
    <row r="7920" spans="1:6" x14ac:dyDescent="0.25">
      <c r="A7920" t="s">
        <v>7512</v>
      </c>
      <c r="B7920" t="s">
        <v>825</v>
      </c>
      <c r="C7920" t="s">
        <v>1778</v>
      </c>
      <c r="D7920" t="str">
        <f>HYPERLINK("http://service.sap.com/sap/support/notes/1568864","1568864")</f>
        <v>1568864</v>
      </c>
      <c r="E7920">
        <v>3</v>
      </c>
      <c r="F7920" t="s">
        <v>7479</v>
      </c>
    </row>
    <row r="7921" spans="1:6" x14ac:dyDescent="0.25">
      <c r="A7921" t="s">
        <v>7512</v>
      </c>
      <c r="B7921" t="s">
        <v>825</v>
      </c>
      <c r="C7921" t="s">
        <v>1778</v>
      </c>
      <c r="D7921" t="str">
        <f>HYPERLINK("http://service.sap.com/sap/support/notes/1571118","1571118")</f>
        <v>1571118</v>
      </c>
      <c r="E7921">
        <v>1</v>
      </c>
      <c r="F7921" t="s">
        <v>7480</v>
      </c>
    </row>
    <row r="7922" spans="1:6" x14ac:dyDescent="0.25">
      <c r="A7922" t="s">
        <v>7512</v>
      </c>
      <c r="B7922" t="s">
        <v>825</v>
      </c>
      <c r="C7922" t="s">
        <v>1778</v>
      </c>
      <c r="D7922" t="str">
        <f>HYPERLINK("http://service.sap.com/sap/support/notes/1572182","1572182")</f>
        <v>1572182</v>
      </c>
      <c r="E7922">
        <v>1</v>
      </c>
      <c r="F7922" t="s">
        <v>7481</v>
      </c>
    </row>
    <row r="7923" spans="1:6" x14ac:dyDescent="0.25">
      <c r="A7923" t="s">
        <v>7512</v>
      </c>
      <c r="B7923" t="s">
        <v>825</v>
      </c>
      <c r="C7923" t="s">
        <v>1778</v>
      </c>
      <c r="D7923" t="str">
        <f>HYPERLINK("http://service.sap.com/sap/support/notes/1573008","1573008")</f>
        <v>1573008</v>
      </c>
      <c r="E7923">
        <v>3</v>
      </c>
      <c r="F7923" t="s">
        <v>7482</v>
      </c>
    </row>
    <row r="7924" spans="1:6" x14ac:dyDescent="0.25">
      <c r="A7924" t="s">
        <v>7512</v>
      </c>
      <c r="B7924" t="s">
        <v>825</v>
      </c>
      <c r="C7924" t="s">
        <v>1778</v>
      </c>
      <c r="D7924" t="str">
        <f>HYPERLINK("http://service.sap.com/sap/support/notes/1577791","1577791")</f>
        <v>1577791</v>
      </c>
      <c r="E7924">
        <v>5</v>
      </c>
      <c r="F7924" t="s">
        <v>7483</v>
      </c>
    </row>
    <row r="7925" spans="1:6" x14ac:dyDescent="0.25">
      <c r="A7925" t="s">
        <v>7512</v>
      </c>
      <c r="B7925" t="s">
        <v>825</v>
      </c>
      <c r="C7925" t="s">
        <v>1778</v>
      </c>
      <c r="D7925" t="str">
        <f>HYPERLINK("http://service.sap.com/sap/support/notes/1577978","1577978")</f>
        <v>1577978</v>
      </c>
      <c r="E7925">
        <v>1</v>
      </c>
      <c r="F7925" t="s">
        <v>7484</v>
      </c>
    </row>
    <row r="7926" spans="1:6" x14ac:dyDescent="0.25">
      <c r="A7926" t="s">
        <v>7512</v>
      </c>
      <c r="B7926" t="s">
        <v>826</v>
      </c>
      <c r="C7926" t="s">
        <v>1773</v>
      </c>
      <c r="D7926" t="str">
        <f>HYPERLINK("http://service.sap.com/sap/support/notes/1567919","1567919")</f>
        <v>1567919</v>
      </c>
      <c r="E7926">
        <v>2</v>
      </c>
      <c r="F7926" t="s">
        <v>7485</v>
      </c>
    </row>
    <row r="7927" spans="1:6" x14ac:dyDescent="0.25">
      <c r="A7927" t="s">
        <v>7512</v>
      </c>
      <c r="B7927" t="s">
        <v>826</v>
      </c>
      <c r="C7927" t="s">
        <v>1773</v>
      </c>
      <c r="D7927" t="str">
        <f>HYPERLINK("http://service.sap.com/sap/support/notes/1568297","1568297")</f>
        <v>1568297</v>
      </c>
      <c r="E7927">
        <v>1</v>
      </c>
      <c r="F7927" t="s">
        <v>7486</v>
      </c>
    </row>
    <row r="7928" spans="1:6" x14ac:dyDescent="0.25">
      <c r="A7928" t="s">
        <v>7512</v>
      </c>
      <c r="B7928" t="s">
        <v>6368</v>
      </c>
      <c r="C7928" t="s">
        <v>1784</v>
      </c>
      <c r="D7928" t="str">
        <f>HYPERLINK("http://service.sap.com/sap/support/notes/1564448","1564448")</f>
        <v>1564448</v>
      </c>
      <c r="E7928">
        <v>2</v>
      </c>
      <c r="F7928" t="s">
        <v>7487</v>
      </c>
    </row>
    <row r="7929" spans="1:6" x14ac:dyDescent="0.25">
      <c r="A7929" t="s">
        <v>7512</v>
      </c>
      <c r="B7929" t="s">
        <v>4441</v>
      </c>
      <c r="C7929" t="s">
        <v>4442</v>
      </c>
      <c r="D7929" t="str">
        <f>HYPERLINK("http://service.sap.com/sap/support/notes/1352571","1352571")</f>
        <v>1352571</v>
      </c>
      <c r="E7929">
        <v>5</v>
      </c>
      <c r="F7929" t="s">
        <v>7488</v>
      </c>
    </row>
    <row r="7930" spans="1:6" x14ac:dyDescent="0.25">
      <c r="A7930" t="s">
        <v>7512</v>
      </c>
      <c r="B7930" t="s">
        <v>831</v>
      </c>
      <c r="C7930" t="s">
        <v>2598</v>
      </c>
    </row>
    <row r="7931" spans="1:6" x14ac:dyDescent="0.25">
      <c r="A7931" t="s">
        <v>7512</v>
      </c>
      <c r="B7931" t="s">
        <v>849</v>
      </c>
      <c r="C7931" t="s">
        <v>4450</v>
      </c>
    </row>
    <row r="7932" spans="1:6" x14ac:dyDescent="0.25">
      <c r="A7932" t="s">
        <v>7512</v>
      </c>
      <c r="B7932" t="s">
        <v>867</v>
      </c>
      <c r="C7932" t="s">
        <v>4451</v>
      </c>
    </row>
    <row r="7933" spans="1:6" x14ac:dyDescent="0.25">
      <c r="A7933" t="s">
        <v>7512</v>
      </c>
      <c r="B7933" t="s">
        <v>868</v>
      </c>
      <c r="C7933" t="s">
        <v>6376</v>
      </c>
      <c r="D7933" t="str">
        <f>HYPERLINK("http://service.sap.com/sap/support/notes/1570116","1570116")</f>
        <v>1570116</v>
      </c>
      <c r="E7933">
        <v>1</v>
      </c>
      <c r="F7933" t="s">
        <v>7489</v>
      </c>
    </row>
    <row r="7934" spans="1:6" x14ac:dyDescent="0.25">
      <c r="A7934" t="s">
        <v>7512</v>
      </c>
      <c r="B7934" t="s">
        <v>868</v>
      </c>
      <c r="C7934" t="s">
        <v>6376</v>
      </c>
      <c r="D7934" t="str">
        <f>HYPERLINK("http://service.sap.com/sap/support/notes/1570407","1570407")</f>
        <v>1570407</v>
      </c>
      <c r="E7934">
        <v>1</v>
      </c>
      <c r="F7934" t="s">
        <v>7490</v>
      </c>
    </row>
    <row r="7935" spans="1:6" x14ac:dyDescent="0.25">
      <c r="A7935" t="s">
        <v>7512</v>
      </c>
      <c r="B7935" t="s">
        <v>868</v>
      </c>
      <c r="C7935" t="s">
        <v>6376</v>
      </c>
      <c r="D7935" t="str">
        <f>HYPERLINK("http://service.sap.com/sap/support/notes/1581143","1581143")</f>
        <v>1581143</v>
      </c>
      <c r="E7935">
        <v>2</v>
      </c>
      <c r="F7935" t="s">
        <v>7491</v>
      </c>
    </row>
    <row r="7936" spans="1:6" x14ac:dyDescent="0.25">
      <c r="A7936" t="s">
        <v>7512</v>
      </c>
      <c r="B7936" t="s">
        <v>4452</v>
      </c>
      <c r="C7936" t="s">
        <v>4048</v>
      </c>
      <c r="D7936" t="str">
        <f>HYPERLINK("http://service.sap.com/sap/support/notes/1301458","1301458")</f>
        <v>1301458</v>
      </c>
      <c r="E7936">
        <v>4</v>
      </c>
      <c r="F7936" t="s">
        <v>7492</v>
      </c>
    </row>
    <row r="7937" spans="1:6" x14ac:dyDescent="0.25">
      <c r="A7937" t="s">
        <v>7512</v>
      </c>
      <c r="B7937" t="s">
        <v>4452</v>
      </c>
      <c r="C7937" t="s">
        <v>4048</v>
      </c>
      <c r="D7937" t="str">
        <f>HYPERLINK("http://service.sap.com/sap/support/notes/1337195","1337195")</f>
        <v>1337195</v>
      </c>
      <c r="E7937">
        <v>3</v>
      </c>
      <c r="F7937" t="s">
        <v>7493</v>
      </c>
    </row>
    <row r="7938" spans="1:6" x14ac:dyDescent="0.25">
      <c r="A7938" t="s">
        <v>7512</v>
      </c>
      <c r="B7938" t="s">
        <v>4452</v>
      </c>
      <c r="C7938" t="s">
        <v>4048</v>
      </c>
      <c r="D7938" t="str">
        <f>HYPERLINK("http://service.sap.com/sap/support/notes/1449048","1449048")</f>
        <v>1449048</v>
      </c>
      <c r="E7938">
        <v>2</v>
      </c>
      <c r="F7938" t="s">
        <v>7494</v>
      </c>
    </row>
    <row r="7939" spans="1:6" x14ac:dyDescent="0.25">
      <c r="A7939" t="s">
        <v>7512</v>
      </c>
      <c r="B7939" t="s">
        <v>4452</v>
      </c>
      <c r="C7939" t="s">
        <v>4048</v>
      </c>
      <c r="D7939" t="str">
        <f>HYPERLINK("http://service.sap.com/sap/support/notes/1458033","1458033")</f>
        <v>1458033</v>
      </c>
      <c r="E7939">
        <v>2</v>
      </c>
      <c r="F7939" t="s">
        <v>7495</v>
      </c>
    </row>
    <row r="7940" spans="1:6" x14ac:dyDescent="0.25">
      <c r="A7940" t="s">
        <v>7512</v>
      </c>
      <c r="B7940" t="s">
        <v>4452</v>
      </c>
      <c r="C7940" t="s">
        <v>4048</v>
      </c>
      <c r="D7940" t="str">
        <f>HYPERLINK("http://service.sap.com/sap/support/notes/1569346","1569346")</f>
        <v>1569346</v>
      </c>
      <c r="E7940">
        <v>1</v>
      </c>
      <c r="F7940" t="s">
        <v>7496</v>
      </c>
    </row>
    <row r="7941" spans="1:6" x14ac:dyDescent="0.25">
      <c r="A7941" t="s">
        <v>7512</v>
      </c>
      <c r="B7941" t="s">
        <v>4452</v>
      </c>
      <c r="C7941" t="s">
        <v>4048</v>
      </c>
      <c r="D7941" t="str">
        <f>HYPERLINK("http://service.sap.com/sap/support/notes/1571876","1571876")</f>
        <v>1571876</v>
      </c>
      <c r="E7941">
        <v>1</v>
      </c>
      <c r="F7941" t="s">
        <v>7497</v>
      </c>
    </row>
    <row r="7942" spans="1:6" x14ac:dyDescent="0.25">
      <c r="A7942" t="s">
        <v>7512</v>
      </c>
      <c r="B7942" t="s">
        <v>4452</v>
      </c>
      <c r="C7942" t="s">
        <v>4048</v>
      </c>
      <c r="D7942" t="str">
        <f>HYPERLINK("http://service.sap.com/sap/support/notes/1573699","1573699")</f>
        <v>1573699</v>
      </c>
      <c r="E7942">
        <v>2</v>
      </c>
      <c r="F7942" t="s">
        <v>7498</v>
      </c>
    </row>
    <row r="7943" spans="1:6" x14ac:dyDescent="0.25">
      <c r="A7943" t="s">
        <v>7512</v>
      </c>
      <c r="B7943" t="s">
        <v>131</v>
      </c>
      <c r="C7943" t="s">
        <v>132</v>
      </c>
    </row>
    <row r="7944" spans="1:6" x14ac:dyDescent="0.25">
      <c r="A7944" t="s">
        <v>7512</v>
      </c>
      <c r="B7944" t="s">
        <v>155</v>
      </c>
      <c r="C7944" t="s">
        <v>156</v>
      </c>
      <c r="D7944" t="str">
        <f>HYPERLINK("http://service.sap.com/sap/support/notes/815445","815445")</f>
        <v>815445</v>
      </c>
      <c r="E7944">
        <v>1</v>
      </c>
      <c r="F7944" t="s">
        <v>157</v>
      </c>
    </row>
    <row r="7945" spans="1:6" x14ac:dyDescent="0.25">
      <c r="A7945" t="s">
        <v>7512</v>
      </c>
      <c r="B7945" t="s">
        <v>155</v>
      </c>
      <c r="C7945" t="s">
        <v>156</v>
      </c>
      <c r="D7945" t="str">
        <f>HYPERLINK("http://service.sap.com/sap/support/notes/1568952","1568952")</f>
        <v>1568952</v>
      </c>
      <c r="E7945">
        <v>1</v>
      </c>
      <c r="F7945" t="s">
        <v>3043</v>
      </c>
    </row>
    <row r="7946" spans="1:6" x14ac:dyDescent="0.25">
      <c r="A7946" t="s">
        <v>7512</v>
      </c>
      <c r="B7946" t="s">
        <v>155</v>
      </c>
      <c r="C7946" t="s">
        <v>156</v>
      </c>
      <c r="D7946" t="str">
        <f>HYPERLINK("http://service.sap.com/sap/support/notes/1570952","1570952")</f>
        <v>1570952</v>
      </c>
      <c r="E7946">
        <v>1</v>
      </c>
      <c r="F7946" t="s">
        <v>3044</v>
      </c>
    </row>
    <row r="7947" spans="1:6" x14ac:dyDescent="0.25">
      <c r="A7947" t="s">
        <v>7512</v>
      </c>
      <c r="B7947" t="s">
        <v>155</v>
      </c>
      <c r="C7947" t="s">
        <v>156</v>
      </c>
      <c r="D7947" t="str">
        <f>HYPERLINK("http://service.sap.com/sap/support/notes/1572046","1572046")</f>
        <v>1572046</v>
      </c>
      <c r="E7947">
        <v>1</v>
      </c>
      <c r="F7947" t="s">
        <v>3045</v>
      </c>
    </row>
    <row r="7948" spans="1:6" x14ac:dyDescent="0.25">
      <c r="A7948" t="s">
        <v>7512</v>
      </c>
      <c r="B7948" t="s">
        <v>155</v>
      </c>
      <c r="C7948" t="s">
        <v>156</v>
      </c>
      <c r="D7948" t="str">
        <f>HYPERLINK("http://service.sap.com/sap/support/notes/1586026","1586026")</f>
        <v>1586026</v>
      </c>
      <c r="E7948">
        <v>1</v>
      </c>
      <c r="F7948" t="s">
        <v>7499</v>
      </c>
    </row>
    <row r="7949" spans="1:6" x14ac:dyDescent="0.25">
      <c r="A7949" t="s">
        <v>7512</v>
      </c>
      <c r="B7949" t="s">
        <v>168</v>
      </c>
      <c r="C7949" t="s">
        <v>169</v>
      </c>
      <c r="D7949" t="str">
        <f>HYPERLINK("http://service.sap.com/sap/support/notes/1575100","1575100")</f>
        <v>1575100</v>
      </c>
      <c r="E7949">
        <v>1</v>
      </c>
      <c r="F7949" t="s">
        <v>7500</v>
      </c>
    </row>
    <row r="7950" spans="1:6" x14ac:dyDescent="0.25">
      <c r="A7950" t="s">
        <v>7512</v>
      </c>
      <c r="B7950" t="s">
        <v>171</v>
      </c>
      <c r="C7950" t="s">
        <v>153</v>
      </c>
      <c r="D7950" t="str">
        <f>HYPERLINK("http://service.sap.com/sap/support/notes/1560810","1560810")</f>
        <v>1560810</v>
      </c>
      <c r="E7950">
        <v>2</v>
      </c>
      <c r="F7950" t="s">
        <v>3056</v>
      </c>
    </row>
    <row r="7951" spans="1:6" x14ac:dyDescent="0.25">
      <c r="A7951" t="s">
        <v>7512</v>
      </c>
      <c r="B7951" t="s">
        <v>201</v>
      </c>
      <c r="C7951" t="s">
        <v>202</v>
      </c>
    </row>
    <row r="7952" spans="1:6" x14ac:dyDescent="0.25">
      <c r="A7952" t="s">
        <v>7512</v>
      </c>
      <c r="B7952" t="s">
        <v>964</v>
      </c>
      <c r="C7952" t="s">
        <v>299</v>
      </c>
      <c r="D7952" t="str">
        <f>HYPERLINK("http://service.sap.com/sap/support/notes/1579493","1579493")</f>
        <v>1579493</v>
      </c>
      <c r="E7952">
        <v>1</v>
      </c>
      <c r="F7952" t="s">
        <v>3092</v>
      </c>
    </row>
    <row r="7953" spans="1:6" x14ac:dyDescent="0.25">
      <c r="A7953" t="s">
        <v>7512</v>
      </c>
      <c r="B7953" t="s">
        <v>343</v>
      </c>
      <c r="C7953" t="s">
        <v>344</v>
      </c>
      <c r="D7953" t="str">
        <f>HYPERLINK("http://service.sap.com/sap/support/notes/1570828","1570828")</f>
        <v>1570828</v>
      </c>
      <c r="E7953">
        <v>1</v>
      </c>
      <c r="F7953" t="s">
        <v>3207</v>
      </c>
    </row>
    <row r="7954" spans="1:6" x14ac:dyDescent="0.25">
      <c r="A7954" t="s">
        <v>7512</v>
      </c>
      <c r="B7954" t="s">
        <v>347</v>
      </c>
      <c r="C7954" t="s">
        <v>153</v>
      </c>
      <c r="D7954" t="str">
        <f>HYPERLINK("http://service.sap.com/sap/support/notes/1571275","1571275")</f>
        <v>1571275</v>
      </c>
      <c r="E7954">
        <v>1</v>
      </c>
      <c r="F7954" t="s">
        <v>7501</v>
      </c>
    </row>
    <row r="7955" spans="1:6" x14ac:dyDescent="0.25">
      <c r="A7955" t="s">
        <v>7512</v>
      </c>
      <c r="B7955" t="s">
        <v>363</v>
      </c>
      <c r="C7955" t="s">
        <v>74</v>
      </c>
    </row>
    <row r="7956" spans="1:6" x14ac:dyDescent="0.25">
      <c r="A7956" t="s">
        <v>7512</v>
      </c>
      <c r="B7956" t="s">
        <v>371</v>
      </c>
      <c r="C7956" t="s">
        <v>372</v>
      </c>
      <c r="D7956" t="str">
        <f>HYPERLINK("http://service.sap.com/sap/support/notes/1337015","1337015")</f>
        <v>1337015</v>
      </c>
      <c r="E7956">
        <v>1</v>
      </c>
      <c r="F7956" t="s">
        <v>7502</v>
      </c>
    </row>
    <row r="7957" spans="1:6" x14ac:dyDescent="0.25">
      <c r="A7957" t="s">
        <v>7512</v>
      </c>
      <c r="B7957" t="s">
        <v>371</v>
      </c>
      <c r="C7957" t="s">
        <v>372</v>
      </c>
      <c r="D7957" t="str">
        <f>HYPERLINK("http://service.sap.com/sap/support/notes/1531593","1531593")</f>
        <v>1531593</v>
      </c>
      <c r="E7957">
        <v>1</v>
      </c>
      <c r="F7957" t="s">
        <v>7191</v>
      </c>
    </row>
    <row r="7958" spans="1:6" x14ac:dyDescent="0.25">
      <c r="A7958" t="s">
        <v>7512</v>
      </c>
      <c r="B7958" t="s">
        <v>371</v>
      </c>
      <c r="C7958" t="s">
        <v>372</v>
      </c>
      <c r="D7958" t="str">
        <f>HYPERLINK("http://service.sap.com/sap/support/notes/1555327","1555327")</f>
        <v>1555327</v>
      </c>
      <c r="E7958">
        <v>2</v>
      </c>
      <c r="F7958" t="s">
        <v>7503</v>
      </c>
    </row>
    <row r="7959" spans="1:6" x14ac:dyDescent="0.25">
      <c r="A7959" t="s">
        <v>7512</v>
      </c>
      <c r="B7959" t="s">
        <v>371</v>
      </c>
      <c r="C7959" t="s">
        <v>372</v>
      </c>
      <c r="D7959" t="str">
        <f>HYPERLINK("http://service.sap.com/sap/support/notes/1560840","1560840")</f>
        <v>1560840</v>
      </c>
      <c r="E7959">
        <v>3</v>
      </c>
      <c r="F7959" t="s">
        <v>7504</v>
      </c>
    </row>
    <row r="7960" spans="1:6" x14ac:dyDescent="0.25">
      <c r="A7960" t="s">
        <v>7512</v>
      </c>
      <c r="B7960" t="s">
        <v>371</v>
      </c>
      <c r="C7960" t="s">
        <v>372</v>
      </c>
      <c r="D7960" t="str">
        <f>HYPERLINK("http://service.sap.com/sap/support/notes/1565864","1565864")</f>
        <v>1565864</v>
      </c>
      <c r="E7960">
        <v>4</v>
      </c>
      <c r="F7960" t="s">
        <v>7505</v>
      </c>
    </row>
    <row r="7961" spans="1:6" x14ac:dyDescent="0.25">
      <c r="A7961" t="s">
        <v>7512</v>
      </c>
      <c r="B7961" t="s">
        <v>379</v>
      </c>
      <c r="C7961" t="s">
        <v>80</v>
      </c>
    </row>
    <row r="7962" spans="1:6" x14ac:dyDescent="0.25">
      <c r="A7962" t="s">
        <v>7512</v>
      </c>
      <c r="B7962" t="s">
        <v>386</v>
      </c>
      <c r="C7962" t="s">
        <v>299</v>
      </c>
      <c r="D7962" t="str">
        <f>HYPERLINK("http://service.sap.com/sap/support/notes/1573050","1573050")</f>
        <v>1573050</v>
      </c>
      <c r="E7962">
        <v>1</v>
      </c>
      <c r="F7962" t="s">
        <v>7506</v>
      </c>
    </row>
    <row r="7963" spans="1:6" x14ac:dyDescent="0.25">
      <c r="A7963" t="s">
        <v>7512</v>
      </c>
      <c r="B7963" t="s">
        <v>472</v>
      </c>
      <c r="C7963" t="s">
        <v>473</v>
      </c>
    </row>
    <row r="7964" spans="1:6" x14ac:dyDescent="0.25">
      <c r="A7964" t="s">
        <v>7512</v>
      </c>
      <c r="B7964" t="s">
        <v>476</v>
      </c>
      <c r="C7964" t="s">
        <v>477</v>
      </c>
      <c r="D7964" t="str">
        <f>HYPERLINK("http://service.sap.com/sap/support/notes/1509386","1509386")</f>
        <v>1509386</v>
      </c>
      <c r="E7964">
        <v>2</v>
      </c>
      <c r="F7964" t="s">
        <v>7507</v>
      </c>
    </row>
    <row r="7965" spans="1:6" x14ac:dyDescent="0.25">
      <c r="A7965" t="s">
        <v>7512</v>
      </c>
      <c r="B7965" t="s">
        <v>476</v>
      </c>
      <c r="C7965" t="s">
        <v>477</v>
      </c>
      <c r="D7965" t="str">
        <f>HYPERLINK("http://service.sap.com/sap/support/notes/1530749","1530749")</f>
        <v>1530749</v>
      </c>
      <c r="E7965">
        <v>2</v>
      </c>
      <c r="F7965" t="s">
        <v>7508</v>
      </c>
    </row>
    <row r="7966" spans="1:6" x14ac:dyDescent="0.25">
      <c r="A7966" t="s">
        <v>7512</v>
      </c>
      <c r="B7966" t="s">
        <v>531</v>
      </c>
      <c r="C7966" t="s">
        <v>532</v>
      </c>
    </row>
    <row r="7967" spans="1:6" x14ac:dyDescent="0.25">
      <c r="A7967" t="s">
        <v>7512</v>
      </c>
      <c r="B7967" t="s">
        <v>1314</v>
      </c>
      <c r="C7967" t="s">
        <v>5767</v>
      </c>
      <c r="D7967" t="str">
        <f>HYPERLINK("http://service.sap.com/sap/support/notes/1574708","1574708")</f>
        <v>1574708</v>
      </c>
      <c r="E7967">
        <v>1</v>
      </c>
      <c r="F7967" t="s">
        <v>7509</v>
      </c>
    </row>
    <row r="7968" spans="1:6" x14ac:dyDescent="0.25">
      <c r="A7968" t="s">
        <v>7512</v>
      </c>
      <c r="B7968" t="s">
        <v>1342</v>
      </c>
      <c r="C7968" t="s">
        <v>1343</v>
      </c>
      <c r="D7968" t="str">
        <f>HYPERLINK("http://service.sap.com/sap/support/notes/1569282","1569282")</f>
        <v>1569282</v>
      </c>
      <c r="E7968">
        <v>1</v>
      </c>
      <c r="F7968" t="s">
        <v>7510</v>
      </c>
    </row>
    <row r="7969" spans="1:6" x14ac:dyDescent="0.25">
      <c r="A7969" t="s">
        <v>7512</v>
      </c>
      <c r="B7969" t="s">
        <v>1361</v>
      </c>
      <c r="C7969" t="s">
        <v>1362</v>
      </c>
      <c r="D7969" t="str">
        <f>HYPERLINK("http://service.sap.com/sap/support/notes/1563664","1563664")</f>
        <v>1563664</v>
      </c>
      <c r="E7969">
        <v>2</v>
      </c>
      <c r="F7969" t="s">
        <v>1366</v>
      </c>
    </row>
    <row r="7970" spans="1:6" x14ac:dyDescent="0.25">
      <c r="A7970" t="s">
        <v>7512</v>
      </c>
      <c r="B7970" t="s">
        <v>4185</v>
      </c>
      <c r="C7970" t="s">
        <v>4186</v>
      </c>
    </row>
    <row r="7971" spans="1:6" x14ac:dyDescent="0.25">
      <c r="A7971" t="s">
        <v>7512</v>
      </c>
      <c r="B7971" t="s">
        <v>4187</v>
      </c>
      <c r="C7971" t="s">
        <v>4188</v>
      </c>
    </row>
    <row r="7972" spans="1:6" x14ac:dyDescent="0.25">
      <c r="A7972" t="s">
        <v>7512</v>
      </c>
      <c r="B7972" t="s">
        <v>4189</v>
      </c>
      <c r="C7972" t="s">
        <v>4190</v>
      </c>
    </row>
    <row r="7973" spans="1:6" x14ac:dyDescent="0.25">
      <c r="A7973" t="s">
        <v>7512</v>
      </c>
      <c r="B7973" t="s">
        <v>4191</v>
      </c>
      <c r="C7973" t="s">
        <v>4192</v>
      </c>
    </row>
    <row r="7974" spans="1:6" x14ac:dyDescent="0.25">
      <c r="A7974" t="s">
        <v>7512</v>
      </c>
      <c r="B7974" t="s">
        <v>4193</v>
      </c>
      <c r="C7974" t="s">
        <v>4194</v>
      </c>
      <c r="D7974" t="str">
        <f>HYPERLINK("http://service.sap.com/sap/support/notes/1516974","1516974")</f>
        <v>1516974</v>
      </c>
      <c r="E7974">
        <v>2</v>
      </c>
      <c r="F7974" t="s">
        <v>7511</v>
      </c>
    </row>
    <row r="7975" spans="1:6" x14ac:dyDescent="0.25">
      <c r="A7975" t="s">
        <v>7660</v>
      </c>
      <c r="B7975" t="s">
        <v>554</v>
      </c>
      <c r="C7975" t="s">
        <v>1732</v>
      </c>
    </row>
    <row r="7976" spans="1:6" x14ac:dyDescent="0.25">
      <c r="A7976" t="s">
        <v>7660</v>
      </c>
      <c r="B7976" t="s">
        <v>555</v>
      </c>
      <c r="C7976" t="s">
        <v>1733</v>
      </c>
    </row>
    <row r="7977" spans="1:6" x14ac:dyDescent="0.25">
      <c r="A7977" t="s">
        <v>7660</v>
      </c>
      <c r="B7977" t="s">
        <v>556</v>
      </c>
      <c r="C7977" t="s">
        <v>1734</v>
      </c>
    </row>
    <row r="7978" spans="1:6" x14ac:dyDescent="0.25">
      <c r="A7978" t="s">
        <v>7660</v>
      </c>
      <c r="B7978" t="s">
        <v>3371</v>
      </c>
      <c r="C7978" t="s">
        <v>7513</v>
      </c>
      <c r="D7978" t="str">
        <f>HYPERLINK("http://service.sap.com/sap/support/notes/1556918","1556918")</f>
        <v>1556918</v>
      </c>
      <c r="E7978">
        <v>1</v>
      </c>
      <c r="F7978" t="s">
        <v>3373</v>
      </c>
    </row>
    <row r="7979" spans="1:6" x14ac:dyDescent="0.25">
      <c r="A7979" t="s">
        <v>7660</v>
      </c>
      <c r="B7979" t="s">
        <v>5</v>
      </c>
      <c r="C7979" t="s">
        <v>6</v>
      </c>
    </row>
    <row r="7980" spans="1:6" x14ac:dyDescent="0.25">
      <c r="A7980" t="s">
        <v>7660</v>
      </c>
      <c r="B7980" t="s">
        <v>7</v>
      </c>
      <c r="C7980" t="s">
        <v>8</v>
      </c>
    </row>
    <row r="7981" spans="1:6" x14ac:dyDescent="0.25">
      <c r="A7981" t="s">
        <v>7660</v>
      </c>
      <c r="B7981" t="s">
        <v>12</v>
      </c>
      <c r="C7981" t="s">
        <v>13</v>
      </c>
    </row>
    <row r="7982" spans="1:6" x14ac:dyDescent="0.25">
      <c r="A7982" t="s">
        <v>7660</v>
      </c>
      <c r="B7982" t="s">
        <v>7514</v>
      </c>
      <c r="C7982" t="s">
        <v>7515</v>
      </c>
      <c r="D7982" t="str">
        <f>HYPERLINK("http://service.sap.com/sap/support/notes/1584485","1584485")</f>
        <v>1584485</v>
      </c>
      <c r="E7982">
        <v>1</v>
      </c>
      <c r="F7982" t="s">
        <v>7516</v>
      </c>
    </row>
    <row r="7983" spans="1:6" x14ac:dyDescent="0.25">
      <c r="A7983" t="s">
        <v>7660</v>
      </c>
      <c r="B7983" t="s">
        <v>573</v>
      </c>
      <c r="C7983" t="s">
        <v>4037</v>
      </c>
    </row>
    <row r="7984" spans="1:6" x14ac:dyDescent="0.25">
      <c r="A7984" t="s">
        <v>7660</v>
      </c>
      <c r="B7984" t="s">
        <v>4043</v>
      </c>
      <c r="C7984" t="s">
        <v>4044</v>
      </c>
    </row>
    <row r="7985" spans="1:6" x14ac:dyDescent="0.25">
      <c r="A7985" t="s">
        <v>7660</v>
      </c>
      <c r="B7985" t="s">
        <v>4045</v>
      </c>
      <c r="C7985" t="s">
        <v>4046</v>
      </c>
    </row>
    <row r="7986" spans="1:6" x14ac:dyDescent="0.25">
      <c r="A7986" t="s">
        <v>7660</v>
      </c>
      <c r="B7986" t="s">
        <v>4047</v>
      </c>
      <c r="C7986" t="s">
        <v>4048</v>
      </c>
      <c r="D7986" t="str">
        <f>HYPERLINK("http://service.sap.com/sap/support/notes/1588210","1588210")</f>
        <v>1588210</v>
      </c>
      <c r="E7986">
        <v>1</v>
      </c>
      <c r="F7986" t="s">
        <v>7517</v>
      </c>
    </row>
    <row r="7987" spans="1:6" x14ac:dyDescent="0.25">
      <c r="A7987" t="s">
        <v>7660</v>
      </c>
      <c r="B7987" t="s">
        <v>4047</v>
      </c>
      <c r="C7987" t="s">
        <v>4048</v>
      </c>
      <c r="D7987" t="str">
        <f>HYPERLINK("http://service.sap.com/sap/support/notes/1590105","1590105")</f>
        <v>1590105</v>
      </c>
      <c r="E7987">
        <v>2</v>
      </c>
      <c r="F7987" t="s">
        <v>7518</v>
      </c>
    </row>
    <row r="7988" spans="1:6" x14ac:dyDescent="0.25">
      <c r="A7988" t="s">
        <v>7660</v>
      </c>
      <c r="B7988" t="s">
        <v>585</v>
      </c>
      <c r="C7988" t="s">
        <v>1443</v>
      </c>
    </row>
    <row r="7989" spans="1:6" x14ac:dyDescent="0.25">
      <c r="A7989" t="s">
        <v>7660</v>
      </c>
      <c r="B7989" t="s">
        <v>586</v>
      </c>
      <c r="C7989" t="s">
        <v>1444</v>
      </c>
    </row>
    <row r="7990" spans="1:6" x14ac:dyDescent="0.25">
      <c r="A7990" t="s">
        <v>7660</v>
      </c>
      <c r="B7990" t="s">
        <v>587</v>
      </c>
      <c r="C7990" t="s">
        <v>1445</v>
      </c>
    </row>
    <row r="7991" spans="1:6" x14ac:dyDescent="0.25">
      <c r="A7991" t="s">
        <v>7660</v>
      </c>
      <c r="B7991" t="s">
        <v>588</v>
      </c>
      <c r="C7991" t="s">
        <v>1446</v>
      </c>
      <c r="D7991" t="str">
        <f>HYPERLINK("http://service.sap.com/sap/support/notes/1572200","1572200")</f>
        <v>1572200</v>
      </c>
      <c r="E7991">
        <v>1</v>
      </c>
      <c r="F7991" t="s">
        <v>7332</v>
      </c>
    </row>
    <row r="7992" spans="1:6" x14ac:dyDescent="0.25">
      <c r="A7992" t="s">
        <v>7660</v>
      </c>
      <c r="B7992" t="s">
        <v>588</v>
      </c>
      <c r="C7992" t="s">
        <v>1446</v>
      </c>
      <c r="D7992" t="str">
        <f>HYPERLINK("http://service.sap.com/sap/support/notes/1575684","1575684")</f>
        <v>1575684</v>
      </c>
      <c r="E7992">
        <v>1</v>
      </c>
      <c r="F7992" t="s">
        <v>7519</v>
      </c>
    </row>
    <row r="7993" spans="1:6" x14ac:dyDescent="0.25">
      <c r="A7993" t="s">
        <v>7660</v>
      </c>
      <c r="B7993" t="s">
        <v>588</v>
      </c>
      <c r="C7993" t="s">
        <v>1446</v>
      </c>
      <c r="D7993" t="str">
        <f>HYPERLINK("http://service.sap.com/sap/support/notes/1582654","1582654")</f>
        <v>1582654</v>
      </c>
      <c r="E7993">
        <v>1</v>
      </c>
      <c r="F7993" t="s">
        <v>7335</v>
      </c>
    </row>
    <row r="7994" spans="1:6" x14ac:dyDescent="0.25">
      <c r="A7994" t="s">
        <v>7660</v>
      </c>
      <c r="B7994" t="s">
        <v>588</v>
      </c>
      <c r="C7994" t="s">
        <v>1446</v>
      </c>
      <c r="D7994" t="str">
        <f>HYPERLINK("http://service.sap.com/sap/support/notes/1585058","1585058")</f>
        <v>1585058</v>
      </c>
      <c r="E7994">
        <v>1</v>
      </c>
      <c r="F7994" t="s">
        <v>7520</v>
      </c>
    </row>
    <row r="7995" spans="1:6" x14ac:dyDescent="0.25">
      <c r="A7995" t="s">
        <v>7660</v>
      </c>
      <c r="B7995" t="s">
        <v>20</v>
      </c>
      <c r="C7995" t="s">
        <v>21</v>
      </c>
    </row>
    <row r="7996" spans="1:6" x14ac:dyDescent="0.25">
      <c r="A7996" t="s">
        <v>7660</v>
      </c>
      <c r="B7996" t="s">
        <v>22</v>
      </c>
      <c r="C7996" t="s">
        <v>23</v>
      </c>
      <c r="D7996" t="str">
        <f>HYPERLINK("http://service.sap.com/sap/support/notes/1249747","1249747")</f>
        <v>1249747</v>
      </c>
      <c r="E7996">
        <v>2</v>
      </c>
      <c r="F7996" t="s">
        <v>7521</v>
      </c>
    </row>
    <row r="7997" spans="1:6" x14ac:dyDescent="0.25">
      <c r="A7997" t="s">
        <v>7660</v>
      </c>
      <c r="B7997" t="s">
        <v>22</v>
      </c>
      <c r="C7997" t="s">
        <v>23</v>
      </c>
      <c r="D7997" t="str">
        <f>HYPERLINK("http://service.sap.com/sap/support/notes/1570383","1570383")</f>
        <v>1570383</v>
      </c>
      <c r="E7997">
        <v>1</v>
      </c>
      <c r="F7997" t="s">
        <v>7522</v>
      </c>
    </row>
    <row r="7998" spans="1:6" x14ac:dyDescent="0.25">
      <c r="A7998" t="s">
        <v>7660</v>
      </c>
      <c r="B7998" t="s">
        <v>22</v>
      </c>
      <c r="C7998" t="s">
        <v>23</v>
      </c>
      <c r="D7998" t="str">
        <f>HYPERLINK("http://service.sap.com/sap/support/notes/1580052","1580052")</f>
        <v>1580052</v>
      </c>
      <c r="E7998">
        <v>2</v>
      </c>
      <c r="F7998" t="s">
        <v>7523</v>
      </c>
    </row>
    <row r="7999" spans="1:6" x14ac:dyDescent="0.25">
      <c r="A7999" t="s">
        <v>7660</v>
      </c>
      <c r="B7999" t="s">
        <v>22</v>
      </c>
      <c r="C7999" t="s">
        <v>23</v>
      </c>
      <c r="D7999" t="str">
        <f>HYPERLINK("http://service.sap.com/sap/support/notes/1581932","1581932")</f>
        <v>1581932</v>
      </c>
      <c r="E7999">
        <v>1</v>
      </c>
      <c r="F7999" t="s">
        <v>4050</v>
      </c>
    </row>
    <row r="8000" spans="1:6" x14ac:dyDescent="0.25">
      <c r="A8000" t="s">
        <v>7660</v>
      </c>
      <c r="B8000" t="s">
        <v>22</v>
      </c>
      <c r="C8000" t="s">
        <v>23</v>
      </c>
      <c r="D8000" t="str">
        <f>HYPERLINK("http://service.sap.com/sap/support/notes/1583363","1583363")</f>
        <v>1583363</v>
      </c>
      <c r="E8000">
        <v>1</v>
      </c>
      <c r="F8000" t="s">
        <v>7524</v>
      </c>
    </row>
    <row r="8001" spans="1:6" x14ac:dyDescent="0.25">
      <c r="A8001" t="s">
        <v>7660</v>
      </c>
      <c r="B8001" t="s">
        <v>22</v>
      </c>
      <c r="C8001" t="s">
        <v>23</v>
      </c>
      <c r="D8001" t="str">
        <f>HYPERLINK("http://service.sap.com/sap/support/notes/1584932","1584932")</f>
        <v>1584932</v>
      </c>
      <c r="E8001">
        <v>4</v>
      </c>
      <c r="F8001" t="s">
        <v>7525</v>
      </c>
    </row>
    <row r="8002" spans="1:6" x14ac:dyDescent="0.25">
      <c r="A8002" t="s">
        <v>7660</v>
      </c>
      <c r="B8002" t="s">
        <v>22</v>
      </c>
      <c r="C8002" t="s">
        <v>23</v>
      </c>
      <c r="D8002" t="str">
        <f>HYPERLINK("http://service.sap.com/sap/support/notes/1588871","1588871")</f>
        <v>1588871</v>
      </c>
      <c r="E8002">
        <v>3</v>
      </c>
      <c r="F8002" t="s">
        <v>7526</v>
      </c>
    </row>
    <row r="8003" spans="1:6" x14ac:dyDescent="0.25">
      <c r="A8003" t="s">
        <v>7660</v>
      </c>
      <c r="B8003" t="s">
        <v>22</v>
      </c>
      <c r="C8003" t="s">
        <v>23</v>
      </c>
      <c r="D8003" t="str">
        <f>HYPERLINK("http://service.sap.com/sap/support/notes/1591033","1591033")</f>
        <v>1591033</v>
      </c>
      <c r="E8003">
        <v>2</v>
      </c>
      <c r="F8003" t="s">
        <v>7527</v>
      </c>
    </row>
    <row r="8004" spans="1:6" x14ac:dyDescent="0.25">
      <c r="A8004" t="s">
        <v>7660</v>
      </c>
      <c r="B8004" t="s">
        <v>22</v>
      </c>
      <c r="C8004" t="s">
        <v>23</v>
      </c>
      <c r="D8004" t="str">
        <f>HYPERLINK("http://service.sap.com/sap/support/notes/1591989","1591989")</f>
        <v>1591989</v>
      </c>
      <c r="E8004">
        <v>2</v>
      </c>
      <c r="F8004" t="s">
        <v>7528</v>
      </c>
    </row>
    <row r="8005" spans="1:6" x14ac:dyDescent="0.25">
      <c r="A8005" t="s">
        <v>7660</v>
      </c>
      <c r="B8005" t="s">
        <v>24</v>
      </c>
      <c r="C8005" t="s">
        <v>25</v>
      </c>
      <c r="D8005" t="str">
        <f>HYPERLINK("http://service.sap.com/sap/support/notes/1450333","1450333")</f>
        <v>1450333</v>
      </c>
      <c r="E8005">
        <v>3</v>
      </c>
      <c r="F8005" t="s">
        <v>5565</v>
      </c>
    </row>
    <row r="8006" spans="1:6" x14ac:dyDescent="0.25">
      <c r="A8006" t="s">
        <v>7660</v>
      </c>
      <c r="B8006" t="s">
        <v>24</v>
      </c>
      <c r="C8006" t="s">
        <v>25</v>
      </c>
      <c r="D8006" t="str">
        <f>HYPERLINK("http://service.sap.com/sap/support/notes/1458263","1458263")</f>
        <v>1458263</v>
      </c>
      <c r="E8006">
        <v>3</v>
      </c>
      <c r="F8006" t="s">
        <v>6284</v>
      </c>
    </row>
    <row r="8007" spans="1:6" x14ac:dyDescent="0.25">
      <c r="A8007" t="s">
        <v>7660</v>
      </c>
      <c r="B8007" t="s">
        <v>24</v>
      </c>
      <c r="C8007" t="s">
        <v>25</v>
      </c>
      <c r="D8007" t="str">
        <f>HYPERLINK("http://service.sap.com/sap/support/notes/1500406","1500406")</f>
        <v>1500406</v>
      </c>
      <c r="E8007">
        <v>2</v>
      </c>
      <c r="F8007" t="s">
        <v>7529</v>
      </c>
    </row>
    <row r="8008" spans="1:6" x14ac:dyDescent="0.25">
      <c r="A8008" t="s">
        <v>7660</v>
      </c>
      <c r="B8008" t="s">
        <v>24</v>
      </c>
      <c r="C8008" t="s">
        <v>25</v>
      </c>
      <c r="D8008" t="str">
        <f>HYPERLINK("http://service.sap.com/sap/support/notes/1513832","1513832")</f>
        <v>1513832</v>
      </c>
      <c r="E8008">
        <v>4</v>
      </c>
      <c r="F8008" t="s">
        <v>7530</v>
      </c>
    </row>
    <row r="8009" spans="1:6" x14ac:dyDescent="0.25">
      <c r="A8009" t="s">
        <v>7660</v>
      </c>
      <c r="B8009" t="s">
        <v>24</v>
      </c>
      <c r="C8009" t="s">
        <v>25</v>
      </c>
      <c r="D8009" t="str">
        <f>HYPERLINK("http://service.sap.com/sap/support/notes/1565423","1565423")</f>
        <v>1565423</v>
      </c>
      <c r="E8009">
        <v>2</v>
      </c>
      <c r="F8009" t="s">
        <v>7344</v>
      </c>
    </row>
    <row r="8010" spans="1:6" x14ac:dyDescent="0.25">
      <c r="A8010" t="s">
        <v>7660</v>
      </c>
      <c r="B8010" t="s">
        <v>24</v>
      </c>
      <c r="C8010" t="s">
        <v>25</v>
      </c>
      <c r="D8010" t="str">
        <f>HYPERLINK("http://service.sap.com/sap/support/notes/1579689","1579689")</f>
        <v>1579689</v>
      </c>
      <c r="E8010">
        <v>1</v>
      </c>
      <c r="F8010" t="s">
        <v>7531</v>
      </c>
    </row>
    <row r="8011" spans="1:6" x14ac:dyDescent="0.25">
      <c r="A8011" t="s">
        <v>7660</v>
      </c>
      <c r="B8011" t="s">
        <v>24</v>
      </c>
      <c r="C8011" t="s">
        <v>25</v>
      </c>
      <c r="D8011" t="str">
        <f>HYPERLINK("http://service.sap.com/sap/support/notes/1579797","1579797")</f>
        <v>1579797</v>
      </c>
      <c r="E8011">
        <v>2</v>
      </c>
      <c r="F8011" t="s">
        <v>7532</v>
      </c>
    </row>
    <row r="8012" spans="1:6" x14ac:dyDescent="0.25">
      <c r="A8012" t="s">
        <v>7660</v>
      </c>
      <c r="B8012" t="s">
        <v>24</v>
      </c>
      <c r="C8012" t="s">
        <v>25</v>
      </c>
      <c r="D8012" t="str">
        <f>HYPERLINK("http://service.sap.com/sap/support/notes/1580076","1580076")</f>
        <v>1580076</v>
      </c>
      <c r="E8012">
        <v>2</v>
      </c>
      <c r="F8012" t="s">
        <v>7533</v>
      </c>
    </row>
    <row r="8013" spans="1:6" x14ac:dyDescent="0.25">
      <c r="A8013" t="s">
        <v>7660</v>
      </c>
      <c r="B8013" t="s">
        <v>24</v>
      </c>
      <c r="C8013" t="s">
        <v>25</v>
      </c>
      <c r="D8013" t="str">
        <f>HYPERLINK("http://service.sap.com/sap/support/notes/1580745","1580745")</f>
        <v>1580745</v>
      </c>
      <c r="E8013">
        <v>3</v>
      </c>
      <c r="F8013" t="s">
        <v>7534</v>
      </c>
    </row>
    <row r="8014" spans="1:6" x14ac:dyDescent="0.25">
      <c r="A8014" t="s">
        <v>7660</v>
      </c>
      <c r="B8014" t="s">
        <v>24</v>
      </c>
      <c r="C8014" t="s">
        <v>25</v>
      </c>
      <c r="D8014" t="str">
        <f>HYPERLINK("http://service.sap.com/sap/support/notes/1581788","1581788")</f>
        <v>1581788</v>
      </c>
      <c r="E8014">
        <v>1</v>
      </c>
      <c r="F8014" t="s">
        <v>7535</v>
      </c>
    </row>
    <row r="8015" spans="1:6" x14ac:dyDescent="0.25">
      <c r="A8015" t="s">
        <v>7660</v>
      </c>
      <c r="B8015" t="s">
        <v>24</v>
      </c>
      <c r="C8015" t="s">
        <v>25</v>
      </c>
      <c r="D8015" t="str">
        <f>HYPERLINK("http://service.sap.com/sap/support/notes/1582304","1582304")</f>
        <v>1582304</v>
      </c>
      <c r="E8015">
        <v>1</v>
      </c>
      <c r="F8015" t="s">
        <v>7536</v>
      </c>
    </row>
    <row r="8016" spans="1:6" x14ac:dyDescent="0.25">
      <c r="A8016" t="s">
        <v>7660</v>
      </c>
      <c r="B8016" t="s">
        <v>24</v>
      </c>
      <c r="C8016" t="s">
        <v>25</v>
      </c>
      <c r="D8016" t="str">
        <f>HYPERLINK("http://service.sap.com/sap/support/notes/1582804","1582804")</f>
        <v>1582804</v>
      </c>
      <c r="E8016">
        <v>1</v>
      </c>
      <c r="F8016" t="s">
        <v>7537</v>
      </c>
    </row>
    <row r="8017" spans="1:6" x14ac:dyDescent="0.25">
      <c r="A8017" t="s">
        <v>7660</v>
      </c>
      <c r="B8017" t="s">
        <v>24</v>
      </c>
      <c r="C8017" t="s">
        <v>25</v>
      </c>
      <c r="D8017" t="str">
        <f>HYPERLINK("http://service.sap.com/sap/support/notes/1582808","1582808")</f>
        <v>1582808</v>
      </c>
      <c r="E8017">
        <v>1</v>
      </c>
      <c r="F8017" t="s">
        <v>7538</v>
      </c>
    </row>
    <row r="8018" spans="1:6" x14ac:dyDescent="0.25">
      <c r="A8018" t="s">
        <v>7660</v>
      </c>
      <c r="B8018" t="s">
        <v>24</v>
      </c>
      <c r="C8018" t="s">
        <v>25</v>
      </c>
      <c r="D8018" t="str">
        <f>HYPERLINK("http://service.sap.com/sap/support/notes/1582951","1582951")</f>
        <v>1582951</v>
      </c>
      <c r="E8018">
        <v>4</v>
      </c>
      <c r="F8018" t="s">
        <v>7539</v>
      </c>
    </row>
    <row r="8019" spans="1:6" x14ac:dyDescent="0.25">
      <c r="A8019" t="s">
        <v>7660</v>
      </c>
      <c r="B8019" t="s">
        <v>24</v>
      </c>
      <c r="C8019" t="s">
        <v>25</v>
      </c>
      <c r="D8019" t="str">
        <f>HYPERLINK("http://service.sap.com/sap/support/notes/1583310","1583310")</f>
        <v>1583310</v>
      </c>
      <c r="E8019">
        <v>1</v>
      </c>
      <c r="F8019" t="s">
        <v>7540</v>
      </c>
    </row>
    <row r="8020" spans="1:6" x14ac:dyDescent="0.25">
      <c r="A8020" t="s">
        <v>7660</v>
      </c>
      <c r="B8020" t="s">
        <v>24</v>
      </c>
      <c r="C8020" t="s">
        <v>25</v>
      </c>
      <c r="D8020" t="str">
        <f>HYPERLINK("http://service.sap.com/sap/support/notes/1583318","1583318")</f>
        <v>1583318</v>
      </c>
      <c r="E8020">
        <v>1</v>
      </c>
      <c r="F8020" t="s">
        <v>7541</v>
      </c>
    </row>
    <row r="8021" spans="1:6" x14ac:dyDescent="0.25">
      <c r="A8021" t="s">
        <v>7660</v>
      </c>
      <c r="B8021" t="s">
        <v>24</v>
      </c>
      <c r="C8021" t="s">
        <v>25</v>
      </c>
      <c r="D8021" t="str">
        <f>HYPERLINK("http://service.sap.com/sap/support/notes/1583355","1583355")</f>
        <v>1583355</v>
      </c>
      <c r="E8021">
        <v>1</v>
      </c>
      <c r="F8021" t="s">
        <v>7542</v>
      </c>
    </row>
    <row r="8022" spans="1:6" x14ac:dyDescent="0.25">
      <c r="A8022" t="s">
        <v>7660</v>
      </c>
      <c r="B8022" t="s">
        <v>24</v>
      </c>
      <c r="C8022" t="s">
        <v>25</v>
      </c>
      <c r="D8022" t="str">
        <f>HYPERLINK("http://service.sap.com/sap/support/notes/1583464","1583464")</f>
        <v>1583464</v>
      </c>
      <c r="E8022">
        <v>2</v>
      </c>
      <c r="F8022" t="s">
        <v>7543</v>
      </c>
    </row>
    <row r="8023" spans="1:6" x14ac:dyDescent="0.25">
      <c r="A8023" t="s">
        <v>7660</v>
      </c>
      <c r="B8023" t="s">
        <v>24</v>
      </c>
      <c r="C8023" t="s">
        <v>25</v>
      </c>
      <c r="D8023" t="str">
        <f>HYPERLINK("http://service.sap.com/sap/support/notes/1583509","1583509")</f>
        <v>1583509</v>
      </c>
      <c r="E8023">
        <v>1</v>
      </c>
      <c r="F8023" t="s">
        <v>7544</v>
      </c>
    </row>
    <row r="8024" spans="1:6" x14ac:dyDescent="0.25">
      <c r="A8024" t="s">
        <v>7660</v>
      </c>
      <c r="B8024" t="s">
        <v>24</v>
      </c>
      <c r="C8024" t="s">
        <v>25</v>
      </c>
      <c r="D8024" t="str">
        <f>HYPERLINK("http://service.sap.com/sap/support/notes/1583535","1583535")</f>
        <v>1583535</v>
      </c>
      <c r="E8024">
        <v>1</v>
      </c>
      <c r="F8024" t="s">
        <v>7545</v>
      </c>
    </row>
    <row r="8025" spans="1:6" x14ac:dyDescent="0.25">
      <c r="A8025" t="s">
        <v>7660</v>
      </c>
      <c r="B8025" t="s">
        <v>24</v>
      </c>
      <c r="C8025" t="s">
        <v>25</v>
      </c>
      <c r="D8025" t="str">
        <f>HYPERLINK("http://service.sap.com/sap/support/notes/1583776","1583776")</f>
        <v>1583776</v>
      </c>
      <c r="E8025">
        <v>1</v>
      </c>
      <c r="F8025" t="s">
        <v>7546</v>
      </c>
    </row>
    <row r="8026" spans="1:6" x14ac:dyDescent="0.25">
      <c r="A8026" t="s">
        <v>7660</v>
      </c>
      <c r="B8026" t="s">
        <v>24</v>
      </c>
      <c r="C8026" t="s">
        <v>25</v>
      </c>
      <c r="D8026" t="str">
        <f>HYPERLINK("http://service.sap.com/sap/support/notes/1583798","1583798")</f>
        <v>1583798</v>
      </c>
      <c r="E8026">
        <v>1</v>
      </c>
      <c r="F8026" t="s">
        <v>7547</v>
      </c>
    </row>
    <row r="8027" spans="1:6" x14ac:dyDescent="0.25">
      <c r="A8027" t="s">
        <v>7660</v>
      </c>
      <c r="B8027" t="s">
        <v>24</v>
      </c>
      <c r="C8027" t="s">
        <v>25</v>
      </c>
      <c r="D8027" t="str">
        <f>HYPERLINK("http://service.sap.com/sap/support/notes/1583927","1583927")</f>
        <v>1583927</v>
      </c>
      <c r="E8027">
        <v>1</v>
      </c>
      <c r="F8027" t="s">
        <v>7548</v>
      </c>
    </row>
    <row r="8028" spans="1:6" x14ac:dyDescent="0.25">
      <c r="A8028" t="s">
        <v>7660</v>
      </c>
      <c r="B8028" t="s">
        <v>24</v>
      </c>
      <c r="C8028" t="s">
        <v>25</v>
      </c>
      <c r="D8028" t="str">
        <f>HYPERLINK("http://service.sap.com/sap/support/notes/1584284","1584284")</f>
        <v>1584284</v>
      </c>
      <c r="E8028">
        <v>1</v>
      </c>
      <c r="F8028" t="s">
        <v>7549</v>
      </c>
    </row>
    <row r="8029" spans="1:6" x14ac:dyDescent="0.25">
      <c r="A8029" t="s">
        <v>7660</v>
      </c>
      <c r="B8029" t="s">
        <v>24</v>
      </c>
      <c r="C8029" t="s">
        <v>25</v>
      </c>
      <c r="D8029" t="str">
        <f>HYPERLINK("http://service.sap.com/sap/support/notes/1584507","1584507")</f>
        <v>1584507</v>
      </c>
      <c r="E8029">
        <v>1</v>
      </c>
      <c r="F8029" t="s">
        <v>7550</v>
      </c>
    </row>
    <row r="8030" spans="1:6" x14ac:dyDescent="0.25">
      <c r="A8030" t="s">
        <v>7660</v>
      </c>
      <c r="B8030" t="s">
        <v>24</v>
      </c>
      <c r="C8030" t="s">
        <v>25</v>
      </c>
      <c r="D8030" t="str">
        <f>HYPERLINK("http://service.sap.com/sap/support/notes/1584641","1584641")</f>
        <v>1584641</v>
      </c>
      <c r="E8030">
        <v>2</v>
      </c>
      <c r="F8030" t="s">
        <v>7551</v>
      </c>
    </row>
    <row r="8031" spans="1:6" x14ac:dyDescent="0.25">
      <c r="A8031" t="s">
        <v>7660</v>
      </c>
      <c r="B8031" t="s">
        <v>24</v>
      </c>
      <c r="C8031" t="s">
        <v>25</v>
      </c>
      <c r="D8031" t="str">
        <f>HYPERLINK("http://service.sap.com/sap/support/notes/1584676","1584676")</f>
        <v>1584676</v>
      </c>
      <c r="E8031">
        <v>1</v>
      </c>
      <c r="F8031" t="s">
        <v>7552</v>
      </c>
    </row>
    <row r="8032" spans="1:6" x14ac:dyDescent="0.25">
      <c r="A8032" t="s">
        <v>7660</v>
      </c>
      <c r="B8032" t="s">
        <v>24</v>
      </c>
      <c r="C8032" t="s">
        <v>25</v>
      </c>
      <c r="D8032" t="str">
        <f>HYPERLINK("http://service.sap.com/sap/support/notes/1584918","1584918")</f>
        <v>1584918</v>
      </c>
      <c r="E8032">
        <v>3</v>
      </c>
      <c r="F8032" t="s">
        <v>7553</v>
      </c>
    </row>
    <row r="8033" spans="1:6" x14ac:dyDescent="0.25">
      <c r="A8033" t="s">
        <v>7660</v>
      </c>
      <c r="B8033" t="s">
        <v>24</v>
      </c>
      <c r="C8033" t="s">
        <v>25</v>
      </c>
      <c r="D8033" t="str">
        <f>HYPERLINK("http://service.sap.com/sap/support/notes/1585405","1585405")</f>
        <v>1585405</v>
      </c>
      <c r="E8033">
        <v>2</v>
      </c>
      <c r="F8033" t="s">
        <v>7554</v>
      </c>
    </row>
    <row r="8034" spans="1:6" x14ac:dyDescent="0.25">
      <c r="A8034" t="s">
        <v>7660</v>
      </c>
      <c r="B8034" t="s">
        <v>24</v>
      </c>
      <c r="C8034" t="s">
        <v>25</v>
      </c>
      <c r="D8034" t="str">
        <f>HYPERLINK("http://service.sap.com/sap/support/notes/1585734","1585734")</f>
        <v>1585734</v>
      </c>
      <c r="E8034">
        <v>1</v>
      </c>
      <c r="F8034" t="s">
        <v>7555</v>
      </c>
    </row>
    <row r="8035" spans="1:6" x14ac:dyDescent="0.25">
      <c r="A8035" t="s">
        <v>7660</v>
      </c>
      <c r="B8035" t="s">
        <v>24</v>
      </c>
      <c r="C8035" t="s">
        <v>25</v>
      </c>
      <c r="D8035" t="str">
        <f>HYPERLINK("http://service.sap.com/sap/support/notes/1585740","1585740")</f>
        <v>1585740</v>
      </c>
      <c r="E8035">
        <v>1</v>
      </c>
      <c r="F8035" t="s">
        <v>7556</v>
      </c>
    </row>
    <row r="8036" spans="1:6" x14ac:dyDescent="0.25">
      <c r="A8036" t="s">
        <v>7660</v>
      </c>
      <c r="B8036" t="s">
        <v>24</v>
      </c>
      <c r="C8036" t="s">
        <v>25</v>
      </c>
      <c r="D8036" t="str">
        <f>HYPERLINK("http://service.sap.com/sap/support/notes/1585741","1585741")</f>
        <v>1585741</v>
      </c>
      <c r="E8036">
        <v>1</v>
      </c>
      <c r="F8036" t="s">
        <v>7557</v>
      </c>
    </row>
    <row r="8037" spans="1:6" x14ac:dyDescent="0.25">
      <c r="A8037" t="s">
        <v>7660</v>
      </c>
      <c r="B8037" t="s">
        <v>24</v>
      </c>
      <c r="C8037" t="s">
        <v>25</v>
      </c>
      <c r="D8037" t="str">
        <f>HYPERLINK("http://service.sap.com/sap/support/notes/1585928","1585928")</f>
        <v>1585928</v>
      </c>
      <c r="E8037">
        <v>2</v>
      </c>
      <c r="F8037" t="s">
        <v>7558</v>
      </c>
    </row>
    <row r="8038" spans="1:6" x14ac:dyDescent="0.25">
      <c r="A8038" t="s">
        <v>7660</v>
      </c>
      <c r="B8038" t="s">
        <v>24</v>
      </c>
      <c r="C8038" t="s">
        <v>25</v>
      </c>
      <c r="D8038" t="str">
        <f>HYPERLINK("http://service.sap.com/sap/support/notes/1586423","1586423")</f>
        <v>1586423</v>
      </c>
      <c r="E8038">
        <v>1</v>
      </c>
      <c r="F8038" t="s">
        <v>7559</v>
      </c>
    </row>
    <row r="8039" spans="1:6" x14ac:dyDescent="0.25">
      <c r="A8039" t="s">
        <v>7660</v>
      </c>
      <c r="B8039" t="s">
        <v>24</v>
      </c>
      <c r="C8039" t="s">
        <v>25</v>
      </c>
      <c r="D8039" t="str">
        <f>HYPERLINK("http://service.sap.com/sap/support/notes/1588382","1588382")</f>
        <v>1588382</v>
      </c>
      <c r="E8039">
        <v>1</v>
      </c>
      <c r="F8039" t="s">
        <v>7560</v>
      </c>
    </row>
    <row r="8040" spans="1:6" x14ac:dyDescent="0.25">
      <c r="A8040" t="s">
        <v>7660</v>
      </c>
      <c r="B8040" t="s">
        <v>24</v>
      </c>
      <c r="C8040" t="s">
        <v>25</v>
      </c>
      <c r="D8040" t="str">
        <f>HYPERLINK("http://service.sap.com/sap/support/notes/1589741","1589741")</f>
        <v>1589741</v>
      </c>
      <c r="E8040">
        <v>1</v>
      </c>
      <c r="F8040" t="s">
        <v>7561</v>
      </c>
    </row>
    <row r="8041" spans="1:6" x14ac:dyDescent="0.25">
      <c r="A8041" t="s">
        <v>7660</v>
      </c>
      <c r="B8041" t="s">
        <v>24</v>
      </c>
      <c r="C8041" t="s">
        <v>25</v>
      </c>
      <c r="D8041" t="str">
        <f>HYPERLINK("http://service.sap.com/sap/support/notes/1589965","1589965")</f>
        <v>1589965</v>
      </c>
      <c r="E8041">
        <v>1</v>
      </c>
      <c r="F8041" t="s">
        <v>7562</v>
      </c>
    </row>
    <row r="8042" spans="1:6" x14ac:dyDescent="0.25">
      <c r="A8042" t="s">
        <v>7660</v>
      </c>
      <c r="B8042" t="s">
        <v>24</v>
      </c>
      <c r="C8042" t="s">
        <v>25</v>
      </c>
      <c r="D8042" t="str">
        <f>HYPERLINK("http://service.sap.com/sap/support/notes/1590882","1590882")</f>
        <v>1590882</v>
      </c>
      <c r="E8042">
        <v>1</v>
      </c>
      <c r="F8042" t="s">
        <v>7563</v>
      </c>
    </row>
    <row r="8043" spans="1:6" x14ac:dyDescent="0.25">
      <c r="A8043" t="s">
        <v>7660</v>
      </c>
      <c r="B8043" t="s">
        <v>24</v>
      </c>
      <c r="C8043" t="s">
        <v>25</v>
      </c>
      <c r="D8043" t="str">
        <f>HYPERLINK("http://service.sap.com/sap/support/notes/1591293","1591293")</f>
        <v>1591293</v>
      </c>
      <c r="E8043">
        <v>1</v>
      </c>
      <c r="F8043" t="s">
        <v>4061</v>
      </c>
    </row>
    <row r="8044" spans="1:6" x14ac:dyDescent="0.25">
      <c r="A8044" t="s">
        <v>7660</v>
      </c>
      <c r="B8044" t="s">
        <v>4074</v>
      </c>
      <c r="C8044" t="s">
        <v>4075</v>
      </c>
      <c r="D8044" t="str">
        <f>HYPERLINK("http://service.sap.com/sap/support/notes/1559192","1559192")</f>
        <v>1559192</v>
      </c>
      <c r="E8044">
        <v>2</v>
      </c>
      <c r="F8044" t="s">
        <v>7236</v>
      </c>
    </row>
    <row r="8045" spans="1:6" x14ac:dyDescent="0.25">
      <c r="A8045" t="s">
        <v>7660</v>
      </c>
      <c r="B8045" t="s">
        <v>4074</v>
      </c>
      <c r="C8045" t="s">
        <v>4075</v>
      </c>
      <c r="D8045" t="str">
        <f>HYPERLINK("http://service.sap.com/sap/support/notes/1579101","1579101")</f>
        <v>1579101</v>
      </c>
      <c r="E8045">
        <v>1</v>
      </c>
      <c r="F8045" t="s">
        <v>7564</v>
      </c>
    </row>
    <row r="8046" spans="1:6" x14ac:dyDescent="0.25">
      <c r="A8046" t="s">
        <v>7660</v>
      </c>
      <c r="B8046" t="s">
        <v>4074</v>
      </c>
      <c r="C8046" t="s">
        <v>4075</v>
      </c>
      <c r="D8046" t="str">
        <f>HYPERLINK("http://service.sap.com/sap/support/notes/1584776","1584776")</f>
        <v>1584776</v>
      </c>
      <c r="E8046">
        <v>1</v>
      </c>
      <c r="F8046" t="s">
        <v>4077</v>
      </c>
    </row>
    <row r="8047" spans="1:6" x14ac:dyDescent="0.25">
      <c r="A8047" t="s">
        <v>7660</v>
      </c>
      <c r="B8047" t="s">
        <v>4074</v>
      </c>
      <c r="C8047" t="s">
        <v>4075</v>
      </c>
      <c r="D8047" t="str">
        <f>HYPERLINK("http://service.sap.com/sap/support/notes/1584822","1584822")</f>
        <v>1584822</v>
      </c>
      <c r="E8047">
        <v>1</v>
      </c>
      <c r="F8047" t="s">
        <v>7565</v>
      </c>
    </row>
    <row r="8048" spans="1:6" x14ac:dyDescent="0.25">
      <c r="A8048" t="s">
        <v>7660</v>
      </c>
      <c r="B8048" t="s">
        <v>4074</v>
      </c>
      <c r="C8048" t="s">
        <v>4075</v>
      </c>
      <c r="D8048" t="str">
        <f>HYPERLINK("http://service.sap.com/sap/support/notes/1585923","1585923")</f>
        <v>1585923</v>
      </c>
      <c r="E8048">
        <v>1</v>
      </c>
      <c r="F8048" t="s">
        <v>7566</v>
      </c>
    </row>
    <row r="8049" spans="1:6" x14ac:dyDescent="0.25">
      <c r="A8049" t="s">
        <v>7660</v>
      </c>
      <c r="B8049" t="s">
        <v>4074</v>
      </c>
      <c r="C8049" t="s">
        <v>4075</v>
      </c>
      <c r="D8049" t="str">
        <f>HYPERLINK("http://service.sap.com/sap/support/notes/1587976","1587976")</f>
        <v>1587976</v>
      </c>
      <c r="E8049">
        <v>1</v>
      </c>
      <c r="F8049" t="s">
        <v>7567</v>
      </c>
    </row>
    <row r="8050" spans="1:6" x14ac:dyDescent="0.25">
      <c r="A8050" t="s">
        <v>7660</v>
      </c>
      <c r="B8050" t="s">
        <v>4074</v>
      </c>
      <c r="C8050" t="s">
        <v>4075</v>
      </c>
      <c r="D8050" t="str">
        <f>HYPERLINK("http://service.sap.com/sap/support/notes/1588243","1588243")</f>
        <v>1588243</v>
      </c>
      <c r="E8050">
        <v>1</v>
      </c>
      <c r="F8050" t="s">
        <v>7568</v>
      </c>
    </row>
    <row r="8051" spans="1:6" x14ac:dyDescent="0.25">
      <c r="A8051" t="s">
        <v>7660</v>
      </c>
      <c r="B8051" t="s">
        <v>4074</v>
      </c>
      <c r="C8051" t="s">
        <v>4075</v>
      </c>
      <c r="D8051" t="str">
        <f>HYPERLINK("http://service.sap.com/sap/support/notes/1588881","1588881")</f>
        <v>1588881</v>
      </c>
      <c r="E8051">
        <v>1</v>
      </c>
      <c r="F8051" t="s">
        <v>7569</v>
      </c>
    </row>
    <row r="8052" spans="1:6" x14ac:dyDescent="0.25">
      <c r="A8052" t="s">
        <v>7660</v>
      </c>
      <c r="B8052" t="s">
        <v>4074</v>
      </c>
      <c r="C8052" t="s">
        <v>4075</v>
      </c>
      <c r="D8052" t="str">
        <f>HYPERLINK("http://service.sap.com/sap/support/notes/1589900","1589900")</f>
        <v>1589900</v>
      </c>
      <c r="E8052">
        <v>1</v>
      </c>
      <c r="F8052" t="s">
        <v>7570</v>
      </c>
    </row>
    <row r="8053" spans="1:6" x14ac:dyDescent="0.25">
      <c r="A8053" t="s">
        <v>7660</v>
      </c>
      <c r="B8053" t="s">
        <v>4081</v>
      </c>
      <c r="C8053" t="s">
        <v>4082</v>
      </c>
    </row>
    <row r="8054" spans="1:6" x14ac:dyDescent="0.25">
      <c r="A8054" t="s">
        <v>7660</v>
      </c>
      <c r="B8054" t="s">
        <v>5601</v>
      </c>
      <c r="C8054" t="s">
        <v>5602</v>
      </c>
      <c r="D8054" t="str">
        <f>HYPERLINK("http://service.sap.com/sap/support/notes/1586903","1586903")</f>
        <v>1586903</v>
      </c>
      <c r="E8054">
        <v>1</v>
      </c>
      <c r="F8054" t="s">
        <v>7571</v>
      </c>
    </row>
    <row r="8055" spans="1:6" x14ac:dyDescent="0.25">
      <c r="A8055" t="s">
        <v>7660</v>
      </c>
      <c r="B8055" t="s">
        <v>4088</v>
      </c>
      <c r="C8055" t="s">
        <v>4089</v>
      </c>
      <c r="D8055" t="str">
        <f>HYPERLINK("http://service.sap.com/sap/support/notes/1583493","1583493")</f>
        <v>1583493</v>
      </c>
      <c r="E8055">
        <v>1</v>
      </c>
      <c r="F8055" t="s">
        <v>7380</v>
      </c>
    </row>
    <row r="8056" spans="1:6" x14ac:dyDescent="0.25">
      <c r="A8056" t="s">
        <v>7660</v>
      </c>
      <c r="B8056" t="s">
        <v>27</v>
      </c>
      <c r="C8056" t="s">
        <v>13</v>
      </c>
    </row>
    <row r="8057" spans="1:6" x14ac:dyDescent="0.25">
      <c r="A8057" t="s">
        <v>7660</v>
      </c>
      <c r="B8057" t="s">
        <v>4091</v>
      </c>
      <c r="C8057" t="s">
        <v>4092</v>
      </c>
      <c r="D8057" t="str">
        <f>HYPERLINK("http://service.sap.com/sap/support/notes/1499725","1499725")</f>
        <v>1499725</v>
      </c>
      <c r="E8057">
        <v>1</v>
      </c>
      <c r="F8057" t="s">
        <v>7572</v>
      </c>
    </row>
    <row r="8058" spans="1:6" x14ac:dyDescent="0.25">
      <c r="A8058" t="s">
        <v>7660</v>
      </c>
      <c r="B8058" t="s">
        <v>4091</v>
      </c>
      <c r="C8058" t="s">
        <v>4092</v>
      </c>
      <c r="D8058" t="str">
        <f>HYPERLINK("http://service.sap.com/sap/support/notes/1579188","1579188")</f>
        <v>1579188</v>
      </c>
      <c r="E8058">
        <v>2</v>
      </c>
      <c r="F8058" t="s">
        <v>7573</v>
      </c>
    </row>
    <row r="8059" spans="1:6" x14ac:dyDescent="0.25">
      <c r="A8059" t="s">
        <v>7660</v>
      </c>
      <c r="B8059" t="s">
        <v>4091</v>
      </c>
      <c r="C8059" t="s">
        <v>4092</v>
      </c>
      <c r="D8059" t="str">
        <f>HYPERLINK("http://service.sap.com/sap/support/notes/1583214","1583214")</f>
        <v>1583214</v>
      </c>
      <c r="E8059">
        <v>2</v>
      </c>
      <c r="F8059" t="s">
        <v>7574</v>
      </c>
    </row>
    <row r="8060" spans="1:6" x14ac:dyDescent="0.25">
      <c r="A8060" t="s">
        <v>7660</v>
      </c>
      <c r="B8060" t="s">
        <v>4091</v>
      </c>
      <c r="C8060" t="s">
        <v>4092</v>
      </c>
      <c r="D8060" t="str">
        <f>HYPERLINK("http://service.sap.com/sap/support/notes/1583908","1583908")</f>
        <v>1583908</v>
      </c>
      <c r="E8060">
        <v>2</v>
      </c>
      <c r="F8060" t="s">
        <v>7575</v>
      </c>
    </row>
    <row r="8061" spans="1:6" x14ac:dyDescent="0.25">
      <c r="A8061" t="s">
        <v>7660</v>
      </c>
      <c r="B8061" t="s">
        <v>4091</v>
      </c>
      <c r="C8061" t="s">
        <v>4092</v>
      </c>
      <c r="D8061" t="str">
        <f>HYPERLINK("http://service.sap.com/sap/support/notes/1585853","1585853")</f>
        <v>1585853</v>
      </c>
      <c r="E8061">
        <v>1</v>
      </c>
      <c r="F8061" t="s">
        <v>7576</v>
      </c>
    </row>
    <row r="8062" spans="1:6" x14ac:dyDescent="0.25">
      <c r="A8062" t="s">
        <v>7660</v>
      </c>
      <c r="B8062" t="s">
        <v>4091</v>
      </c>
      <c r="C8062" t="s">
        <v>4092</v>
      </c>
      <c r="D8062" t="str">
        <f>HYPERLINK("http://service.sap.com/sap/support/notes/1586323","1586323")</f>
        <v>1586323</v>
      </c>
      <c r="E8062">
        <v>1</v>
      </c>
      <c r="F8062" t="s">
        <v>7577</v>
      </c>
    </row>
    <row r="8063" spans="1:6" x14ac:dyDescent="0.25">
      <c r="A8063" t="s">
        <v>7660</v>
      </c>
      <c r="B8063" t="s">
        <v>4091</v>
      </c>
      <c r="C8063" t="s">
        <v>4092</v>
      </c>
      <c r="D8063" t="str">
        <f>HYPERLINK("http://service.sap.com/sap/support/notes/1590305","1590305")</f>
        <v>1590305</v>
      </c>
      <c r="E8063">
        <v>2</v>
      </c>
      <c r="F8063" t="s">
        <v>7578</v>
      </c>
    </row>
    <row r="8064" spans="1:6" x14ac:dyDescent="0.25">
      <c r="A8064" t="s">
        <v>7660</v>
      </c>
      <c r="B8064" t="s">
        <v>4091</v>
      </c>
      <c r="C8064" t="s">
        <v>4092</v>
      </c>
      <c r="D8064" t="str">
        <f>HYPERLINK("http://service.sap.com/sap/support/notes/1591122","1591122")</f>
        <v>1591122</v>
      </c>
      <c r="E8064">
        <v>1</v>
      </c>
      <c r="F8064" t="s">
        <v>7579</v>
      </c>
    </row>
    <row r="8065" spans="1:6" x14ac:dyDescent="0.25">
      <c r="A8065" t="s">
        <v>7660</v>
      </c>
      <c r="B8065" t="s">
        <v>28</v>
      </c>
      <c r="C8065" t="s">
        <v>29</v>
      </c>
    </row>
    <row r="8066" spans="1:6" x14ac:dyDescent="0.25">
      <c r="A8066" t="s">
        <v>7660</v>
      </c>
      <c r="B8066" t="s">
        <v>30</v>
      </c>
      <c r="C8066" t="s">
        <v>31</v>
      </c>
      <c r="D8066" t="str">
        <f>HYPERLINK("http://service.sap.com/sap/support/notes/1540606","1540606")</f>
        <v>1540606</v>
      </c>
      <c r="E8066">
        <v>4</v>
      </c>
      <c r="F8066" t="s">
        <v>7580</v>
      </c>
    </row>
    <row r="8067" spans="1:6" x14ac:dyDescent="0.25">
      <c r="A8067" t="s">
        <v>7660</v>
      </c>
      <c r="B8067" t="s">
        <v>30</v>
      </c>
      <c r="C8067" t="s">
        <v>31</v>
      </c>
      <c r="D8067" t="str">
        <f>HYPERLINK("http://service.sap.com/sap/support/notes/1586022","1586022")</f>
        <v>1586022</v>
      </c>
      <c r="E8067">
        <v>6</v>
      </c>
      <c r="F8067" t="s">
        <v>7581</v>
      </c>
    </row>
    <row r="8068" spans="1:6" x14ac:dyDescent="0.25">
      <c r="A8068" t="s">
        <v>7660</v>
      </c>
      <c r="B8068" t="s">
        <v>2161</v>
      </c>
      <c r="C8068" t="s">
        <v>2162</v>
      </c>
      <c r="D8068" t="str">
        <f>HYPERLINK("http://service.sap.com/sap/support/notes/1584039","1584039")</f>
        <v>1584039</v>
      </c>
      <c r="E8068">
        <v>2</v>
      </c>
      <c r="F8068" t="s">
        <v>7582</v>
      </c>
    </row>
    <row r="8069" spans="1:6" x14ac:dyDescent="0.25">
      <c r="A8069" t="s">
        <v>7660</v>
      </c>
      <c r="B8069" t="s">
        <v>2161</v>
      </c>
      <c r="C8069" t="s">
        <v>2162</v>
      </c>
      <c r="D8069" t="str">
        <f>HYPERLINK("http://service.sap.com/sap/support/notes/1585432","1585432")</f>
        <v>1585432</v>
      </c>
      <c r="E8069">
        <v>1</v>
      </c>
      <c r="F8069" t="s">
        <v>7583</v>
      </c>
    </row>
    <row r="8070" spans="1:6" x14ac:dyDescent="0.25">
      <c r="A8070" t="s">
        <v>7660</v>
      </c>
      <c r="B8070" t="s">
        <v>4105</v>
      </c>
      <c r="C8070" t="s">
        <v>4106</v>
      </c>
      <c r="D8070" t="str">
        <f>HYPERLINK("http://service.sap.com/sap/support/notes/1547816","1547816")</f>
        <v>1547816</v>
      </c>
      <c r="E8070">
        <v>2</v>
      </c>
      <c r="F8070" t="s">
        <v>7049</v>
      </c>
    </row>
    <row r="8071" spans="1:6" x14ac:dyDescent="0.25">
      <c r="A8071" t="s">
        <v>7660</v>
      </c>
      <c r="B8071" t="s">
        <v>4105</v>
      </c>
      <c r="C8071" t="s">
        <v>4106</v>
      </c>
      <c r="D8071" t="str">
        <f>HYPERLINK("http://service.sap.com/sap/support/notes/1581955","1581955")</f>
        <v>1581955</v>
      </c>
      <c r="E8071">
        <v>2</v>
      </c>
      <c r="F8071" t="s">
        <v>7584</v>
      </c>
    </row>
    <row r="8072" spans="1:6" x14ac:dyDescent="0.25">
      <c r="A8072" t="s">
        <v>7660</v>
      </c>
      <c r="B8072" t="s">
        <v>4105</v>
      </c>
      <c r="C8072" t="s">
        <v>4106</v>
      </c>
      <c r="D8072" t="str">
        <f>HYPERLINK("http://service.sap.com/sap/support/notes/1586369","1586369")</f>
        <v>1586369</v>
      </c>
      <c r="E8072">
        <v>1</v>
      </c>
      <c r="F8072" t="s">
        <v>7585</v>
      </c>
    </row>
    <row r="8073" spans="1:6" x14ac:dyDescent="0.25">
      <c r="A8073" t="s">
        <v>7660</v>
      </c>
      <c r="B8073" t="s">
        <v>4105</v>
      </c>
      <c r="C8073" t="s">
        <v>4106</v>
      </c>
      <c r="D8073" t="str">
        <f>HYPERLINK("http://service.sap.com/sap/support/notes/1588665","1588665")</f>
        <v>1588665</v>
      </c>
      <c r="E8073">
        <v>2</v>
      </c>
      <c r="F8073" t="s">
        <v>7586</v>
      </c>
    </row>
    <row r="8074" spans="1:6" x14ac:dyDescent="0.25">
      <c r="A8074" t="s">
        <v>7660</v>
      </c>
      <c r="B8074" t="s">
        <v>4105</v>
      </c>
      <c r="C8074" t="s">
        <v>4106</v>
      </c>
      <c r="D8074" t="str">
        <f>HYPERLINK("http://service.sap.com/sap/support/notes/1588691","1588691")</f>
        <v>1588691</v>
      </c>
      <c r="E8074">
        <v>1</v>
      </c>
      <c r="F8074" t="s">
        <v>7587</v>
      </c>
    </row>
    <row r="8075" spans="1:6" x14ac:dyDescent="0.25">
      <c r="A8075" t="s">
        <v>7660</v>
      </c>
      <c r="B8075" t="s">
        <v>4105</v>
      </c>
      <c r="C8075" t="s">
        <v>4106</v>
      </c>
      <c r="D8075" t="str">
        <f>HYPERLINK("http://service.sap.com/sap/support/notes/1590829","1590829")</f>
        <v>1590829</v>
      </c>
      <c r="E8075">
        <v>1</v>
      </c>
      <c r="F8075" t="s">
        <v>7588</v>
      </c>
    </row>
    <row r="8076" spans="1:6" x14ac:dyDescent="0.25">
      <c r="A8076" t="s">
        <v>7660</v>
      </c>
      <c r="B8076" t="s">
        <v>4109</v>
      </c>
      <c r="C8076" t="s">
        <v>4110</v>
      </c>
      <c r="D8076" t="str">
        <f>HYPERLINK("http://service.sap.com/sap/support/notes/1583182","1583182")</f>
        <v>1583182</v>
      </c>
      <c r="E8076">
        <v>1</v>
      </c>
      <c r="F8076" t="s">
        <v>7589</v>
      </c>
    </row>
    <row r="8077" spans="1:6" x14ac:dyDescent="0.25">
      <c r="A8077" t="s">
        <v>7660</v>
      </c>
      <c r="B8077" t="s">
        <v>4109</v>
      </c>
      <c r="C8077" t="s">
        <v>4110</v>
      </c>
      <c r="D8077" t="str">
        <f>HYPERLINK("http://service.sap.com/sap/support/notes/1583229","1583229")</f>
        <v>1583229</v>
      </c>
      <c r="E8077">
        <v>1</v>
      </c>
      <c r="F8077" t="s">
        <v>7590</v>
      </c>
    </row>
    <row r="8078" spans="1:6" x14ac:dyDescent="0.25">
      <c r="A8078" t="s">
        <v>7660</v>
      </c>
      <c r="B8078" t="s">
        <v>4109</v>
      </c>
      <c r="C8078" t="s">
        <v>4110</v>
      </c>
      <c r="D8078" t="str">
        <f>HYPERLINK("http://service.sap.com/sap/support/notes/1586189","1586189")</f>
        <v>1586189</v>
      </c>
      <c r="E8078">
        <v>1</v>
      </c>
      <c r="F8078" t="s">
        <v>7409</v>
      </c>
    </row>
    <row r="8079" spans="1:6" x14ac:dyDescent="0.25">
      <c r="A8079" t="s">
        <v>7660</v>
      </c>
      <c r="B8079" t="s">
        <v>4112</v>
      </c>
      <c r="C8079" t="s">
        <v>4113</v>
      </c>
      <c r="D8079" t="str">
        <f>HYPERLINK("http://service.sap.com/sap/support/notes/1564197","1564197")</f>
        <v>1564197</v>
      </c>
      <c r="E8079">
        <v>1</v>
      </c>
      <c r="F8079" t="s">
        <v>7591</v>
      </c>
    </row>
    <row r="8080" spans="1:6" x14ac:dyDescent="0.25">
      <c r="A8080" t="s">
        <v>7660</v>
      </c>
      <c r="B8080" t="s">
        <v>4112</v>
      </c>
      <c r="C8080" t="s">
        <v>4113</v>
      </c>
      <c r="D8080" t="str">
        <f>HYPERLINK("http://service.sap.com/sap/support/notes/1569858","1569858")</f>
        <v>1569858</v>
      </c>
      <c r="E8080">
        <v>1</v>
      </c>
      <c r="F8080" t="s">
        <v>7592</v>
      </c>
    </row>
    <row r="8081" spans="1:6" x14ac:dyDescent="0.25">
      <c r="A8081" t="s">
        <v>7660</v>
      </c>
      <c r="B8081" t="s">
        <v>4112</v>
      </c>
      <c r="C8081" t="s">
        <v>4113</v>
      </c>
      <c r="D8081" t="str">
        <f>HYPERLINK("http://service.sap.com/sap/support/notes/1582697","1582697")</f>
        <v>1582697</v>
      </c>
      <c r="E8081">
        <v>3</v>
      </c>
      <c r="F8081" t="s">
        <v>7593</v>
      </c>
    </row>
    <row r="8082" spans="1:6" x14ac:dyDescent="0.25">
      <c r="A8082" t="s">
        <v>7660</v>
      </c>
      <c r="B8082" t="s">
        <v>4112</v>
      </c>
      <c r="C8082" t="s">
        <v>4113</v>
      </c>
      <c r="D8082" t="str">
        <f>HYPERLINK("http://service.sap.com/sap/support/notes/1583146","1583146")</f>
        <v>1583146</v>
      </c>
      <c r="E8082">
        <v>1</v>
      </c>
      <c r="F8082" t="s">
        <v>7594</v>
      </c>
    </row>
    <row r="8083" spans="1:6" x14ac:dyDescent="0.25">
      <c r="A8083" t="s">
        <v>7660</v>
      </c>
      <c r="B8083" t="s">
        <v>5648</v>
      </c>
      <c r="C8083" t="s">
        <v>5649</v>
      </c>
    </row>
    <row r="8084" spans="1:6" x14ac:dyDescent="0.25">
      <c r="A8084" t="s">
        <v>7660</v>
      </c>
      <c r="B8084" t="s">
        <v>5650</v>
      </c>
      <c r="C8084" t="s">
        <v>5651</v>
      </c>
      <c r="D8084" t="str">
        <f>HYPERLINK("http://service.sap.com/sap/support/notes/1583688","1583688")</f>
        <v>1583688</v>
      </c>
      <c r="E8084">
        <v>1</v>
      </c>
      <c r="F8084" t="s">
        <v>7595</v>
      </c>
    </row>
    <row r="8085" spans="1:6" x14ac:dyDescent="0.25">
      <c r="A8085" t="s">
        <v>7660</v>
      </c>
      <c r="B8085" t="s">
        <v>5650</v>
      </c>
      <c r="C8085" t="s">
        <v>5651</v>
      </c>
      <c r="D8085" t="str">
        <f>HYPERLINK("http://service.sap.com/sap/support/notes/1589132","1589132")</f>
        <v>1589132</v>
      </c>
      <c r="E8085">
        <v>1</v>
      </c>
      <c r="F8085" t="s">
        <v>7596</v>
      </c>
    </row>
    <row r="8086" spans="1:6" x14ac:dyDescent="0.25">
      <c r="A8086" t="s">
        <v>7660</v>
      </c>
      <c r="B8086" t="s">
        <v>38</v>
      </c>
      <c r="C8086" t="s">
        <v>39</v>
      </c>
    </row>
    <row r="8087" spans="1:6" x14ac:dyDescent="0.25">
      <c r="A8087" t="s">
        <v>7660</v>
      </c>
      <c r="B8087" t="s">
        <v>6039</v>
      </c>
      <c r="C8087" t="s">
        <v>202</v>
      </c>
      <c r="D8087" t="str">
        <f>HYPERLINK("http://service.sap.com/sap/support/notes/1585550","1585550")</f>
        <v>1585550</v>
      </c>
      <c r="E8087">
        <v>1</v>
      </c>
      <c r="F8087" t="s">
        <v>7597</v>
      </c>
    </row>
    <row r="8088" spans="1:6" x14ac:dyDescent="0.25">
      <c r="A8088" t="s">
        <v>7660</v>
      </c>
      <c r="B8088" t="s">
        <v>51</v>
      </c>
      <c r="C8088" t="s">
        <v>52</v>
      </c>
      <c r="D8088" t="str">
        <f>HYPERLINK("http://service.sap.com/sap/support/notes/1582123","1582123")</f>
        <v>1582123</v>
      </c>
      <c r="E8088">
        <v>1</v>
      </c>
      <c r="F8088" t="s">
        <v>3432</v>
      </c>
    </row>
    <row r="8089" spans="1:6" x14ac:dyDescent="0.25">
      <c r="A8089" t="s">
        <v>7660</v>
      </c>
      <c r="B8089" t="s">
        <v>51</v>
      </c>
      <c r="C8089" t="s">
        <v>52</v>
      </c>
      <c r="D8089" t="str">
        <f>HYPERLINK("http://service.sap.com/sap/support/notes/1585427","1585427")</f>
        <v>1585427</v>
      </c>
      <c r="E8089">
        <v>2</v>
      </c>
      <c r="F8089" t="s">
        <v>7598</v>
      </c>
    </row>
    <row r="8090" spans="1:6" x14ac:dyDescent="0.25">
      <c r="A8090" t="s">
        <v>7660</v>
      </c>
      <c r="B8090" t="s">
        <v>76</v>
      </c>
      <c r="C8090" t="s">
        <v>77</v>
      </c>
      <c r="D8090" t="str">
        <f>HYPERLINK("http://service.sap.com/sap/support/notes/1582698","1582698")</f>
        <v>1582698</v>
      </c>
      <c r="E8090">
        <v>2</v>
      </c>
      <c r="F8090" t="s">
        <v>7599</v>
      </c>
    </row>
    <row r="8091" spans="1:6" x14ac:dyDescent="0.25">
      <c r="A8091" t="s">
        <v>7660</v>
      </c>
      <c r="B8091" t="s">
        <v>89</v>
      </c>
      <c r="C8091" t="s">
        <v>90</v>
      </c>
      <c r="D8091" t="str">
        <f>HYPERLINK("http://service.sap.com/sap/support/notes/1507786","1507786")</f>
        <v>1507786</v>
      </c>
      <c r="E8091">
        <v>2</v>
      </c>
      <c r="F8091" t="s">
        <v>6490</v>
      </c>
    </row>
    <row r="8092" spans="1:6" x14ac:dyDescent="0.25">
      <c r="A8092" t="s">
        <v>7660</v>
      </c>
      <c r="B8092" t="s">
        <v>1461</v>
      </c>
      <c r="C8092" t="s">
        <v>441</v>
      </c>
      <c r="D8092" t="str">
        <f>HYPERLINK("http://service.sap.com/sap/support/notes/1226896","1226896")</f>
        <v>1226896</v>
      </c>
      <c r="E8092">
        <v>3</v>
      </c>
      <c r="F8092" t="s">
        <v>7600</v>
      </c>
    </row>
    <row r="8093" spans="1:6" x14ac:dyDescent="0.25">
      <c r="A8093" t="s">
        <v>7660</v>
      </c>
      <c r="B8093" t="s">
        <v>92</v>
      </c>
      <c r="C8093" t="s">
        <v>93</v>
      </c>
      <c r="D8093" t="str">
        <f>HYPERLINK("http://service.sap.com/sap/support/notes/960754","960754")</f>
        <v>960754</v>
      </c>
      <c r="E8093">
        <v>8</v>
      </c>
      <c r="F8093" t="s">
        <v>1463</v>
      </c>
    </row>
    <row r="8094" spans="1:6" x14ac:dyDescent="0.25">
      <c r="A8094" t="s">
        <v>7660</v>
      </c>
      <c r="B8094" t="s">
        <v>92</v>
      </c>
      <c r="C8094" t="s">
        <v>93</v>
      </c>
      <c r="D8094" t="str">
        <f>HYPERLINK("http://service.sap.com/sap/support/notes/1582934","1582934")</f>
        <v>1582934</v>
      </c>
      <c r="E8094">
        <v>1</v>
      </c>
      <c r="F8094" t="s">
        <v>7601</v>
      </c>
    </row>
    <row r="8095" spans="1:6" x14ac:dyDescent="0.25">
      <c r="A8095" t="s">
        <v>7660</v>
      </c>
      <c r="B8095" t="s">
        <v>724</v>
      </c>
      <c r="C8095" t="s">
        <v>725</v>
      </c>
    </row>
    <row r="8096" spans="1:6" x14ac:dyDescent="0.25">
      <c r="A8096" t="s">
        <v>7660</v>
      </c>
      <c r="B8096" t="s">
        <v>782</v>
      </c>
      <c r="C8096" t="s">
        <v>653</v>
      </c>
    </row>
    <row r="8097" spans="1:6" x14ac:dyDescent="0.25">
      <c r="A8097" t="s">
        <v>7660</v>
      </c>
      <c r="B8097" t="s">
        <v>784</v>
      </c>
      <c r="C8097" t="s">
        <v>6642</v>
      </c>
      <c r="D8097" t="str">
        <f>HYPERLINK("http://service.sap.com/sap/support/notes/1564146","1564146")</f>
        <v>1564146</v>
      </c>
      <c r="E8097">
        <v>1</v>
      </c>
      <c r="F8097" t="s">
        <v>7602</v>
      </c>
    </row>
    <row r="8098" spans="1:6" x14ac:dyDescent="0.25">
      <c r="A8098" t="s">
        <v>7660</v>
      </c>
      <c r="B8098" t="s">
        <v>790</v>
      </c>
      <c r="C8098" t="s">
        <v>4125</v>
      </c>
    </row>
    <row r="8099" spans="1:6" x14ac:dyDescent="0.25">
      <c r="A8099" t="s">
        <v>7660</v>
      </c>
      <c r="B8099" t="s">
        <v>791</v>
      </c>
      <c r="C8099" t="s">
        <v>4126</v>
      </c>
      <c r="D8099" t="str">
        <f>HYPERLINK("http://service.sap.com/sap/support/notes/1532447","1532447")</f>
        <v>1532447</v>
      </c>
      <c r="E8099">
        <v>2</v>
      </c>
      <c r="F8099" t="s">
        <v>7603</v>
      </c>
    </row>
    <row r="8100" spans="1:6" x14ac:dyDescent="0.25">
      <c r="A8100" t="s">
        <v>7660</v>
      </c>
      <c r="B8100" t="s">
        <v>791</v>
      </c>
      <c r="C8100" t="s">
        <v>4126</v>
      </c>
      <c r="D8100" t="str">
        <f>HYPERLINK("http://service.sap.com/sap/support/notes/1584995","1584995")</f>
        <v>1584995</v>
      </c>
      <c r="E8100">
        <v>1</v>
      </c>
      <c r="F8100" t="s">
        <v>7604</v>
      </c>
    </row>
    <row r="8101" spans="1:6" x14ac:dyDescent="0.25">
      <c r="A8101" t="s">
        <v>7660</v>
      </c>
      <c r="B8101" t="s">
        <v>791</v>
      </c>
      <c r="C8101" t="s">
        <v>4126</v>
      </c>
      <c r="D8101" t="str">
        <f>HYPERLINK("http://service.sap.com/sap/support/notes/1585314","1585314")</f>
        <v>1585314</v>
      </c>
      <c r="E8101">
        <v>2</v>
      </c>
      <c r="F8101" t="s">
        <v>7605</v>
      </c>
    </row>
    <row r="8102" spans="1:6" x14ac:dyDescent="0.25">
      <c r="A8102" t="s">
        <v>7660</v>
      </c>
      <c r="B8102" t="s">
        <v>791</v>
      </c>
      <c r="C8102" t="s">
        <v>4126</v>
      </c>
      <c r="D8102" t="str">
        <f>HYPERLINK("http://service.sap.com/sap/support/notes/1586082","1586082")</f>
        <v>1586082</v>
      </c>
      <c r="E8102">
        <v>1</v>
      </c>
      <c r="F8102" t="s">
        <v>7606</v>
      </c>
    </row>
    <row r="8103" spans="1:6" x14ac:dyDescent="0.25">
      <c r="A8103" t="s">
        <v>7660</v>
      </c>
      <c r="B8103" t="s">
        <v>791</v>
      </c>
      <c r="C8103" t="s">
        <v>4126</v>
      </c>
      <c r="D8103" t="str">
        <f>HYPERLINK("http://service.sap.com/sap/support/notes/1586136","1586136")</f>
        <v>1586136</v>
      </c>
      <c r="E8103">
        <v>1</v>
      </c>
      <c r="F8103" t="s">
        <v>7607</v>
      </c>
    </row>
    <row r="8104" spans="1:6" x14ac:dyDescent="0.25">
      <c r="A8104" t="s">
        <v>7660</v>
      </c>
      <c r="B8104" t="s">
        <v>791</v>
      </c>
      <c r="C8104" t="s">
        <v>4126</v>
      </c>
      <c r="D8104" t="str">
        <f>HYPERLINK("http://service.sap.com/sap/support/notes/1590509","1590509")</f>
        <v>1590509</v>
      </c>
      <c r="E8104">
        <v>1</v>
      </c>
      <c r="F8104" t="s">
        <v>7608</v>
      </c>
    </row>
    <row r="8105" spans="1:6" x14ac:dyDescent="0.25">
      <c r="A8105" t="s">
        <v>7660</v>
      </c>
      <c r="B8105" t="s">
        <v>791</v>
      </c>
      <c r="C8105" t="s">
        <v>4126</v>
      </c>
      <c r="D8105" t="str">
        <f>HYPERLINK("http://service.sap.com/sap/support/notes/1590912","1590912")</f>
        <v>1590912</v>
      </c>
      <c r="E8105">
        <v>1</v>
      </c>
      <c r="F8105" t="s">
        <v>7609</v>
      </c>
    </row>
    <row r="8106" spans="1:6" x14ac:dyDescent="0.25">
      <c r="A8106" t="s">
        <v>7660</v>
      </c>
      <c r="B8106" t="s">
        <v>810</v>
      </c>
      <c r="C8106" t="s">
        <v>4131</v>
      </c>
    </row>
    <row r="8107" spans="1:6" x14ac:dyDescent="0.25">
      <c r="A8107" t="s">
        <v>7660</v>
      </c>
      <c r="B8107" t="s">
        <v>811</v>
      </c>
      <c r="C8107" t="s">
        <v>4132</v>
      </c>
      <c r="D8107" t="str">
        <f>HYPERLINK("http://service.sap.com/sap/support/notes/1584038","1584038")</f>
        <v>1584038</v>
      </c>
      <c r="E8107">
        <v>3</v>
      </c>
      <c r="F8107" t="s">
        <v>7610</v>
      </c>
    </row>
    <row r="8108" spans="1:6" x14ac:dyDescent="0.25">
      <c r="A8108" t="s">
        <v>7660</v>
      </c>
      <c r="B8108" t="s">
        <v>4144</v>
      </c>
      <c r="C8108" t="s">
        <v>4145</v>
      </c>
      <c r="D8108" t="str">
        <f>HYPERLINK("http://service.sap.com/sap/support/notes/1294164","1294164")</f>
        <v>1294164</v>
      </c>
      <c r="E8108">
        <v>1</v>
      </c>
      <c r="F8108" t="s">
        <v>6135</v>
      </c>
    </row>
    <row r="8109" spans="1:6" x14ac:dyDescent="0.25">
      <c r="A8109" t="s">
        <v>7660</v>
      </c>
      <c r="B8109" t="s">
        <v>4144</v>
      </c>
      <c r="C8109" t="s">
        <v>4145</v>
      </c>
      <c r="D8109" t="str">
        <f>HYPERLINK("http://service.sap.com/sap/support/notes/1554002","1554002")</f>
        <v>1554002</v>
      </c>
      <c r="E8109">
        <v>1</v>
      </c>
      <c r="F8109" t="s">
        <v>7611</v>
      </c>
    </row>
    <row r="8110" spans="1:6" x14ac:dyDescent="0.25">
      <c r="A8110" t="s">
        <v>7660</v>
      </c>
      <c r="B8110" t="s">
        <v>4144</v>
      </c>
      <c r="C8110" t="s">
        <v>4145</v>
      </c>
      <c r="D8110" t="str">
        <f>HYPERLINK("http://service.sap.com/sap/support/notes/1580841","1580841")</f>
        <v>1580841</v>
      </c>
      <c r="E8110">
        <v>3</v>
      </c>
      <c r="F8110" t="s">
        <v>7612</v>
      </c>
    </row>
    <row r="8111" spans="1:6" x14ac:dyDescent="0.25">
      <c r="A8111" t="s">
        <v>7660</v>
      </c>
      <c r="B8111" t="s">
        <v>4144</v>
      </c>
      <c r="C8111" t="s">
        <v>4145</v>
      </c>
      <c r="D8111" t="str">
        <f>HYPERLINK("http://service.sap.com/sap/support/notes/1582900","1582900")</f>
        <v>1582900</v>
      </c>
      <c r="E8111">
        <v>1</v>
      </c>
      <c r="F8111" t="s">
        <v>7613</v>
      </c>
    </row>
    <row r="8112" spans="1:6" x14ac:dyDescent="0.25">
      <c r="A8112" t="s">
        <v>7660</v>
      </c>
      <c r="B8112" t="s">
        <v>4144</v>
      </c>
      <c r="C8112" t="s">
        <v>4145</v>
      </c>
      <c r="D8112" t="str">
        <f>HYPERLINK("http://service.sap.com/sap/support/notes/1583103","1583103")</f>
        <v>1583103</v>
      </c>
      <c r="E8112">
        <v>1</v>
      </c>
      <c r="F8112" t="s">
        <v>7614</v>
      </c>
    </row>
    <row r="8113" spans="1:6" x14ac:dyDescent="0.25">
      <c r="A8113" t="s">
        <v>7660</v>
      </c>
      <c r="B8113" t="s">
        <v>4144</v>
      </c>
      <c r="C8113" t="s">
        <v>4145</v>
      </c>
      <c r="D8113" t="str">
        <f>HYPERLINK("http://service.sap.com/sap/support/notes/1583270","1583270")</f>
        <v>1583270</v>
      </c>
      <c r="E8113">
        <v>1</v>
      </c>
      <c r="F8113" t="s">
        <v>7615</v>
      </c>
    </row>
    <row r="8114" spans="1:6" x14ac:dyDescent="0.25">
      <c r="A8114" t="s">
        <v>7660</v>
      </c>
      <c r="B8114" t="s">
        <v>4144</v>
      </c>
      <c r="C8114" t="s">
        <v>4145</v>
      </c>
      <c r="D8114" t="str">
        <f>HYPERLINK("http://service.sap.com/sap/support/notes/1584309","1584309")</f>
        <v>1584309</v>
      </c>
      <c r="E8114">
        <v>1</v>
      </c>
      <c r="F8114" t="s">
        <v>7616</v>
      </c>
    </row>
    <row r="8115" spans="1:6" x14ac:dyDescent="0.25">
      <c r="A8115" t="s">
        <v>7660</v>
      </c>
      <c r="B8115" t="s">
        <v>4144</v>
      </c>
      <c r="C8115" t="s">
        <v>4145</v>
      </c>
      <c r="D8115" t="str">
        <f>HYPERLINK("http://service.sap.com/sap/support/notes/1584412","1584412")</f>
        <v>1584412</v>
      </c>
      <c r="E8115">
        <v>1</v>
      </c>
      <c r="F8115" t="s">
        <v>7617</v>
      </c>
    </row>
    <row r="8116" spans="1:6" x14ac:dyDescent="0.25">
      <c r="A8116" t="s">
        <v>7660</v>
      </c>
      <c r="B8116" t="s">
        <v>4144</v>
      </c>
      <c r="C8116" t="s">
        <v>4145</v>
      </c>
      <c r="D8116" t="str">
        <f>HYPERLINK("http://service.sap.com/sap/support/notes/1585551","1585551")</f>
        <v>1585551</v>
      </c>
      <c r="E8116">
        <v>2</v>
      </c>
      <c r="F8116" t="s">
        <v>7618</v>
      </c>
    </row>
    <row r="8117" spans="1:6" x14ac:dyDescent="0.25">
      <c r="A8117" t="s">
        <v>7660</v>
      </c>
      <c r="B8117" t="s">
        <v>4144</v>
      </c>
      <c r="C8117" t="s">
        <v>4145</v>
      </c>
      <c r="D8117" t="str">
        <f>HYPERLINK("http://service.sap.com/sap/support/notes/1586494","1586494")</f>
        <v>1586494</v>
      </c>
      <c r="E8117">
        <v>1</v>
      </c>
      <c r="F8117" t="s">
        <v>7619</v>
      </c>
    </row>
    <row r="8118" spans="1:6" x14ac:dyDescent="0.25">
      <c r="A8118" t="s">
        <v>7660</v>
      </c>
      <c r="B8118" t="s">
        <v>4144</v>
      </c>
      <c r="C8118" t="s">
        <v>4145</v>
      </c>
      <c r="D8118" t="str">
        <f>HYPERLINK("http://service.sap.com/sap/support/notes/1588312","1588312")</f>
        <v>1588312</v>
      </c>
      <c r="E8118">
        <v>1</v>
      </c>
      <c r="F8118" t="s">
        <v>7620</v>
      </c>
    </row>
    <row r="8119" spans="1:6" x14ac:dyDescent="0.25">
      <c r="A8119" t="s">
        <v>7660</v>
      </c>
      <c r="B8119" t="s">
        <v>4144</v>
      </c>
      <c r="C8119" t="s">
        <v>4145</v>
      </c>
      <c r="D8119" t="str">
        <f>HYPERLINK("http://service.sap.com/sap/support/notes/1590367","1590367")</f>
        <v>1590367</v>
      </c>
      <c r="E8119">
        <v>3</v>
      </c>
      <c r="F8119" t="s">
        <v>4148</v>
      </c>
    </row>
    <row r="8120" spans="1:6" x14ac:dyDescent="0.25">
      <c r="A8120" t="s">
        <v>7660</v>
      </c>
      <c r="B8120" t="s">
        <v>4144</v>
      </c>
      <c r="C8120" t="s">
        <v>4145</v>
      </c>
      <c r="D8120" t="str">
        <f>HYPERLINK("http://service.sap.com/sap/support/notes/1591334","1591334")</f>
        <v>1591334</v>
      </c>
      <c r="E8120">
        <v>1</v>
      </c>
      <c r="F8120" t="s">
        <v>7621</v>
      </c>
    </row>
    <row r="8121" spans="1:6" x14ac:dyDescent="0.25">
      <c r="A8121" t="s">
        <v>7660</v>
      </c>
      <c r="B8121" t="s">
        <v>126</v>
      </c>
      <c r="C8121" t="s">
        <v>127</v>
      </c>
    </row>
    <row r="8122" spans="1:6" x14ac:dyDescent="0.25">
      <c r="A8122" t="s">
        <v>7660</v>
      </c>
      <c r="B8122" t="s">
        <v>824</v>
      </c>
      <c r="C8122" t="s">
        <v>1777</v>
      </c>
    </row>
    <row r="8123" spans="1:6" x14ac:dyDescent="0.25">
      <c r="A8123" t="s">
        <v>7660</v>
      </c>
      <c r="B8123" t="s">
        <v>4157</v>
      </c>
      <c r="C8123" t="s">
        <v>4158</v>
      </c>
      <c r="D8123" t="str">
        <f>HYPERLINK("http://service.sap.com/sap/support/notes/1553257","1553257")</f>
        <v>1553257</v>
      </c>
      <c r="E8123">
        <v>4</v>
      </c>
      <c r="F8123" t="s">
        <v>7622</v>
      </c>
    </row>
    <row r="8124" spans="1:6" x14ac:dyDescent="0.25">
      <c r="A8124" t="s">
        <v>7660</v>
      </c>
      <c r="B8124" t="s">
        <v>825</v>
      </c>
      <c r="C8124" t="s">
        <v>1778</v>
      </c>
      <c r="D8124" t="str">
        <f>HYPERLINK("http://service.sap.com/sap/support/notes/1555433","1555433")</f>
        <v>1555433</v>
      </c>
      <c r="E8124">
        <v>1</v>
      </c>
      <c r="F8124" t="s">
        <v>7623</v>
      </c>
    </row>
    <row r="8125" spans="1:6" x14ac:dyDescent="0.25">
      <c r="A8125" t="s">
        <v>7660</v>
      </c>
      <c r="B8125" t="s">
        <v>825</v>
      </c>
      <c r="C8125" t="s">
        <v>1778</v>
      </c>
      <c r="D8125" t="str">
        <f>HYPERLINK("http://service.sap.com/sap/support/notes/1568254","1568254")</f>
        <v>1568254</v>
      </c>
      <c r="E8125">
        <v>2</v>
      </c>
      <c r="F8125" t="s">
        <v>7624</v>
      </c>
    </row>
    <row r="8126" spans="1:6" x14ac:dyDescent="0.25">
      <c r="A8126" t="s">
        <v>7660</v>
      </c>
      <c r="B8126" t="s">
        <v>825</v>
      </c>
      <c r="C8126" t="s">
        <v>1778</v>
      </c>
      <c r="D8126" t="str">
        <f>HYPERLINK("http://service.sap.com/sap/support/notes/1573099","1573099")</f>
        <v>1573099</v>
      </c>
      <c r="E8126">
        <v>1</v>
      </c>
      <c r="F8126" t="s">
        <v>7625</v>
      </c>
    </row>
    <row r="8127" spans="1:6" x14ac:dyDescent="0.25">
      <c r="A8127" t="s">
        <v>7660</v>
      </c>
      <c r="B8127" t="s">
        <v>825</v>
      </c>
      <c r="C8127" t="s">
        <v>1778</v>
      </c>
      <c r="D8127" t="str">
        <f>HYPERLINK("http://service.sap.com/sap/support/notes/1584637","1584637")</f>
        <v>1584637</v>
      </c>
      <c r="E8127">
        <v>1</v>
      </c>
      <c r="F8127" t="s">
        <v>7626</v>
      </c>
    </row>
    <row r="8128" spans="1:6" x14ac:dyDescent="0.25">
      <c r="A8128" t="s">
        <v>7660</v>
      </c>
      <c r="B8128" t="s">
        <v>825</v>
      </c>
      <c r="C8128" t="s">
        <v>1778</v>
      </c>
      <c r="D8128" t="str">
        <f>HYPERLINK("http://service.sap.com/sap/support/notes/1584708","1584708")</f>
        <v>1584708</v>
      </c>
      <c r="E8128">
        <v>1</v>
      </c>
      <c r="F8128" t="s">
        <v>7627</v>
      </c>
    </row>
    <row r="8129" spans="1:6" x14ac:dyDescent="0.25">
      <c r="A8129" t="s">
        <v>7660</v>
      </c>
      <c r="B8129" t="s">
        <v>825</v>
      </c>
      <c r="C8129" t="s">
        <v>1778</v>
      </c>
      <c r="D8129" t="str">
        <f>HYPERLINK("http://service.sap.com/sap/support/notes/1585101","1585101")</f>
        <v>1585101</v>
      </c>
      <c r="E8129">
        <v>1</v>
      </c>
      <c r="F8129" t="s">
        <v>7628</v>
      </c>
    </row>
    <row r="8130" spans="1:6" x14ac:dyDescent="0.25">
      <c r="A8130" t="s">
        <v>7660</v>
      </c>
      <c r="B8130" t="s">
        <v>831</v>
      </c>
      <c r="C8130" t="s">
        <v>2598</v>
      </c>
    </row>
    <row r="8131" spans="1:6" x14ac:dyDescent="0.25">
      <c r="A8131" t="s">
        <v>7660</v>
      </c>
      <c r="B8131" t="s">
        <v>849</v>
      </c>
      <c r="C8131" t="s">
        <v>4450</v>
      </c>
    </row>
    <row r="8132" spans="1:6" x14ac:dyDescent="0.25">
      <c r="A8132" t="s">
        <v>7660</v>
      </c>
      <c r="B8132" t="s">
        <v>867</v>
      </c>
      <c r="C8132" t="s">
        <v>4451</v>
      </c>
    </row>
    <row r="8133" spans="1:6" x14ac:dyDescent="0.25">
      <c r="A8133" t="s">
        <v>7660</v>
      </c>
      <c r="B8133" t="s">
        <v>4452</v>
      </c>
      <c r="C8133" t="s">
        <v>4048</v>
      </c>
      <c r="D8133" t="str">
        <f>HYPERLINK("http://service.sap.com/sap/support/notes/1367486","1367486")</f>
        <v>1367486</v>
      </c>
      <c r="E8133">
        <v>11</v>
      </c>
      <c r="F8133" t="s">
        <v>7629</v>
      </c>
    </row>
    <row r="8134" spans="1:6" x14ac:dyDescent="0.25">
      <c r="A8134" t="s">
        <v>7660</v>
      </c>
      <c r="B8134" t="s">
        <v>4452</v>
      </c>
      <c r="C8134" t="s">
        <v>4048</v>
      </c>
      <c r="D8134" t="str">
        <f>HYPERLINK("http://service.sap.com/sap/support/notes/1464999","1464999")</f>
        <v>1464999</v>
      </c>
      <c r="E8134">
        <v>2</v>
      </c>
      <c r="F8134" t="s">
        <v>7630</v>
      </c>
    </row>
    <row r="8135" spans="1:6" x14ac:dyDescent="0.25">
      <c r="A8135" t="s">
        <v>7660</v>
      </c>
      <c r="B8135" t="s">
        <v>4452</v>
      </c>
      <c r="C8135" t="s">
        <v>4048</v>
      </c>
      <c r="D8135" t="str">
        <f>HYPERLINK("http://service.sap.com/sap/support/notes/1482469","1482469")</f>
        <v>1482469</v>
      </c>
      <c r="E8135">
        <v>3</v>
      </c>
      <c r="F8135" t="s">
        <v>7631</v>
      </c>
    </row>
    <row r="8136" spans="1:6" x14ac:dyDescent="0.25">
      <c r="A8136" t="s">
        <v>7660</v>
      </c>
      <c r="B8136" t="s">
        <v>4452</v>
      </c>
      <c r="C8136" t="s">
        <v>4048</v>
      </c>
      <c r="D8136" t="str">
        <f>HYPERLINK("http://service.sap.com/sap/support/notes/1485657","1485657")</f>
        <v>1485657</v>
      </c>
      <c r="E8136">
        <v>3</v>
      </c>
      <c r="F8136" t="s">
        <v>7632</v>
      </c>
    </row>
    <row r="8137" spans="1:6" x14ac:dyDescent="0.25">
      <c r="A8137" t="s">
        <v>7660</v>
      </c>
      <c r="B8137" t="s">
        <v>4452</v>
      </c>
      <c r="C8137" t="s">
        <v>4048</v>
      </c>
      <c r="D8137" t="str">
        <f>HYPERLINK("http://service.sap.com/sap/support/notes/1500028","1500028")</f>
        <v>1500028</v>
      </c>
      <c r="E8137">
        <v>2</v>
      </c>
      <c r="F8137" t="s">
        <v>7633</v>
      </c>
    </row>
    <row r="8138" spans="1:6" x14ac:dyDescent="0.25">
      <c r="A8138" t="s">
        <v>7660</v>
      </c>
      <c r="B8138" t="s">
        <v>4452</v>
      </c>
      <c r="C8138" t="s">
        <v>4048</v>
      </c>
      <c r="D8138" t="str">
        <f>HYPERLINK("http://service.sap.com/sap/support/notes/1500088","1500088")</f>
        <v>1500088</v>
      </c>
      <c r="E8138">
        <v>3</v>
      </c>
      <c r="F8138" t="s">
        <v>7634</v>
      </c>
    </row>
    <row r="8139" spans="1:6" x14ac:dyDescent="0.25">
      <c r="A8139" t="s">
        <v>7660</v>
      </c>
      <c r="B8139" t="s">
        <v>4452</v>
      </c>
      <c r="C8139" t="s">
        <v>4048</v>
      </c>
      <c r="D8139" t="str">
        <f>HYPERLINK("http://service.sap.com/sap/support/notes/1510867","1510867")</f>
        <v>1510867</v>
      </c>
      <c r="E8139">
        <v>1</v>
      </c>
      <c r="F8139" t="s">
        <v>7635</v>
      </c>
    </row>
    <row r="8140" spans="1:6" x14ac:dyDescent="0.25">
      <c r="A8140" t="s">
        <v>7660</v>
      </c>
      <c r="B8140" t="s">
        <v>4452</v>
      </c>
      <c r="C8140" t="s">
        <v>4048</v>
      </c>
      <c r="D8140" t="str">
        <f>HYPERLINK("http://service.sap.com/sap/support/notes/1512454","1512454")</f>
        <v>1512454</v>
      </c>
      <c r="E8140">
        <v>2</v>
      </c>
      <c r="F8140" t="s">
        <v>7636</v>
      </c>
    </row>
    <row r="8141" spans="1:6" x14ac:dyDescent="0.25">
      <c r="A8141" t="s">
        <v>7660</v>
      </c>
      <c r="B8141" t="s">
        <v>4452</v>
      </c>
      <c r="C8141" t="s">
        <v>4048</v>
      </c>
      <c r="D8141" t="str">
        <f>HYPERLINK("http://service.sap.com/sap/support/notes/1537146","1537146")</f>
        <v>1537146</v>
      </c>
      <c r="E8141">
        <v>6</v>
      </c>
      <c r="F8141" t="s">
        <v>7637</v>
      </c>
    </row>
    <row r="8142" spans="1:6" x14ac:dyDescent="0.25">
      <c r="A8142" t="s">
        <v>7660</v>
      </c>
      <c r="B8142" t="s">
        <v>4452</v>
      </c>
      <c r="C8142" t="s">
        <v>4048</v>
      </c>
      <c r="D8142" t="str">
        <f>HYPERLINK("http://service.sap.com/sap/support/notes/1540659","1540659")</f>
        <v>1540659</v>
      </c>
      <c r="E8142">
        <v>4</v>
      </c>
      <c r="F8142" t="s">
        <v>7638</v>
      </c>
    </row>
    <row r="8143" spans="1:6" x14ac:dyDescent="0.25">
      <c r="A8143" t="s">
        <v>7660</v>
      </c>
      <c r="B8143" t="s">
        <v>4452</v>
      </c>
      <c r="C8143" t="s">
        <v>4048</v>
      </c>
      <c r="D8143" t="str">
        <f>HYPERLINK("http://service.sap.com/sap/support/notes/1543936","1543936")</f>
        <v>1543936</v>
      </c>
      <c r="E8143">
        <v>1</v>
      </c>
      <c r="F8143" t="s">
        <v>7639</v>
      </c>
    </row>
    <row r="8144" spans="1:6" x14ac:dyDescent="0.25">
      <c r="A8144" t="s">
        <v>7660</v>
      </c>
      <c r="B8144" t="s">
        <v>4452</v>
      </c>
      <c r="C8144" t="s">
        <v>4048</v>
      </c>
      <c r="D8144" t="str">
        <f>HYPERLINK("http://service.sap.com/sap/support/notes/1548553","1548553")</f>
        <v>1548553</v>
      </c>
      <c r="E8144">
        <v>1</v>
      </c>
      <c r="F8144" t="s">
        <v>7640</v>
      </c>
    </row>
    <row r="8145" spans="1:6" x14ac:dyDescent="0.25">
      <c r="A8145" t="s">
        <v>7660</v>
      </c>
      <c r="B8145" t="s">
        <v>4452</v>
      </c>
      <c r="C8145" t="s">
        <v>4048</v>
      </c>
      <c r="D8145" t="str">
        <f>HYPERLINK("http://service.sap.com/sap/support/notes/1551777","1551777")</f>
        <v>1551777</v>
      </c>
      <c r="E8145">
        <v>1</v>
      </c>
      <c r="F8145" t="s">
        <v>7641</v>
      </c>
    </row>
    <row r="8146" spans="1:6" x14ac:dyDescent="0.25">
      <c r="A8146" t="s">
        <v>7660</v>
      </c>
      <c r="B8146" t="s">
        <v>4452</v>
      </c>
      <c r="C8146" t="s">
        <v>4048</v>
      </c>
      <c r="D8146" t="str">
        <f>HYPERLINK("http://service.sap.com/sap/support/notes/1553623","1553623")</f>
        <v>1553623</v>
      </c>
      <c r="E8146">
        <v>2</v>
      </c>
      <c r="F8146" t="s">
        <v>7642</v>
      </c>
    </row>
    <row r="8147" spans="1:6" x14ac:dyDescent="0.25">
      <c r="A8147" t="s">
        <v>7660</v>
      </c>
      <c r="B8147" t="s">
        <v>4452</v>
      </c>
      <c r="C8147" t="s">
        <v>4048</v>
      </c>
      <c r="D8147" t="str">
        <f>HYPERLINK("http://service.sap.com/sap/support/notes/1557180","1557180")</f>
        <v>1557180</v>
      </c>
      <c r="E8147">
        <v>1</v>
      </c>
      <c r="F8147" t="s">
        <v>7643</v>
      </c>
    </row>
    <row r="8148" spans="1:6" x14ac:dyDescent="0.25">
      <c r="A8148" t="s">
        <v>7660</v>
      </c>
      <c r="B8148" t="s">
        <v>4452</v>
      </c>
      <c r="C8148" t="s">
        <v>4048</v>
      </c>
      <c r="D8148" t="str">
        <f>HYPERLINK("http://service.sap.com/sap/support/notes/1575213","1575213")</f>
        <v>1575213</v>
      </c>
      <c r="E8148">
        <v>1</v>
      </c>
      <c r="F8148" t="s">
        <v>7644</v>
      </c>
    </row>
    <row r="8149" spans="1:6" x14ac:dyDescent="0.25">
      <c r="A8149" t="s">
        <v>7660</v>
      </c>
      <c r="B8149" t="s">
        <v>4452</v>
      </c>
      <c r="C8149" t="s">
        <v>4048</v>
      </c>
      <c r="D8149" t="str">
        <f>HYPERLINK("http://service.sap.com/sap/support/notes/1577417","1577417")</f>
        <v>1577417</v>
      </c>
      <c r="E8149">
        <v>1</v>
      </c>
      <c r="F8149" t="s">
        <v>7645</v>
      </c>
    </row>
    <row r="8150" spans="1:6" x14ac:dyDescent="0.25">
      <c r="A8150" t="s">
        <v>7660</v>
      </c>
      <c r="B8150" t="s">
        <v>4452</v>
      </c>
      <c r="C8150" t="s">
        <v>4048</v>
      </c>
      <c r="D8150" t="str">
        <f>HYPERLINK("http://service.sap.com/sap/support/notes/1584128","1584128")</f>
        <v>1584128</v>
      </c>
      <c r="E8150">
        <v>1</v>
      </c>
      <c r="F8150" t="s">
        <v>7646</v>
      </c>
    </row>
    <row r="8151" spans="1:6" x14ac:dyDescent="0.25">
      <c r="A8151" t="s">
        <v>7660</v>
      </c>
      <c r="B8151" t="s">
        <v>4452</v>
      </c>
      <c r="C8151" t="s">
        <v>4048</v>
      </c>
      <c r="D8151" t="str">
        <f>HYPERLINK("http://service.sap.com/sap/support/notes/1586731","1586731")</f>
        <v>1586731</v>
      </c>
      <c r="E8151">
        <v>1</v>
      </c>
      <c r="F8151" t="s">
        <v>7647</v>
      </c>
    </row>
    <row r="8152" spans="1:6" x14ac:dyDescent="0.25">
      <c r="A8152" t="s">
        <v>7660</v>
      </c>
      <c r="B8152" t="s">
        <v>4452</v>
      </c>
      <c r="C8152" t="s">
        <v>4048</v>
      </c>
      <c r="D8152" t="str">
        <f>HYPERLINK("http://service.sap.com/sap/support/notes/1587120","1587120")</f>
        <v>1587120</v>
      </c>
      <c r="E8152">
        <v>1</v>
      </c>
      <c r="F8152" t="s">
        <v>7648</v>
      </c>
    </row>
    <row r="8153" spans="1:6" x14ac:dyDescent="0.25">
      <c r="A8153" t="s">
        <v>7660</v>
      </c>
      <c r="B8153" t="s">
        <v>4452</v>
      </c>
      <c r="C8153" t="s">
        <v>4048</v>
      </c>
      <c r="D8153" t="str">
        <f>HYPERLINK("http://service.sap.com/sap/support/notes/1590258","1590258")</f>
        <v>1590258</v>
      </c>
      <c r="E8153">
        <v>2</v>
      </c>
      <c r="F8153" t="s">
        <v>7649</v>
      </c>
    </row>
    <row r="8154" spans="1:6" x14ac:dyDescent="0.25">
      <c r="A8154" t="s">
        <v>7660</v>
      </c>
      <c r="B8154" t="s">
        <v>874</v>
      </c>
      <c r="C8154" t="s">
        <v>875</v>
      </c>
      <c r="D8154" t="str">
        <f>HYPERLINK("http://service.sap.com/sap/support/notes/1545510","1545510")</f>
        <v>1545510</v>
      </c>
      <c r="E8154">
        <v>1</v>
      </c>
      <c r="F8154" t="s">
        <v>3599</v>
      </c>
    </row>
    <row r="8155" spans="1:6" x14ac:dyDescent="0.25">
      <c r="A8155" t="s">
        <v>7660</v>
      </c>
      <c r="B8155" t="s">
        <v>131</v>
      </c>
      <c r="C8155" t="s">
        <v>132</v>
      </c>
    </row>
    <row r="8156" spans="1:6" x14ac:dyDescent="0.25">
      <c r="A8156" t="s">
        <v>7660</v>
      </c>
      <c r="B8156" t="s">
        <v>155</v>
      </c>
      <c r="C8156" t="s">
        <v>156</v>
      </c>
      <c r="D8156" t="str">
        <f>HYPERLINK("http://service.sap.com/sap/support/notes/1579522","1579522")</f>
        <v>1579522</v>
      </c>
      <c r="E8156">
        <v>3</v>
      </c>
      <c r="F8156" t="s">
        <v>3616</v>
      </c>
    </row>
    <row r="8157" spans="1:6" x14ac:dyDescent="0.25">
      <c r="A8157" t="s">
        <v>7660</v>
      </c>
      <c r="B8157" t="s">
        <v>155</v>
      </c>
      <c r="C8157" t="s">
        <v>156</v>
      </c>
      <c r="D8157" t="str">
        <f>HYPERLINK("http://service.sap.com/sap/support/notes/1581596","1581596")</f>
        <v>1581596</v>
      </c>
      <c r="E8157">
        <v>1</v>
      </c>
      <c r="F8157" t="s">
        <v>3617</v>
      </c>
    </row>
    <row r="8158" spans="1:6" x14ac:dyDescent="0.25">
      <c r="A8158" t="s">
        <v>7660</v>
      </c>
      <c r="B8158" t="s">
        <v>155</v>
      </c>
      <c r="C8158" t="s">
        <v>156</v>
      </c>
      <c r="D8158" t="str">
        <f>HYPERLINK("http://service.sap.com/sap/support/notes/1581824","1581824")</f>
        <v>1581824</v>
      </c>
      <c r="E8158">
        <v>2</v>
      </c>
      <c r="F8158" t="s">
        <v>3618</v>
      </c>
    </row>
    <row r="8159" spans="1:6" x14ac:dyDescent="0.25">
      <c r="A8159" t="s">
        <v>7660</v>
      </c>
      <c r="B8159" t="s">
        <v>155</v>
      </c>
      <c r="C8159" t="s">
        <v>156</v>
      </c>
      <c r="D8159" t="str">
        <f>HYPERLINK("http://service.sap.com/sap/support/notes/1584045","1584045")</f>
        <v>1584045</v>
      </c>
      <c r="E8159">
        <v>1</v>
      </c>
      <c r="F8159" t="s">
        <v>3620</v>
      </c>
    </row>
    <row r="8160" spans="1:6" x14ac:dyDescent="0.25">
      <c r="A8160" t="s">
        <v>7660</v>
      </c>
      <c r="B8160" t="s">
        <v>155</v>
      </c>
      <c r="C8160" t="s">
        <v>156</v>
      </c>
      <c r="D8160" t="str">
        <f>HYPERLINK("http://service.sap.com/sap/support/notes/1586026","1586026")</f>
        <v>1586026</v>
      </c>
      <c r="E8160">
        <v>1</v>
      </c>
      <c r="F8160" t="s">
        <v>7499</v>
      </c>
    </row>
    <row r="8161" spans="1:6" x14ac:dyDescent="0.25">
      <c r="A8161" t="s">
        <v>7660</v>
      </c>
      <c r="B8161" t="s">
        <v>171</v>
      </c>
      <c r="C8161" t="s">
        <v>153</v>
      </c>
    </row>
    <row r="8162" spans="1:6" x14ac:dyDescent="0.25">
      <c r="A8162" t="s">
        <v>7660</v>
      </c>
      <c r="B8162" t="s">
        <v>7650</v>
      </c>
      <c r="C8162" t="s">
        <v>7651</v>
      </c>
      <c r="D8162" t="str">
        <f>HYPERLINK("http://service.sap.com/sap/support/notes/1568272","1568272")</f>
        <v>1568272</v>
      </c>
      <c r="E8162">
        <v>7</v>
      </c>
      <c r="F8162" t="s">
        <v>7652</v>
      </c>
    </row>
    <row r="8163" spans="1:6" x14ac:dyDescent="0.25">
      <c r="A8163" t="s">
        <v>7660</v>
      </c>
      <c r="B8163" t="s">
        <v>201</v>
      </c>
      <c r="C8163" t="s">
        <v>202</v>
      </c>
    </row>
    <row r="8164" spans="1:6" x14ac:dyDescent="0.25">
      <c r="A8164" t="s">
        <v>7660</v>
      </c>
      <c r="B8164" t="s">
        <v>964</v>
      </c>
      <c r="C8164" t="s">
        <v>299</v>
      </c>
      <c r="D8164" t="str">
        <f>HYPERLINK("http://service.sap.com/sap/support/notes/1569636","1569636")</f>
        <v>1569636</v>
      </c>
      <c r="E8164">
        <v>2</v>
      </c>
      <c r="F8164" t="s">
        <v>3651</v>
      </c>
    </row>
    <row r="8165" spans="1:6" x14ac:dyDescent="0.25">
      <c r="A8165" t="s">
        <v>7660</v>
      </c>
      <c r="B8165" t="s">
        <v>223</v>
      </c>
      <c r="C8165" t="s">
        <v>49</v>
      </c>
      <c r="D8165" t="str">
        <f>HYPERLINK("http://service.sap.com/sap/support/notes/1578359","1578359")</f>
        <v>1578359</v>
      </c>
      <c r="E8165">
        <v>1</v>
      </c>
      <c r="F8165" t="s">
        <v>3674</v>
      </c>
    </row>
    <row r="8166" spans="1:6" x14ac:dyDescent="0.25">
      <c r="A8166" t="s">
        <v>7660</v>
      </c>
      <c r="B8166" t="s">
        <v>226</v>
      </c>
      <c r="C8166" t="s">
        <v>52</v>
      </c>
    </row>
    <row r="8167" spans="1:6" x14ac:dyDescent="0.25">
      <c r="A8167" t="s">
        <v>7660</v>
      </c>
      <c r="B8167" t="s">
        <v>273</v>
      </c>
      <c r="C8167" t="s">
        <v>153</v>
      </c>
      <c r="D8167" t="str">
        <f>HYPERLINK("http://service.sap.com/sap/support/notes/1574232","1574232")</f>
        <v>1574232</v>
      </c>
      <c r="E8167">
        <v>1</v>
      </c>
      <c r="F8167" t="s">
        <v>3704</v>
      </c>
    </row>
    <row r="8168" spans="1:6" x14ac:dyDescent="0.25">
      <c r="A8168" t="s">
        <v>7660</v>
      </c>
      <c r="B8168" t="s">
        <v>284</v>
      </c>
      <c r="C8168" t="s">
        <v>285</v>
      </c>
      <c r="D8168" t="str">
        <f>HYPERLINK("http://service.sap.com/sap/support/notes/1583995","1583995")</f>
        <v>1583995</v>
      </c>
      <c r="E8168">
        <v>1</v>
      </c>
      <c r="F8168" t="s">
        <v>3717</v>
      </c>
    </row>
    <row r="8169" spans="1:6" x14ac:dyDescent="0.25">
      <c r="A8169" t="s">
        <v>7660</v>
      </c>
      <c r="B8169" t="s">
        <v>343</v>
      </c>
      <c r="C8169" t="s">
        <v>344</v>
      </c>
      <c r="D8169" t="str">
        <f>HYPERLINK("http://service.sap.com/sap/support/notes/1576174","1576174")</f>
        <v>1576174</v>
      </c>
      <c r="E8169">
        <v>2</v>
      </c>
      <c r="F8169" t="s">
        <v>7653</v>
      </c>
    </row>
    <row r="8170" spans="1:6" x14ac:dyDescent="0.25">
      <c r="A8170" t="s">
        <v>7660</v>
      </c>
      <c r="B8170" t="s">
        <v>363</v>
      </c>
      <c r="C8170" t="s">
        <v>74</v>
      </c>
    </row>
    <row r="8171" spans="1:6" x14ac:dyDescent="0.25">
      <c r="A8171" t="s">
        <v>7660</v>
      </c>
      <c r="B8171" t="s">
        <v>371</v>
      </c>
      <c r="C8171" t="s">
        <v>372</v>
      </c>
      <c r="D8171" t="str">
        <f>HYPERLINK("http://service.sap.com/sap/support/notes/1553567","1553567")</f>
        <v>1553567</v>
      </c>
      <c r="E8171">
        <v>1</v>
      </c>
      <c r="F8171" t="s">
        <v>7654</v>
      </c>
    </row>
    <row r="8172" spans="1:6" x14ac:dyDescent="0.25">
      <c r="A8172" t="s">
        <v>7660</v>
      </c>
      <c r="B8172" t="s">
        <v>460</v>
      </c>
      <c r="C8172" t="s">
        <v>461</v>
      </c>
      <c r="D8172" t="str">
        <f>HYPERLINK("http://service.sap.com/sap/support/notes/1586908","1586908")</f>
        <v>1586908</v>
      </c>
      <c r="E8172">
        <v>1</v>
      </c>
      <c r="F8172" t="s">
        <v>7655</v>
      </c>
    </row>
    <row r="8173" spans="1:6" x14ac:dyDescent="0.25">
      <c r="A8173" t="s">
        <v>7660</v>
      </c>
      <c r="B8173" t="s">
        <v>499</v>
      </c>
      <c r="C8173" t="s">
        <v>108</v>
      </c>
    </row>
    <row r="8174" spans="1:6" x14ac:dyDescent="0.25">
      <c r="A8174" t="s">
        <v>7660</v>
      </c>
      <c r="B8174" t="s">
        <v>1269</v>
      </c>
      <c r="C8174" t="s">
        <v>1270</v>
      </c>
      <c r="D8174" t="str">
        <f>HYPERLINK("http://service.sap.com/sap/support/notes/1568215","1568215")</f>
        <v>1568215</v>
      </c>
      <c r="E8174">
        <v>4</v>
      </c>
      <c r="F8174" t="s">
        <v>7656</v>
      </c>
    </row>
    <row r="8175" spans="1:6" x14ac:dyDescent="0.25">
      <c r="A8175" t="s">
        <v>7660</v>
      </c>
      <c r="B8175" t="s">
        <v>4181</v>
      </c>
      <c r="C8175" t="s">
        <v>4182</v>
      </c>
      <c r="D8175" t="str">
        <f>HYPERLINK("http://service.sap.com/sap/support/notes/1381421","1381421")</f>
        <v>1381421</v>
      </c>
      <c r="E8175">
        <v>5</v>
      </c>
      <c r="F8175" t="s">
        <v>7657</v>
      </c>
    </row>
    <row r="8176" spans="1:6" x14ac:dyDescent="0.25">
      <c r="A8176" t="s">
        <v>7660</v>
      </c>
      <c r="B8176" t="s">
        <v>531</v>
      </c>
      <c r="C8176" t="s">
        <v>532</v>
      </c>
    </row>
    <row r="8177" spans="1:6" x14ac:dyDescent="0.25">
      <c r="A8177" t="s">
        <v>7660</v>
      </c>
      <c r="B8177" t="s">
        <v>1320</v>
      </c>
      <c r="C8177" t="s">
        <v>1321</v>
      </c>
      <c r="D8177" t="str">
        <f>HYPERLINK("http://service.sap.com/sap/support/notes/1554268","1554268")</f>
        <v>1554268</v>
      </c>
      <c r="E8177">
        <v>3</v>
      </c>
      <c r="F8177" t="s">
        <v>7658</v>
      </c>
    </row>
    <row r="8178" spans="1:6" x14ac:dyDescent="0.25">
      <c r="A8178" t="s">
        <v>7660</v>
      </c>
      <c r="B8178" t="s">
        <v>1361</v>
      </c>
      <c r="C8178" t="s">
        <v>1362</v>
      </c>
      <c r="D8178" t="str">
        <f>HYPERLINK("http://service.sap.com/sap/support/notes/1550805","1550805")</f>
        <v>1550805</v>
      </c>
      <c r="E8178">
        <v>1</v>
      </c>
      <c r="F8178" t="s">
        <v>7659</v>
      </c>
    </row>
    <row r="8179" spans="1:6" x14ac:dyDescent="0.25">
      <c r="A8179" t="s">
        <v>7660</v>
      </c>
      <c r="B8179" t="s">
        <v>1380</v>
      </c>
      <c r="C8179" t="s">
        <v>4465</v>
      </c>
      <c r="D8179" t="str">
        <f>HYPERLINK("http://service.sap.com/sap/support/notes/1590055","1590055")</f>
        <v>1590055</v>
      </c>
      <c r="E8179">
        <v>1</v>
      </c>
      <c r="F8179" t="s">
        <v>4012</v>
      </c>
    </row>
    <row r="8180" spans="1:6" x14ac:dyDescent="0.25">
      <c r="A8180" t="s">
        <v>4196</v>
      </c>
      <c r="B8180" t="s">
        <v>5</v>
      </c>
      <c r="C8180" t="s">
        <v>6</v>
      </c>
    </row>
    <row r="8181" spans="1:6" x14ac:dyDescent="0.25">
      <c r="A8181" t="s">
        <v>4196</v>
      </c>
      <c r="B8181" t="s">
        <v>7</v>
      </c>
      <c r="C8181" t="s">
        <v>8</v>
      </c>
    </row>
    <row r="8182" spans="1:6" x14ac:dyDescent="0.25">
      <c r="A8182" t="s">
        <v>4196</v>
      </c>
      <c r="B8182" t="s">
        <v>9</v>
      </c>
      <c r="C8182" t="s">
        <v>10</v>
      </c>
      <c r="D8182" t="str">
        <f>HYPERLINK("http://service.sap.com/sap/support/notes/1559381","1559381")</f>
        <v>1559381</v>
      </c>
      <c r="E8182">
        <v>4</v>
      </c>
      <c r="F8182" t="s">
        <v>4035</v>
      </c>
    </row>
    <row r="8183" spans="1:6" x14ac:dyDescent="0.25">
      <c r="A8183" t="s">
        <v>4196</v>
      </c>
      <c r="B8183" t="s">
        <v>12</v>
      </c>
      <c r="C8183" t="s">
        <v>13</v>
      </c>
      <c r="D8183" t="str">
        <f>HYPERLINK("http://service.sap.com/sap/support/notes/1485232","1485232")</f>
        <v>1485232</v>
      </c>
      <c r="E8183">
        <v>3</v>
      </c>
      <c r="F8183" t="s">
        <v>4036</v>
      </c>
    </row>
    <row r="8184" spans="1:6" x14ac:dyDescent="0.25">
      <c r="A8184" t="s">
        <v>4196</v>
      </c>
      <c r="B8184" t="s">
        <v>573</v>
      </c>
      <c r="C8184" t="s">
        <v>4037</v>
      </c>
    </row>
    <row r="8185" spans="1:6" x14ac:dyDescent="0.25">
      <c r="A8185" t="s">
        <v>4196</v>
      </c>
      <c r="B8185" t="s">
        <v>4038</v>
      </c>
      <c r="C8185" t="s">
        <v>4039</v>
      </c>
    </row>
    <row r="8186" spans="1:6" x14ac:dyDescent="0.25">
      <c r="A8186" t="s">
        <v>4196</v>
      </c>
      <c r="B8186" t="s">
        <v>4040</v>
      </c>
      <c r="C8186" t="s">
        <v>4041</v>
      </c>
      <c r="D8186" t="str">
        <f>HYPERLINK("http://service.sap.com/sap/support/notes/1591702","1591702")</f>
        <v>1591702</v>
      </c>
      <c r="E8186">
        <v>1</v>
      </c>
      <c r="F8186" t="s">
        <v>4042</v>
      </c>
    </row>
    <row r="8187" spans="1:6" x14ac:dyDescent="0.25">
      <c r="A8187" t="s">
        <v>4196</v>
      </c>
      <c r="B8187" t="s">
        <v>4043</v>
      </c>
      <c r="C8187" t="s">
        <v>4044</v>
      </c>
    </row>
    <row r="8188" spans="1:6" x14ac:dyDescent="0.25">
      <c r="A8188" t="s">
        <v>4196</v>
      </c>
      <c r="B8188" t="s">
        <v>4045</v>
      </c>
      <c r="C8188" t="s">
        <v>4046</v>
      </c>
    </row>
    <row r="8189" spans="1:6" x14ac:dyDescent="0.25">
      <c r="A8189" t="s">
        <v>4196</v>
      </c>
      <c r="B8189" t="s">
        <v>4047</v>
      </c>
      <c r="C8189" t="s">
        <v>4048</v>
      </c>
      <c r="D8189" t="str">
        <f>HYPERLINK("http://service.sap.com/sap/support/notes/1592824","1592824")</f>
        <v>1592824</v>
      </c>
      <c r="E8189">
        <v>1</v>
      </c>
      <c r="F8189" t="s">
        <v>4049</v>
      </c>
    </row>
    <row r="8190" spans="1:6" x14ac:dyDescent="0.25">
      <c r="A8190" t="s">
        <v>4196</v>
      </c>
      <c r="B8190" t="s">
        <v>20</v>
      </c>
      <c r="C8190" t="s">
        <v>21</v>
      </c>
    </row>
    <row r="8191" spans="1:6" x14ac:dyDescent="0.25">
      <c r="A8191" t="s">
        <v>4196</v>
      </c>
      <c r="B8191" t="s">
        <v>22</v>
      </c>
      <c r="C8191" t="s">
        <v>23</v>
      </c>
      <c r="D8191" t="str">
        <f>HYPERLINK("http://service.sap.com/sap/support/notes/1581932","1581932")</f>
        <v>1581932</v>
      </c>
      <c r="E8191">
        <v>1</v>
      </c>
      <c r="F8191" t="s">
        <v>4050</v>
      </c>
    </row>
    <row r="8192" spans="1:6" x14ac:dyDescent="0.25">
      <c r="A8192" t="s">
        <v>4196</v>
      </c>
      <c r="B8192" t="s">
        <v>22</v>
      </c>
      <c r="C8192" t="s">
        <v>23</v>
      </c>
      <c r="D8192" t="str">
        <f>HYPERLINK("http://service.sap.com/sap/support/notes/1593335","1593335")</f>
        <v>1593335</v>
      </c>
      <c r="E8192">
        <v>1</v>
      </c>
      <c r="F8192" t="s">
        <v>4051</v>
      </c>
    </row>
    <row r="8193" spans="1:6" x14ac:dyDescent="0.25">
      <c r="A8193" t="s">
        <v>4196</v>
      </c>
      <c r="B8193" t="s">
        <v>22</v>
      </c>
      <c r="C8193" t="s">
        <v>23</v>
      </c>
      <c r="D8193" t="str">
        <f>HYPERLINK("http://service.sap.com/sap/support/notes/1593819","1593819")</f>
        <v>1593819</v>
      </c>
      <c r="E8193">
        <v>1</v>
      </c>
      <c r="F8193" t="s">
        <v>4052</v>
      </c>
    </row>
    <row r="8194" spans="1:6" x14ac:dyDescent="0.25">
      <c r="A8194" t="s">
        <v>4196</v>
      </c>
      <c r="B8194" t="s">
        <v>22</v>
      </c>
      <c r="C8194" t="s">
        <v>23</v>
      </c>
      <c r="D8194" t="str">
        <f>HYPERLINK("http://service.sap.com/sap/support/notes/1595120","1595120")</f>
        <v>1595120</v>
      </c>
      <c r="E8194">
        <v>1</v>
      </c>
      <c r="F8194" t="s">
        <v>209</v>
      </c>
    </row>
    <row r="8195" spans="1:6" x14ac:dyDescent="0.25">
      <c r="A8195" t="s">
        <v>4196</v>
      </c>
      <c r="B8195" t="s">
        <v>22</v>
      </c>
      <c r="C8195" t="s">
        <v>23</v>
      </c>
      <c r="D8195" t="str">
        <f>HYPERLINK("http://service.sap.com/sap/support/notes/1596193","1596193")</f>
        <v>1596193</v>
      </c>
      <c r="E8195">
        <v>1</v>
      </c>
      <c r="F8195" t="s">
        <v>4053</v>
      </c>
    </row>
    <row r="8196" spans="1:6" x14ac:dyDescent="0.25">
      <c r="A8196" t="s">
        <v>4196</v>
      </c>
      <c r="B8196" t="s">
        <v>22</v>
      </c>
      <c r="C8196" t="s">
        <v>23</v>
      </c>
      <c r="D8196" t="str">
        <f>HYPERLINK("http://service.sap.com/sap/support/notes/1600529","1600529")</f>
        <v>1600529</v>
      </c>
      <c r="E8196">
        <v>2</v>
      </c>
      <c r="F8196" t="s">
        <v>4054</v>
      </c>
    </row>
    <row r="8197" spans="1:6" x14ac:dyDescent="0.25">
      <c r="A8197" t="s">
        <v>4196</v>
      </c>
      <c r="B8197" t="s">
        <v>22</v>
      </c>
      <c r="C8197" t="s">
        <v>23</v>
      </c>
      <c r="D8197" t="str">
        <f>HYPERLINK("http://service.sap.com/sap/support/notes/1600865","1600865")</f>
        <v>1600865</v>
      </c>
      <c r="E8197">
        <v>1</v>
      </c>
      <c r="F8197" t="s">
        <v>4051</v>
      </c>
    </row>
    <row r="8198" spans="1:6" x14ac:dyDescent="0.25">
      <c r="A8198" t="s">
        <v>4196</v>
      </c>
      <c r="B8198" t="s">
        <v>22</v>
      </c>
      <c r="C8198" t="s">
        <v>23</v>
      </c>
      <c r="D8198" t="str">
        <f>HYPERLINK("http://service.sap.com/sap/support/notes/1601094","1601094")</f>
        <v>1601094</v>
      </c>
      <c r="E8198">
        <v>1</v>
      </c>
      <c r="F8198" t="s">
        <v>4055</v>
      </c>
    </row>
    <row r="8199" spans="1:6" x14ac:dyDescent="0.25">
      <c r="A8199" t="s">
        <v>4196</v>
      </c>
      <c r="B8199" t="s">
        <v>24</v>
      </c>
      <c r="C8199" t="s">
        <v>25</v>
      </c>
      <c r="D8199" t="str">
        <f>HYPERLINK("http://service.sap.com/sap/support/notes/1537166","1537166")</f>
        <v>1537166</v>
      </c>
      <c r="E8199">
        <v>2</v>
      </c>
      <c r="F8199" t="s">
        <v>4056</v>
      </c>
    </row>
    <row r="8200" spans="1:6" x14ac:dyDescent="0.25">
      <c r="A8200" t="s">
        <v>4196</v>
      </c>
      <c r="B8200" t="s">
        <v>24</v>
      </c>
      <c r="C8200" t="s">
        <v>25</v>
      </c>
      <c r="D8200" t="str">
        <f>HYPERLINK("http://service.sap.com/sap/support/notes/1584816","1584816")</f>
        <v>1584816</v>
      </c>
      <c r="E8200">
        <v>1</v>
      </c>
      <c r="F8200" t="s">
        <v>4057</v>
      </c>
    </row>
    <row r="8201" spans="1:6" x14ac:dyDescent="0.25">
      <c r="A8201" t="s">
        <v>4196</v>
      </c>
      <c r="B8201" t="s">
        <v>24</v>
      </c>
      <c r="C8201" t="s">
        <v>25</v>
      </c>
      <c r="D8201" t="str">
        <f>HYPERLINK("http://service.sap.com/sap/support/notes/1587170","1587170")</f>
        <v>1587170</v>
      </c>
      <c r="E8201">
        <v>2</v>
      </c>
      <c r="F8201" t="s">
        <v>4058</v>
      </c>
    </row>
    <row r="8202" spans="1:6" x14ac:dyDescent="0.25">
      <c r="A8202" t="s">
        <v>4196</v>
      </c>
      <c r="B8202" t="s">
        <v>24</v>
      </c>
      <c r="C8202" t="s">
        <v>25</v>
      </c>
      <c r="D8202" t="str">
        <f>HYPERLINK("http://service.sap.com/sap/support/notes/1590015","1590015")</f>
        <v>1590015</v>
      </c>
      <c r="E8202">
        <v>4</v>
      </c>
      <c r="F8202" t="s">
        <v>4059</v>
      </c>
    </row>
    <row r="8203" spans="1:6" x14ac:dyDescent="0.25">
      <c r="A8203" t="s">
        <v>4196</v>
      </c>
      <c r="B8203" t="s">
        <v>24</v>
      </c>
      <c r="C8203" t="s">
        <v>25</v>
      </c>
      <c r="D8203" t="str">
        <f>HYPERLINK("http://service.sap.com/sap/support/notes/1591270","1591270")</f>
        <v>1591270</v>
      </c>
      <c r="E8203">
        <v>4</v>
      </c>
      <c r="F8203" t="s">
        <v>4060</v>
      </c>
    </row>
    <row r="8204" spans="1:6" x14ac:dyDescent="0.25">
      <c r="A8204" t="s">
        <v>4196</v>
      </c>
      <c r="B8204" t="s">
        <v>24</v>
      </c>
      <c r="C8204" t="s">
        <v>25</v>
      </c>
      <c r="D8204" t="str">
        <f>HYPERLINK("http://service.sap.com/sap/support/notes/1591293","1591293")</f>
        <v>1591293</v>
      </c>
      <c r="E8204">
        <v>1</v>
      </c>
      <c r="F8204" t="s">
        <v>4061</v>
      </c>
    </row>
    <row r="8205" spans="1:6" x14ac:dyDescent="0.25">
      <c r="A8205" t="s">
        <v>4196</v>
      </c>
      <c r="B8205" t="s">
        <v>24</v>
      </c>
      <c r="C8205" t="s">
        <v>25</v>
      </c>
      <c r="D8205" t="str">
        <f>HYPERLINK("http://service.sap.com/sap/support/notes/1593877","1593877")</f>
        <v>1593877</v>
      </c>
      <c r="E8205">
        <v>1</v>
      </c>
      <c r="F8205" t="s">
        <v>4062</v>
      </c>
    </row>
    <row r="8206" spans="1:6" x14ac:dyDescent="0.25">
      <c r="A8206" t="s">
        <v>4196</v>
      </c>
      <c r="B8206" t="s">
        <v>24</v>
      </c>
      <c r="C8206" t="s">
        <v>25</v>
      </c>
      <c r="D8206" t="str">
        <f>HYPERLINK("http://service.sap.com/sap/support/notes/1595270","1595270")</f>
        <v>1595270</v>
      </c>
      <c r="E8206">
        <v>1</v>
      </c>
      <c r="F8206" t="s">
        <v>4063</v>
      </c>
    </row>
    <row r="8207" spans="1:6" x14ac:dyDescent="0.25">
      <c r="A8207" t="s">
        <v>4196</v>
      </c>
      <c r="B8207" t="s">
        <v>24</v>
      </c>
      <c r="C8207" t="s">
        <v>25</v>
      </c>
      <c r="D8207" t="str">
        <f>HYPERLINK("http://service.sap.com/sap/support/notes/1595314","1595314")</f>
        <v>1595314</v>
      </c>
      <c r="E8207">
        <v>2</v>
      </c>
      <c r="F8207" t="s">
        <v>4064</v>
      </c>
    </row>
    <row r="8208" spans="1:6" x14ac:dyDescent="0.25">
      <c r="A8208" t="s">
        <v>4196</v>
      </c>
      <c r="B8208" t="s">
        <v>24</v>
      </c>
      <c r="C8208" t="s">
        <v>25</v>
      </c>
      <c r="D8208" t="str">
        <f>HYPERLINK("http://service.sap.com/sap/support/notes/1597132","1597132")</f>
        <v>1597132</v>
      </c>
      <c r="E8208">
        <v>1</v>
      </c>
      <c r="F8208" t="s">
        <v>4065</v>
      </c>
    </row>
    <row r="8209" spans="1:6" x14ac:dyDescent="0.25">
      <c r="A8209" t="s">
        <v>4196</v>
      </c>
      <c r="B8209" t="s">
        <v>24</v>
      </c>
      <c r="C8209" t="s">
        <v>25</v>
      </c>
      <c r="D8209" t="str">
        <f>HYPERLINK("http://service.sap.com/sap/support/notes/1597200","1597200")</f>
        <v>1597200</v>
      </c>
      <c r="E8209">
        <v>1</v>
      </c>
      <c r="F8209" t="s">
        <v>4066</v>
      </c>
    </row>
    <row r="8210" spans="1:6" x14ac:dyDescent="0.25">
      <c r="A8210" t="s">
        <v>4196</v>
      </c>
      <c r="B8210" t="s">
        <v>24</v>
      </c>
      <c r="C8210" t="s">
        <v>25</v>
      </c>
      <c r="D8210" t="str">
        <f>HYPERLINK("http://service.sap.com/sap/support/notes/1597744","1597744")</f>
        <v>1597744</v>
      </c>
      <c r="E8210">
        <v>2</v>
      </c>
      <c r="F8210" t="s">
        <v>4067</v>
      </c>
    </row>
    <row r="8211" spans="1:6" x14ac:dyDescent="0.25">
      <c r="A8211" t="s">
        <v>4196</v>
      </c>
      <c r="B8211" t="s">
        <v>24</v>
      </c>
      <c r="C8211" t="s">
        <v>25</v>
      </c>
      <c r="D8211" t="str">
        <f>HYPERLINK("http://service.sap.com/sap/support/notes/1598159","1598159")</f>
        <v>1598159</v>
      </c>
      <c r="E8211">
        <v>1</v>
      </c>
      <c r="F8211" t="s">
        <v>4068</v>
      </c>
    </row>
    <row r="8212" spans="1:6" x14ac:dyDescent="0.25">
      <c r="A8212" t="s">
        <v>4196</v>
      </c>
      <c r="B8212" t="s">
        <v>24</v>
      </c>
      <c r="C8212" t="s">
        <v>25</v>
      </c>
      <c r="D8212" t="str">
        <f>HYPERLINK("http://service.sap.com/sap/support/notes/1598688","1598688")</f>
        <v>1598688</v>
      </c>
      <c r="E8212">
        <v>1</v>
      </c>
      <c r="F8212" t="s">
        <v>4069</v>
      </c>
    </row>
    <row r="8213" spans="1:6" x14ac:dyDescent="0.25">
      <c r="A8213" t="s">
        <v>4196</v>
      </c>
      <c r="B8213" t="s">
        <v>24</v>
      </c>
      <c r="C8213" t="s">
        <v>25</v>
      </c>
      <c r="D8213" t="str">
        <f>HYPERLINK("http://service.sap.com/sap/support/notes/1598703","1598703")</f>
        <v>1598703</v>
      </c>
      <c r="E8213">
        <v>1</v>
      </c>
      <c r="F8213" t="s">
        <v>4070</v>
      </c>
    </row>
    <row r="8214" spans="1:6" x14ac:dyDescent="0.25">
      <c r="A8214" t="s">
        <v>4196</v>
      </c>
      <c r="B8214" t="s">
        <v>24</v>
      </c>
      <c r="C8214" t="s">
        <v>25</v>
      </c>
      <c r="D8214" t="str">
        <f>HYPERLINK("http://service.sap.com/sap/support/notes/1598711","1598711")</f>
        <v>1598711</v>
      </c>
      <c r="E8214">
        <v>1</v>
      </c>
      <c r="F8214" t="s">
        <v>4071</v>
      </c>
    </row>
    <row r="8215" spans="1:6" x14ac:dyDescent="0.25">
      <c r="A8215" t="s">
        <v>4196</v>
      </c>
      <c r="B8215" t="s">
        <v>24</v>
      </c>
      <c r="C8215" t="s">
        <v>25</v>
      </c>
      <c r="D8215" t="str">
        <f>HYPERLINK("http://service.sap.com/sap/support/notes/1599200","1599200")</f>
        <v>1599200</v>
      </c>
      <c r="E8215">
        <v>3</v>
      </c>
      <c r="F8215" t="s">
        <v>4072</v>
      </c>
    </row>
    <row r="8216" spans="1:6" x14ac:dyDescent="0.25">
      <c r="A8216" t="s">
        <v>4196</v>
      </c>
      <c r="B8216" t="s">
        <v>24</v>
      </c>
      <c r="C8216" t="s">
        <v>25</v>
      </c>
      <c r="D8216" t="str">
        <f>HYPERLINK("http://service.sap.com/sap/support/notes/1600711","1600711")</f>
        <v>1600711</v>
      </c>
      <c r="E8216">
        <v>1</v>
      </c>
      <c r="F8216" t="s">
        <v>4073</v>
      </c>
    </row>
    <row r="8217" spans="1:6" x14ac:dyDescent="0.25">
      <c r="A8217" t="s">
        <v>4196</v>
      </c>
      <c r="B8217" t="s">
        <v>4074</v>
      </c>
      <c r="C8217" t="s">
        <v>4075</v>
      </c>
      <c r="D8217" t="str">
        <f>HYPERLINK("http://service.sap.com/sap/support/notes/1584261","1584261")</f>
        <v>1584261</v>
      </c>
      <c r="E8217">
        <v>1</v>
      </c>
      <c r="F8217" t="s">
        <v>4076</v>
      </c>
    </row>
    <row r="8218" spans="1:6" x14ac:dyDescent="0.25">
      <c r="A8218" t="s">
        <v>4196</v>
      </c>
      <c r="B8218" t="s">
        <v>4074</v>
      </c>
      <c r="C8218" t="s">
        <v>4075</v>
      </c>
      <c r="D8218" t="str">
        <f>HYPERLINK("http://service.sap.com/sap/support/notes/1584776","1584776")</f>
        <v>1584776</v>
      </c>
      <c r="E8218">
        <v>2</v>
      </c>
      <c r="F8218" t="s">
        <v>4077</v>
      </c>
    </row>
    <row r="8219" spans="1:6" x14ac:dyDescent="0.25">
      <c r="A8219" t="s">
        <v>4196</v>
      </c>
      <c r="B8219" t="s">
        <v>4074</v>
      </c>
      <c r="C8219" t="s">
        <v>4075</v>
      </c>
      <c r="D8219" t="str">
        <f>HYPERLINK("http://service.sap.com/sap/support/notes/1590947","1590947")</f>
        <v>1590947</v>
      </c>
      <c r="E8219">
        <v>1</v>
      </c>
      <c r="F8219" t="s">
        <v>4078</v>
      </c>
    </row>
    <row r="8220" spans="1:6" x14ac:dyDescent="0.25">
      <c r="A8220" t="s">
        <v>4196</v>
      </c>
      <c r="B8220" t="s">
        <v>4074</v>
      </c>
      <c r="C8220" t="s">
        <v>4075</v>
      </c>
      <c r="D8220" t="str">
        <f>HYPERLINK("http://service.sap.com/sap/support/notes/1592250","1592250")</f>
        <v>1592250</v>
      </c>
      <c r="E8220">
        <v>1</v>
      </c>
      <c r="F8220" t="s">
        <v>4079</v>
      </c>
    </row>
    <row r="8221" spans="1:6" x14ac:dyDescent="0.25">
      <c r="A8221" t="s">
        <v>4196</v>
      </c>
      <c r="B8221" t="s">
        <v>4074</v>
      </c>
      <c r="C8221" t="s">
        <v>4075</v>
      </c>
      <c r="D8221" t="str">
        <f>HYPERLINK("http://service.sap.com/sap/support/notes/1595734","1595734")</f>
        <v>1595734</v>
      </c>
      <c r="E8221">
        <v>1</v>
      </c>
      <c r="F8221" t="s">
        <v>4080</v>
      </c>
    </row>
    <row r="8222" spans="1:6" x14ac:dyDescent="0.25">
      <c r="A8222" t="s">
        <v>4196</v>
      </c>
      <c r="B8222" t="s">
        <v>4081</v>
      </c>
      <c r="C8222" t="s">
        <v>4082</v>
      </c>
      <c r="D8222" t="str">
        <f>HYPERLINK("http://service.sap.com/sap/support/notes/1127945","1127945")</f>
        <v>1127945</v>
      </c>
      <c r="E8222">
        <v>5</v>
      </c>
      <c r="F8222" t="s">
        <v>4083</v>
      </c>
    </row>
    <row r="8223" spans="1:6" x14ac:dyDescent="0.25">
      <c r="A8223" t="s">
        <v>4196</v>
      </c>
      <c r="B8223" t="s">
        <v>4081</v>
      </c>
      <c r="C8223" t="s">
        <v>4082</v>
      </c>
      <c r="D8223" t="str">
        <f>HYPERLINK("http://service.sap.com/sap/support/notes/1595180","1595180")</f>
        <v>1595180</v>
      </c>
      <c r="E8223">
        <v>1</v>
      </c>
      <c r="F8223" t="s">
        <v>4084</v>
      </c>
    </row>
    <row r="8224" spans="1:6" x14ac:dyDescent="0.25">
      <c r="A8224" t="s">
        <v>4196</v>
      </c>
      <c r="B8224" t="s">
        <v>4085</v>
      </c>
      <c r="C8224" t="s">
        <v>4086</v>
      </c>
      <c r="D8224" t="str">
        <f>HYPERLINK("http://service.sap.com/sap/support/notes/1600019","1600019")</f>
        <v>1600019</v>
      </c>
      <c r="E8224">
        <v>1</v>
      </c>
      <c r="F8224" t="s">
        <v>4087</v>
      </c>
    </row>
    <row r="8225" spans="1:6" x14ac:dyDescent="0.25">
      <c r="A8225" t="s">
        <v>4196</v>
      </c>
      <c r="B8225" t="s">
        <v>4088</v>
      </c>
      <c r="C8225" t="s">
        <v>4089</v>
      </c>
      <c r="D8225" t="str">
        <f>HYPERLINK("http://service.sap.com/sap/support/notes/1597271","1597271")</f>
        <v>1597271</v>
      </c>
      <c r="E8225">
        <v>1</v>
      </c>
      <c r="F8225" t="s">
        <v>4090</v>
      </c>
    </row>
    <row r="8226" spans="1:6" x14ac:dyDescent="0.25">
      <c r="A8226" t="s">
        <v>4196</v>
      </c>
      <c r="B8226" t="s">
        <v>27</v>
      </c>
      <c r="C8226" t="s">
        <v>13</v>
      </c>
    </row>
    <row r="8227" spans="1:6" x14ac:dyDescent="0.25">
      <c r="A8227" t="s">
        <v>4196</v>
      </c>
      <c r="B8227" t="s">
        <v>4091</v>
      </c>
      <c r="C8227" t="s">
        <v>4092</v>
      </c>
      <c r="D8227" t="str">
        <f>HYPERLINK("http://service.sap.com/sap/support/notes/1510542","1510542")</f>
        <v>1510542</v>
      </c>
      <c r="E8227">
        <v>1</v>
      </c>
      <c r="F8227" t="s">
        <v>4093</v>
      </c>
    </row>
    <row r="8228" spans="1:6" x14ac:dyDescent="0.25">
      <c r="A8228" t="s">
        <v>4196</v>
      </c>
      <c r="B8228" t="s">
        <v>4091</v>
      </c>
      <c r="C8228" t="s">
        <v>4092</v>
      </c>
      <c r="D8228" t="str">
        <f>HYPERLINK("http://service.sap.com/sap/support/notes/1591214","1591214")</f>
        <v>1591214</v>
      </c>
      <c r="E8228">
        <v>2</v>
      </c>
      <c r="F8228" t="s">
        <v>4094</v>
      </c>
    </row>
    <row r="8229" spans="1:6" x14ac:dyDescent="0.25">
      <c r="A8229" t="s">
        <v>4196</v>
      </c>
      <c r="B8229" t="s">
        <v>4091</v>
      </c>
      <c r="C8229" t="s">
        <v>4092</v>
      </c>
      <c r="D8229" t="str">
        <f>HYPERLINK("http://service.sap.com/sap/support/notes/1593386","1593386")</f>
        <v>1593386</v>
      </c>
      <c r="E8229">
        <v>2</v>
      </c>
      <c r="F8229" t="s">
        <v>4095</v>
      </c>
    </row>
    <row r="8230" spans="1:6" x14ac:dyDescent="0.25">
      <c r="A8230" t="s">
        <v>4196</v>
      </c>
      <c r="B8230" t="s">
        <v>4091</v>
      </c>
      <c r="C8230" t="s">
        <v>4092</v>
      </c>
      <c r="D8230" t="str">
        <f>HYPERLINK("http://service.sap.com/sap/support/notes/1593950","1593950")</f>
        <v>1593950</v>
      </c>
      <c r="E8230">
        <v>1</v>
      </c>
      <c r="F8230" t="s">
        <v>4096</v>
      </c>
    </row>
    <row r="8231" spans="1:6" x14ac:dyDescent="0.25">
      <c r="A8231" t="s">
        <v>4196</v>
      </c>
      <c r="B8231" t="s">
        <v>4091</v>
      </c>
      <c r="C8231" t="s">
        <v>4092</v>
      </c>
      <c r="D8231" t="str">
        <f>HYPERLINK("http://service.sap.com/sap/support/notes/1593951","1593951")</f>
        <v>1593951</v>
      </c>
      <c r="E8231">
        <v>1</v>
      </c>
      <c r="F8231" t="s">
        <v>4097</v>
      </c>
    </row>
    <row r="8232" spans="1:6" x14ac:dyDescent="0.25">
      <c r="A8232" t="s">
        <v>4196</v>
      </c>
      <c r="B8232" t="s">
        <v>4091</v>
      </c>
      <c r="C8232" t="s">
        <v>4092</v>
      </c>
      <c r="D8232" t="str">
        <f>HYPERLINK("http://service.sap.com/sap/support/notes/1596437","1596437")</f>
        <v>1596437</v>
      </c>
      <c r="E8232">
        <v>1</v>
      </c>
      <c r="F8232" t="s">
        <v>4098</v>
      </c>
    </row>
    <row r="8233" spans="1:6" x14ac:dyDescent="0.25">
      <c r="A8233" t="s">
        <v>4196</v>
      </c>
      <c r="B8233" t="s">
        <v>2161</v>
      </c>
      <c r="C8233" t="s">
        <v>2162</v>
      </c>
      <c r="D8233" t="str">
        <f>HYPERLINK("http://service.sap.com/sap/support/notes/1575785","1575785")</f>
        <v>1575785</v>
      </c>
      <c r="E8233">
        <v>4</v>
      </c>
      <c r="F8233" t="s">
        <v>4099</v>
      </c>
    </row>
    <row r="8234" spans="1:6" x14ac:dyDescent="0.25">
      <c r="A8234" t="s">
        <v>4196</v>
      </c>
      <c r="B8234" t="s">
        <v>2161</v>
      </c>
      <c r="C8234" t="s">
        <v>2162</v>
      </c>
      <c r="D8234" t="str">
        <f>HYPERLINK("http://service.sap.com/sap/support/notes/1589195","1589195")</f>
        <v>1589195</v>
      </c>
      <c r="E8234">
        <v>2</v>
      </c>
      <c r="F8234" t="s">
        <v>4100</v>
      </c>
    </row>
    <row r="8235" spans="1:6" x14ac:dyDescent="0.25">
      <c r="A8235" t="s">
        <v>4196</v>
      </c>
      <c r="B8235" t="s">
        <v>2161</v>
      </c>
      <c r="C8235" t="s">
        <v>2162</v>
      </c>
      <c r="D8235" t="str">
        <f>HYPERLINK("http://service.sap.com/sap/support/notes/1593935","1593935")</f>
        <v>1593935</v>
      </c>
      <c r="E8235">
        <v>1</v>
      </c>
      <c r="F8235" t="s">
        <v>4101</v>
      </c>
    </row>
    <row r="8236" spans="1:6" x14ac:dyDescent="0.25">
      <c r="A8236" t="s">
        <v>4196</v>
      </c>
      <c r="B8236" t="s">
        <v>2161</v>
      </c>
      <c r="C8236" t="s">
        <v>2162</v>
      </c>
      <c r="D8236" t="str">
        <f>HYPERLINK("http://service.sap.com/sap/support/notes/1595579","1595579")</f>
        <v>1595579</v>
      </c>
      <c r="E8236">
        <v>2</v>
      </c>
      <c r="F8236" t="s">
        <v>4102</v>
      </c>
    </row>
    <row r="8237" spans="1:6" x14ac:dyDescent="0.25">
      <c r="A8237" t="s">
        <v>4196</v>
      </c>
      <c r="B8237" t="s">
        <v>2161</v>
      </c>
      <c r="C8237" t="s">
        <v>2162</v>
      </c>
      <c r="D8237" t="str">
        <f>HYPERLINK("http://service.sap.com/sap/support/notes/1597602","1597602")</f>
        <v>1597602</v>
      </c>
      <c r="E8237">
        <v>1</v>
      </c>
      <c r="F8237" t="s">
        <v>4103</v>
      </c>
    </row>
    <row r="8238" spans="1:6" x14ac:dyDescent="0.25">
      <c r="A8238" t="s">
        <v>4196</v>
      </c>
      <c r="B8238" t="s">
        <v>2161</v>
      </c>
      <c r="C8238" t="s">
        <v>2162</v>
      </c>
      <c r="D8238" t="str">
        <f>HYPERLINK("http://service.sap.com/sap/support/notes/1599079","1599079")</f>
        <v>1599079</v>
      </c>
      <c r="E8238">
        <v>2</v>
      </c>
      <c r="F8238" t="s">
        <v>4104</v>
      </c>
    </row>
    <row r="8239" spans="1:6" x14ac:dyDescent="0.25">
      <c r="A8239" t="s">
        <v>4196</v>
      </c>
      <c r="B8239" t="s">
        <v>4105</v>
      </c>
      <c r="C8239" t="s">
        <v>4106</v>
      </c>
      <c r="D8239" t="str">
        <f>HYPERLINK("http://service.sap.com/sap/support/notes/1599915","1599915")</f>
        <v>1599915</v>
      </c>
      <c r="E8239">
        <v>1</v>
      </c>
      <c r="F8239" t="s">
        <v>4107</v>
      </c>
    </row>
    <row r="8240" spans="1:6" x14ac:dyDescent="0.25">
      <c r="A8240" t="s">
        <v>4196</v>
      </c>
      <c r="B8240" t="s">
        <v>4105</v>
      </c>
      <c r="C8240" t="s">
        <v>4106</v>
      </c>
      <c r="D8240" t="str">
        <f>HYPERLINK("http://service.sap.com/sap/support/notes/1600585","1600585")</f>
        <v>1600585</v>
      </c>
      <c r="E8240">
        <v>2</v>
      </c>
      <c r="F8240" t="s">
        <v>4108</v>
      </c>
    </row>
    <row r="8241" spans="1:6" x14ac:dyDescent="0.25">
      <c r="A8241" t="s">
        <v>4196</v>
      </c>
      <c r="B8241" t="s">
        <v>4109</v>
      </c>
      <c r="C8241" t="s">
        <v>4110</v>
      </c>
      <c r="D8241" t="str">
        <f>HYPERLINK("http://service.sap.com/sap/support/notes/1598012","1598012")</f>
        <v>1598012</v>
      </c>
      <c r="E8241">
        <v>1</v>
      </c>
      <c r="F8241" t="s">
        <v>4111</v>
      </c>
    </row>
    <row r="8242" spans="1:6" x14ac:dyDescent="0.25">
      <c r="A8242" t="s">
        <v>4196</v>
      </c>
      <c r="B8242" t="s">
        <v>4112</v>
      </c>
      <c r="C8242" t="s">
        <v>4113</v>
      </c>
      <c r="D8242" t="str">
        <f>HYPERLINK("http://service.sap.com/sap/support/notes/1487783","1487783")</f>
        <v>1487783</v>
      </c>
      <c r="E8242">
        <v>2</v>
      </c>
      <c r="F8242" t="s">
        <v>4114</v>
      </c>
    </row>
    <row r="8243" spans="1:6" x14ac:dyDescent="0.25">
      <c r="A8243" t="s">
        <v>4196</v>
      </c>
      <c r="B8243" t="s">
        <v>4112</v>
      </c>
      <c r="C8243" t="s">
        <v>4113</v>
      </c>
      <c r="D8243" t="str">
        <f>HYPERLINK("http://service.sap.com/sap/support/notes/1591016","1591016")</f>
        <v>1591016</v>
      </c>
      <c r="E8243">
        <v>1</v>
      </c>
      <c r="F8243" t="s">
        <v>4115</v>
      </c>
    </row>
    <row r="8244" spans="1:6" x14ac:dyDescent="0.25">
      <c r="A8244" t="s">
        <v>4196</v>
      </c>
      <c r="B8244" t="s">
        <v>38</v>
      </c>
      <c r="C8244" t="s">
        <v>39</v>
      </c>
    </row>
    <row r="8245" spans="1:6" x14ac:dyDescent="0.25">
      <c r="A8245" t="s">
        <v>4196</v>
      </c>
      <c r="B8245" t="s">
        <v>44</v>
      </c>
      <c r="C8245" t="s">
        <v>45</v>
      </c>
      <c r="D8245" t="str">
        <f>HYPERLINK("http://service.sap.com/sap/support/notes/1591212","1591212")</f>
        <v>1591212</v>
      </c>
      <c r="E8245">
        <v>1</v>
      </c>
      <c r="F8245" t="s">
        <v>4116</v>
      </c>
    </row>
    <row r="8246" spans="1:6" x14ac:dyDescent="0.25">
      <c r="A8246" t="s">
        <v>4196</v>
      </c>
      <c r="B8246" t="s">
        <v>48</v>
      </c>
      <c r="C8246" t="s">
        <v>49</v>
      </c>
      <c r="D8246" t="str">
        <f>HYPERLINK("http://service.sap.com/sap/support/notes/1587545","1587545")</f>
        <v>1587545</v>
      </c>
      <c r="E8246">
        <v>2</v>
      </c>
      <c r="F8246" t="s">
        <v>4117</v>
      </c>
    </row>
    <row r="8247" spans="1:6" x14ac:dyDescent="0.25">
      <c r="A8247" t="s">
        <v>4196</v>
      </c>
      <c r="B8247" t="s">
        <v>57</v>
      </c>
      <c r="C8247" t="s">
        <v>58</v>
      </c>
    </row>
    <row r="8248" spans="1:6" x14ac:dyDescent="0.25">
      <c r="A8248" t="s">
        <v>4196</v>
      </c>
      <c r="B8248" t="s">
        <v>59</v>
      </c>
      <c r="C8248" t="s">
        <v>60</v>
      </c>
      <c r="D8248" t="str">
        <f>HYPERLINK("http://service.sap.com/sap/support/notes/1580798","1580798")</f>
        <v>1580798</v>
      </c>
      <c r="E8248">
        <v>1</v>
      </c>
      <c r="F8248" t="s">
        <v>4118</v>
      </c>
    </row>
    <row r="8249" spans="1:6" x14ac:dyDescent="0.25">
      <c r="A8249" t="s">
        <v>4196</v>
      </c>
      <c r="B8249" t="s">
        <v>59</v>
      </c>
      <c r="C8249" t="s">
        <v>60</v>
      </c>
      <c r="D8249" t="str">
        <f>HYPERLINK("http://service.sap.com/sap/support/notes/1583923","1583923")</f>
        <v>1583923</v>
      </c>
      <c r="E8249">
        <v>2</v>
      </c>
      <c r="F8249" t="s">
        <v>3441</v>
      </c>
    </row>
    <row r="8250" spans="1:6" x14ac:dyDescent="0.25">
      <c r="A8250" t="s">
        <v>4196</v>
      </c>
      <c r="B8250" t="s">
        <v>89</v>
      </c>
      <c r="C8250" t="s">
        <v>90</v>
      </c>
      <c r="D8250" t="str">
        <f>HYPERLINK("http://service.sap.com/sap/support/notes/1600690","1600690")</f>
        <v>1600690</v>
      </c>
      <c r="E8250">
        <v>1</v>
      </c>
      <c r="F8250" t="s">
        <v>4119</v>
      </c>
    </row>
    <row r="8251" spans="1:6" x14ac:dyDescent="0.25">
      <c r="A8251" t="s">
        <v>4196</v>
      </c>
      <c r="B8251" t="s">
        <v>92</v>
      </c>
      <c r="C8251" t="s">
        <v>93</v>
      </c>
      <c r="D8251" t="str">
        <f>HYPERLINK("http://service.sap.com/sap/support/notes/960754","960754")</f>
        <v>960754</v>
      </c>
      <c r="E8251">
        <v>8</v>
      </c>
      <c r="F8251" t="s">
        <v>1463</v>
      </c>
    </row>
    <row r="8252" spans="1:6" x14ac:dyDescent="0.25">
      <c r="A8252" t="s">
        <v>4196</v>
      </c>
      <c r="B8252" t="s">
        <v>92</v>
      </c>
      <c r="C8252" t="s">
        <v>93</v>
      </c>
      <c r="D8252" t="str">
        <f>HYPERLINK("http://service.sap.com/sap/support/notes/1591680","1591680")</f>
        <v>1591680</v>
      </c>
      <c r="E8252">
        <v>2</v>
      </c>
      <c r="F8252" t="s">
        <v>4120</v>
      </c>
    </row>
    <row r="8253" spans="1:6" x14ac:dyDescent="0.25">
      <c r="A8253" t="s">
        <v>4196</v>
      </c>
      <c r="B8253" t="s">
        <v>92</v>
      </c>
      <c r="C8253" t="s">
        <v>93</v>
      </c>
      <c r="D8253" t="str">
        <f>HYPERLINK("http://service.sap.com/sap/support/notes/1591921","1591921")</f>
        <v>1591921</v>
      </c>
      <c r="E8253">
        <v>2</v>
      </c>
      <c r="F8253" t="s">
        <v>4121</v>
      </c>
    </row>
    <row r="8254" spans="1:6" x14ac:dyDescent="0.25">
      <c r="A8254" t="s">
        <v>4196</v>
      </c>
      <c r="B8254" t="s">
        <v>713</v>
      </c>
      <c r="C8254" t="s">
        <v>480</v>
      </c>
      <c r="D8254" t="str">
        <f>HYPERLINK("http://service.sap.com/sap/support/notes/1597372","1597372")</f>
        <v>1597372</v>
      </c>
      <c r="E8254">
        <v>1</v>
      </c>
      <c r="F8254" t="s">
        <v>4122</v>
      </c>
    </row>
    <row r="8255" spans="1:6" x14ac:dyDescent="0.25">
      <c r="A8255" t="s">
        <v>4196</v>
      </c>
      <c r="B8255" t="s">
        <v>107</v>
      </c>
      <c r="C8255" t="s">
        <v>108</v>
      </c>
      <c r="D8255" t="str">
        <f>HYPERLINK("http://service.sap.com/sap/support/notes/1555555","1555555")</f>
        <v>1555555</v>
      </c>
      <c r="E8255">
        <v>3</v>
      </c>
      <c r="F8255" t="s">
        <v>4123</v>
      </c>
    </row>
    <row r="8256" spans="1:6" x14ac:dyDescent="0.25">
      <c r="A8256" t="s">
        <v>4196</v>
      </c>
      <c r="B8256" t="s">
        <v>107</v>
      </c>
      <c r="C8256" t="s">
        <v>108</v>
      </c>
      <c r="D8256" t="str">
        <f>HYPERLINK("http://service.sap.com/sap/support/notes/1580327","1580327")</f>
        <v>1580327</v>
      </c>
      <c r="E8256">
        <v>1</v>
      </c>
      <c r="F8256" t="s">
        <v>4124</v>
      </c>
    </row>
    <row r="8257" spans="1:6" x14ac:dyDescent="0.25">
      <c r="A8257" t="s">
        <v>4196</v>
      </c>
      <c r="B8257" t="s">
        <v>790</v>
      </c>
      <c r="C8257" t="s">
        <v>4125</v>
      </c>
    </row>
    <row r="8258" spans="1:6" x14ac:dyDescent="0.25">
      <c r="A8258" t="s">
        <v>4196</v>
      </c>
      <c r="B8258" t="s">
        <v>791</v>
      </c>
      <c r="C8258" t="s">
        <v>4126</v>
      </c>
      <c r="D8258" t="str">
        <f>HYPERLINK("http://service.sap.com/sap/support/notes/1585282","1585282")</f>
        <v>1585282</v>
      </c>
      <c r="E8258">
        <v>3</v>
      </c>
      <c r="F8258" t="s">
        <v>4127</v>
      </c>
    </row>
    <row r="8259" spans="1:6" x14ac:dyDescent="0.25">
      <c r="A8259" t="s">
        <v>4196</v>
      </c>
      <c r="B8259" t="s">
        <v>791</v>
      </c>
      <c r="C8259" t="s">
        <v>4126</v>
      </c>
      <c r="D8259" t="str">
        <f>HYPERLINK("http://service.sap.com/sap/support/notes/1594574","1594574")</f>
        <v>1594574</v>
      </c>
      <c r="E8259">
        <v>2</v>
      </c>
      <c r="F8259" t="s">
        <v>4128</v>
      </c>
    </row>
    <row r="8260" spans="1:6" x14ac:dyDescent="0.25">
      <c r="A8260" t="s">
        <v>4196</v>
      </c>
      <c r="B8260" t="s">
        <v>791</v>
      </c>
      <c r="C8260" t="s">
        <v>4126</v>
      </c>
      <c r="D8260" t="str">
        <f>HYPERLINK("http://service.sap.com/sap/support/notes/1595195","1595195")</f>
        <v>1595195</v>
      </c>
      <c r="E8260">
        <v>3</v>
      </c>
      <c r="F8260" t="s">
        <v>4129</v>
      </c>
    </row>
    <row r="8261" spans="1:6" x14ac:dyDescent="0.25">
      <c r="A8261" t="s">
        <v>4196</v>
      </c>
      <c r="B8261" t="s">
        <v>791</v>
      </c>
      <c r="C8261" t="s">
        <v>4126</v>
      </c>
      <c r="D8261" t="str">
        <f>HYPERLINK("http://service.sap.com/sap/support/notes/1598165","1598165")</f>
        <v>1598165</v>
      </c>
      <c r="E8261">
        <v>1</v>
      </c>
      <c r="F8261" t="s">
        <v>4130</v>
      </c>
    </row>
    <row r="8262" spans="1:6" x14ac:dyDescent="0.25">
      <c r="A8262" t="s">
        <v>4196</v>
      </c>
      <c r="B8262" t="s">
        <v>810</v>
      </c>
      <c r="C8262" t="s">
        <v>4131</v>
      </c>
    </row>
    <row r="8263" spans="1:6" x14ac:dyDescent="0.25">
      <c r="A8263" t="s">
        <v>4196</v>
      </c>
      <c r="B8263" t="s">
        <v>811</v>
      </c>
      <c r="C8263" t="s">
        <v>4132</v>
      </c>
      <c r="D8263" t="str">
        <f>HYPERLINK("http://service.sap.com/sap/support/notes/1577314","1577314")</f>
        <v>1577314</v>
      </c>
      <c r="E8263">
        <v>6</v>
      </c>
      <c r="F8263" t="s">
        <v>4133</v>
      </c>
    </row>
    <row r="8264" spans="1:6" x14ac:dyDescent="0.25">
      <c r="A8264" t="s">
        <v>4196</v>
      </c>
      <c r="B8264" t="s">
        <v>811</v>
      </c>
      <c r="C8264" t="s">
        <v>4132</v>
      </c>
      <c r="D8264" t="str">
        <f>HYPERLINK("http://service.sap.com/sap/support/notes/1587784","1587784")</f>
        <v>1587784</v>
      </c>
      <c r="E8264">
        <v>3</v>
      </c>
      <c r="F8264" t="s">
        <v>4134</v>
      </c>
    </row>
    <row r="8265" spans="1:6" x14ac:dyDescent="0.25">
      <c r="A8265" t="s">
        <v>4196</v>
      </c>
      <c r="B8265" t="s">
        <v>4135</v>
      </c>
      <c r="C8265" t="s">
        <v>4136</v>
      </c>
      <c r="D8265" t="str">
        <f>HYPERLINK("http://service.sap.com/sap/support/notes/1490716","1490716")</f>
        <v>1490716</v>
      </c>
      <c r="E8265">
        <v>5</v>
      </c>
      <c r="F8265" t="s">
        <v>4137</v>
      </c>
    </row>
    <row r="8266" spans="1:6" x14ac:dyDescent="0.25">
      <c r="A8266" t="s">
        <v>4196</v>
      </c>
      <c r="B8266" t="s">
        <v>4135</v>
      </c>
      <c r="C8266" t="s">
        <v>4136</v>
      </c>
      <c r="D8266" t="str">
        <f>HYPERLINK("http://service.sap.com/sap/support/notes/1572926","1572926")</f>
        <v>1572926</v>
      </c>
      <c r="E8266">
        <v>1</v>
      </c>
      <c r="F8266" t="s">
        <v>4138</v>
      </c>
    </row>
    <row r="8267" spans="1:6" x14ac:dyDescent="0.25">
      <c r="A8267" t="s">
        <v>4196</v>
      </c>
      <c r="B8267" t="s">
        <v>4135</v>
      </c>
      <c r="C8267" t="s">
        <v>4136</v>
      </c>
      <c r="D8267" t="str">
        <f>HYPERLINK("http://service.sap.com/sap/support/notes/1593136","1593136")</f>
        <v>1593136</v>
      </c>
      <c r="E8267">
        <v>1</v>
      </c>
      <c r="F8267" t="s">
        <v>4139</v>
      </c>
    </row>
    <row r="8268" spans="1:6" x14ac:dyDescent="0.25">
      <c r="A8268" t="s">
        <v>4196</v>
      </c>
      <c r="B8268" t="s">
        <v>4135</v>
      </c>
      <c r="C8268" t="s">
        <v>4136</v>
      </c>
      <c r="D8268" t="str">
        <f>HYPERLINK("http://service.sap.com/sap/support/notes/1594516","1594516")</f>
        <v>1594516</v>
      </c>
      <c r="E8268">
        <v>1</v>
      </c>
      <c r="F8268" t="s">
        <v>4140</v>
      </c>
    </row>
    <row r="8269" spans="1:6" x14ac:dyDescent="0.25">
      <c r="A8269" t="s">
        <v>4196</v>
      </c>
      <c r="B8269" t="s">
        <v>4135</v>
      </c>
      <c r="C8269" t="s">
        <v>4136</v>
      </c>
      <c r="D8269" t="str">
        <f>HYPERLINK("http://service.sap.com/sap/support/notes/1595522","1595522")</f>
        <v>1595522</v>
      </c>
      <c r="E8269">
        <v>2</v>
      </c>
      <c r="F8269" t="s">
        <v>4141</v>
      </c>
    </row>
    <row r="8270" spans="1:6" x14ac:dyDescent="0.25">
      <c r="A8270" t="s">
        <v>4196</v>
      </c>
      <c r="B8270" t="s">
        <v>814</v>
      </c>
      <c r="C8270" t="s">
        <v>4142</v>
      </c>
      <c r="D8270" t="str">
        <f>HYPERLINK("http://service.sap.com/sap/support/notes/1543212","1543212")</f>
        <v>1543212</v>
      </c>
      <c r="E8270">
        <v>11</v>
      </c>
      <c r="F8270" t="s">
        <v>4143</v>
      </c>
    </row>
    <row r="8271" spans="1:6" x14ac:dyDescent="0.25">
      <c r="A8271" t="s">
        <v>4196</v>
      </c>
      <c r="B8271" t="s">
        <v>4144</v>
      </c>
      <c r="C8271" t="s">
        <v>4145</v>
      </c>
      <c r="D8271" t="str">
        <f>HYPERLINK("http://service.sap.com/sap/support/notes/1562742","1562742")</f>
        <v>1562742</v>
      </c>
      <c r="E8271">
        <v>9</v>
      </c>
      <c r="F8271" t="s">
        <v>4146</v>
      </c>
    </row>
    <row r="8272" spans="1:6" x14ac:dyDescent="0.25">
      <c r="A8272" t="s">
        <v>4196</v>
      </c>
      <c r="B8272" t="s">
        <v>4144</v>
      </c>
      <c r="C8272" t="s">
        <v>4145</v>
      </c>
      <c r="D8272" t="str">
        <f>HYPERLINK("http://service.sap.com/sap/support/notes/1590092","1590092")</f>
        <v>1590092</v>
      </c>
      <c r="E8272">
        <v>2</v>
      </c>
      <c r="F8272" t="s">
        <v>4147</v>
      </c>
    </row>
    <row r="8273" spans="1:6" x14ac:dyDescent="0.25">
      <c r="A8273" t="s">
        <v>4196</v>
      </c>
      <c r="B8273" t="s">
        <v>4144</v>
      </c>
      <c r="C8273" t="s">
        <v>4145</v>
      </c>
      <c r="D8273" t="str">
        <f>HYPERLINK("http://service.sap.com/sap/support/notes/1590367","1590367")</f>
        <v>1590367</v>
      </c>
      <c r="E8273">
        <v>3</v>
      </c>
      <c r="F8273" t="s">
        <v>4148</v>
      </c>
    </row>
    <row r="8274" spans="1:6" x14ac:dyDescent="0.25">
      <c r="A8274" t="s">
        <v>4196</v>
      </c>
      <c r="B8274" t="s">
        <v>4144</v>
      </c>
      <c r="C8274" t="s">
        <v>4145</v>
      </c>
      <c r="D8274" t="str">
        <f>HYPERLINK("http://service.sap.com/sap/support/notes/1590739","1590739")</f>
        <v>1590739</v>
      </c>
      <c r="E8274">
        <v>2</v>
      </c>
      <c r="F8274" t="s">
        <v>4149</v>
      </c>
    </row>
    <row r="8275" spans="1:6" x14ac:dyDescent="0.25">
      <c r="A8275" t="s">
        <v>4196</v>
      </c>
      <c r="B8275" t="s">
        <v>4144</v>
      </c>
      <c r="C8275" t="s">
        <v>4145</v>
      </c>
      <c r="D8275" t="str">
        <f>HYPERLINK("http://service.sap.com/sap/support/notes/1591959","1591959")</f>
        <v>1591959</v>
      </c>
      <c r="E8275">
        <v>1</v>
      </c>
      <c r="F8275" t="s">
        <v>4150</v>
      </c>
    </row>
    <row r="8276" spans="1:6" x14ac:dyDescent="0.25">
      <c r="A8276" t="s">
        <v>4196</v>
      </c>
      <c r="B8276" t="s">
        <v>4144</v>
      </c>
      <c r="C8276" t="s">
        <v>4145</v>
      </c>
      <c r="D8276" t="str">
        <f>HYPERLINK("http://service.sap.com/sap/support/notes/1592681","1592681")</f>
        <v>1592681</v>
      </c>
      <c r="E8276">
        <v>1</v>
      </c>
      <c r="F8276" t="s">
        <v>4151</v>
      </c>
    </row>
    <row r="8277" spans="1:6" x14ac:dyDescent="0.25">
      <c r="A8277" t="s">
        <v>4196</v>
      </c>
      <c r="B8277" t="s">
        <v>4144</v>
      </c>
      <c r="C8277" t="s">
        <v>4145</v>
      </c>
      <c r="D8277" t="str">
        <f>HYPERLINK("http://service.sap.com/sap/support/notes/1593112","1593112")</f>
        <v>1593112</v>
      </c>
      <c r="E8277">
        <v>4</v>
      </c>
      <c r="F8277" t="s">
        <v>4152</v>
      </c>
    </row>
    <row r="8278" spans="1:6" x14ac:dyDescent="0.25">
      <c r="A8278" t="s">
        <v>4196</v>
      </c>
      <c r="B8278" t="s">
        <v>4144</v>
      </c>
      <c r="C8278" t="s">
        <v>4145</v>
      </c>
      <c r="D8278" t="str">
        <f>HYPERLINK("http://service.sap.com/sap/support/notes/1594079","1594079")</f>
        <v>1594079</v>
      </c>
      <c r="E8278">
        <v>1</v>
      </c>
      <c r="F8278" t="s">
        <v>4153</v>
      </c>
    </row>
    <row r="8279" spans="1:6" x14ac:dyDescent="0.25">
      <c r="A8279" t="s">
        <v>4196</v>
      </c>
      <c r="B8279" t="s">
        <v>4144</v>
      </c>
      <c r="C8279" t="s">
        <v>4145</v>
      </c>
      <c r="D8279" t="str">
        <f>HYPERLINK("http://service.sap.com/sap/support/notes/1597285","1597285")</f>
        <v>1597285</v>
      </c>
      <c r="E8279">
        <v>2</v>
      </c>
      <c r="F8279" t="s">
        <v>4154</v>
      </c>
    </row>
    <row r="8280" spans="1:6" x14ac:dyDescent="0.25">
      <c r="A8280" t="s">
        <v>4196</v>
      </c>
      <c r="B8280" t="s">
        <v>4144</v>
      </c>
      <c r="C8280" t="s">
        <v>4145</v>
      </c>
      <c r="D8280" t="str">
        <f>HYPERLINK("http://service.sap.com/sap/support/notes/1599098","1599098")</f>
        <v>1599098</v>
      </c>
      <c r="E8280">
        <v>1</v>
      </c>
      <c r="F8280" t="s">
        <v>4155</v>
      </c>
    </row>
    <row r="8281" spans="1:6" x14ac:dyDescent="0.25">
      <c r="A8281" t="s">
        <v>4196</v>
      </c>
      <c r="B8281" t="s">
        <v>4144</v>
      </c>
      <c r="C8281" t="s">
        <v>4145</v>
      </c>
      <c r="D8281" t="str">
        <f>HYPERLINK("http://service.sap.com/sap/support/notes/1601387","1601387")</f>
        <v>1601387</v>
      </c>
      <c r="E8281">
        <v>1</v>
      </c>
      <c r="F8281" t="s">
        <v>4156</v>
      </c>
    </row>
    <row r="8282" spans="1:6" x14ac:dyDescent="0.25">
      <c r="A8282" t="s">
        <v>4196</v>
      </c>
      <c r="B8282" t="s">
        <v>126</v>
      </c>
      <c r="C8282" t="s">
        <v>127</v>
      </c>
    </row>
    <row r="8283" spans="1:6" x14ac:dyDescent="0.25">
      <c r="A8283" t="s">
        <v>4196</v>
      </c>
      <c r="B8283" t="s">
        <v>824</v>
      </c>
      <c r="C8283" t="s">
        <v>1777</v>
      </c>
    </row>
    <row r="8284" spans="1:6" x14ac:dyDescent="0.25">
      <c r="A8284" t="s">
        <v>4196</v>
      </c>
      <c r="B8284" t="s">
        <v>4157</v>
      </c>
      <c r="C8284" t="s">
        <v>4158</v>
      </c>
      <c r="D8284" t="str">
        <f>HYPERLINK("http://service.sap.com/sap/support/notes/1589126","1589126")</f>
        <v>1589126</v>
      </c>
      <c r="E8284">
        <v>1</v>
      </c>
      <c r="F8284" t="s">
        <v>4159</v>
      </c>
    </row>
    <row r="8285" spans="1:6" x14ac:dyDescent="0.25">
      <c r="A8285" t="s">
        <v>4196</v>
      </c>
      <c r="B8285" t="s">
        <v>825</v>
      </c>
      <c r="C8285" t="s">
        <v>1778</v>
      </c>
      <c r="D8285" t="str">
        <f>HYPERLINK("http://service.sap.com/sap/support/notes/1456074","1456074")</f>
        <v>1456074</v>
      </c>
      <c r="E8285">
        <v>2</v>
      </c>
      <c r="F8285" t="s">
        <v>4160</v>
      </c>
    </row>
    <row r="8286" spans="1:6" x14ac:dyDescent="0.25">
      <c r="A8286" t="s">
        <v>4196</v>
      </c>
      <c r="B8286" t="s">
        <v>825</v>
      </c>
      <c r="C8286" t="s">
        <v>1778</v>
      </c>
      <c r="D8286" t="str">
        <f>HYPERLINK("http://service.sap.com/sap/support/notes/1463544","1463544")</f>
        <v>1463544</v>
      </c>
      <c r="E8286">
        <v>2</v>
      </c>
      <c r="F8286" t="s">
        <v>4161</v>
      </c>
    </row>
    <row r="8287" spans="1:6" x14ac:dyDescent="0.25">
      <c r="A8287" t="s">
        <v>4196</v>
      </c>
      <c r="B8287" t="s">
        <v>825</v>
      </c>
      <c r="C8287" t="s">
        <v>1778</v>
      </c>
      <c r="D8287" t="str">
        <f>HYPERLINK("http://service.sap.com/sap/support/notes/1590714","1590714")</f>
        <v>1590714</v>
      </c>
      <c r="E8287">
        <v>1</v>
      </c>
      <c r="F8287" t="s">
        <v>4162</v>
      </c>
    </row>
    <row r="8288" spans="1:6" x14ac:dyDescent="0.25">
      <c r="A8288" t="s">
        <v>4196</v>
      </c>
      <c r="B8288" t="s">
        <v>825</v>
      </c>
      <c r="C8288" t="s">
        <v>1778</v>
      </c>
      <c r="D8288" t="str">
        <f>HYPERLINK("http://service.sap.com/sap/support/notes/1591856","1591856")</f>
        <v>1591856</v>
      </c>
      <c r="E8288">
        <v>1</v>
      </c>
      <c r="F8288" t="s">
        <v>4163</v>
      </c>
    </row>
    <row r="8289" spans="1:6" x14ac:dyDescent="0.25">
      <c r="A8289" t="s">
        <v>4196</v>
      </c>
      <c r="B8289" t="s">
        <v>825</v>
      </c>
      <c r="C8289" t="s">
        <v>1778</v>
      </c>
      <c r="D8289" t="str">
        <f>HYPERLINK("http://service.sap.com/sap/support/notes/1591885","1591885")</f>
        <v>1591885</v>
      </c>
      <c r="E8289">
        <v>1</v>
      </c>
      <c r="F8289" t="s">
        <v>4164</v>
      </c>
    </row>
    <row r="8290" spans="1:6" x14ac:dyDescent="0.25">
      <c r="A8290" t="s">
        <v>4196</v>
      </c>
      <c r="B8290" t="s">
        <v>826</v>
      </c>
      <c r="C8290" t="s">
        <v>1773</v>
      </c>
      <c r="D8290" t="str">
        <f>HYPERLINK("http://service.sap.com/sap/support/notes/1600755","1600755")</f>
        <v>1600755</v>
      </c>
      <c r="E8290">
        <v>2</v>
      </c>
      <c r="F8290" t="s">
        <v>4165</v>
      </c>
    </row>
    <row r="8291" spans="1:6" x14ac:dyDescent="0.25">
      <c r="A8291" t="s">
        <v>4196</v>
      </c>
      <c r="B8291" t="s">
        <v>831</v>
      </c>
      <c r="C8291" t="s">
        <v>2598</v>
      </c>
    </row>
    <row r="8292" spans="1:6" x14ac:dyDescent="0.25">
      <c r="A8292" t="s">
        <v>4196</v>
      </c>
      <c r="B8292" t="s">
        <v>874</v>
      </c>
      <c r="C8292" t="s">
        <v>875</v>
      </c>
      <c r="D8292" t="str">
        <f>HYPERLINK("http://service.sap.com/sap/support/notes/1545510","1545510")</f>
        <v>1545510</v>
      </c>
      <c r="E8292">
        <v>2</v>
      </c>
      <c r="F8292" t="s">
        <v>3599</v>
      </c>
    </row>
    <row r="8293" spans="1:6" x14ac:dyDescent="0.25">
      <c r="A8293" t="s">
        <v>4196</v>
      </c>
      <c r="B8293" t="s">
        <v>131</v>
      </c>
      <c r="C8293" t="s">
        <v>132</v>
      </c>
    </row>
    <row r="8294" spans="1:6" x14ac:dyDescent="0.25">
      <c r="A8294" t="s">
        <v>4196</v>
      </c>
      <c r="B8294" t="s">
        <v>155</v>
      </c>
      <c r="C8294" t="s">
        <v>156</v>
      </c>
      <c r="D8294" t="str">
        <f>HYPERLINK("http://service.sap.com/sap/support/notes/1594255","1594255")</f>
        <v>1594255</v>
      </c>
      <c r="E8294">
        <v>3</v>
      </c>
      <c r="F8294" t="s">
        <v>4166</v>
      </c>
    </row>
    <row r="8295" spans="1:6" x14ac:dyDescent="0.25">
      <c r="A8295" t="s">
        <v>4196</v>
      </c>
      <c r="B8295" t="s">
        <v>155</v>
      </c>
      <c r="C8295" t="s">
        <v>156</v>
      </c>
      <c r="D8295" t="str">
        <f>HYPERLINK("http://service.sap.com/sap/support/notes/1599454","1599454")</f>
        <v>1599454</v>
      </c>
      <c r="E8295">
        <v>2</v>
      </c>
      <c r="F8295" t="s">
        <v>4167</v>
      </c>
    </row>
    <row r="8296" spans="1:6" x14ac:dyDescent="0.25">
      <c r="A8296" t="s">
        <v>4196</v>
      </c>
      <c r="B8296" t="s">
        <v>168</v>
      </c>
      <c r="C8296" t="s">
        <v>169</v>
      </c>
      <c r="D8296" t="str">
        <f>HYPERLINK("http://service.sap.com/sap/support/notes/1556734","1556734")</f>
        <v>1556734</v>
      </c>
      <c r="E8296">
        <v>2</v>
      </c>
      <c r="F8296" t="s">
        <v>4168</v>
      </c>
    </row>
    <row r="8297" spans="1:6" x14ac:dyDescent="0.25">
      <c r="A8297" t="s">
        <v>4196</v>
      </c>
      <c r="B8297" t="s">
        <v>168</v>
      </c>
      <c r="C8297" t="s">
        <v>169</v>
      </c>
      <c r="D8297" t="str">
        <f>HYPERLINK("http://service.sap.com/sap/support/notes/1594998","1594998")</f>
        <v>1594998</v>
      </c>
      <c r="E8297">
        <v>1</v>
      </c>
      <c r="F8297" t="s">
        <v>4169</v>
      </c>
    </row>
    <row r="8298" spans="1:6" x14ac:dyDescent="0.25">
      <c r="A8298" t="s">
        <v>4196</v>
      </c>
      <c r="B8298" t="s">
        <v>168</v>
      </c>
      <c r="C8298" t="s">
        <v>169</v>
      </c>
      <c r="D8298" t="str">
        <f>HYPERLINK("http://service.sap.com/sap/support/notes/1596807","1596807")</f>
        <v>1596807</v>
      </c>
      <c r="E8298">
        <v>1</v>
      </c>
      <c r="F8298" t="s">
        <v>4170</v>
      </c>
    </row>
    <row r="8299" spans="1:6" x14ac:dyDescent="0.25">
      <c r="A8299" t="s">
        <v>4196</v>
      </c>
      <c r="B8299" t="s">
        <v>191</v>
      </c>
      <c r="C8299" t="s">
        <v>192</v>
      </c>
      <c r="D8299" t="str">
        <f>HYPERLINK("http://service.sap.com/sap/support/notes/1572911","1572911")</f>
        <v>1572911</v>
      </c>
      <c r="E8299">
        <v>2</v>
      </c>
      <c r="F8299" t="s">
        <v>3089</v>
      </c>
    </row>
    <row r="8300" spans="1:6" x14ac:dyDescent="0.25">
      <c r="A8300" t="s">
        <v>4196</v>
      </c>
      <c r="B8300" t="s">
        <v>201</v>
      </c>
      <c r="C8300" t="s">
        <v>202</v>
      </c>
    </row>
    <row r="8301" spans="1:6" x14ac:dyDescent="0.25">
      <c r="A8301" t="s">
        <v>4196</v>
      </c>
      <c r="B8301" t="s">
        <v>964</v>
      </c>
      <c r="C8301" t="s">
        <v>299</v>
      </c>
      <c r="D8301" t="str">
        <f>HYPERLINK("http://service.sap.com/sap/support/notes/1600762","1600762")</f>
        <v>1600762</v>
      </c>
      <c r="E8301">
        <v>1</v>
      </c>
      <c r="F8301" t="s">
        <v>4171</v>
      </c>
    </row>
    <row r="8302" spans="1:6" x14ac:dyDescent="0.25">
      <c r="A8302" t="s">
        <v>4196</v>
      </c>
      <c r="B8302" t="s">
        <v>226</v>
      </c>
      <c r="C8302" t="s">
        <v>52</v>
      </c>
    </row>
    <row r="8303" spans="1:6" x14ac:dyDescent="0.25">
      <c r="A8303" t="s">
        <v>4196</v>
      </c>
      <c r="B8303" t="s">
        <v>235</v>
      </c>
      <c r="C8303" t="s">
        <v>236</v>
      </c>
    </row>
    <row r="8304" spans="1:6" x14ac:dyDescent="0.25">
      <c r="A8304" t="s">
        <v>4196</v>
      </c>
      <c r="B8304" t="s">
        <v>246</v>
      </c>
      <c r="C8304" t="s">
        <v>247</v>
      </c>
      <c r="D8304" t="str">
        <f>HYPERLINK("http://service.sap.com/sap/support/notes/1570730","1570730")</f>
        <v>1570730</v>
      </c>
      <c r="E8304">
        <v>1</v>
      </c>
      <c r="F8304" t="s">
        <v>4172</v>
      </c>
    </row>
    <row r="8305" spans="1:6" x14ac:dyDescent="0.25">
      <c r="A8305" t="s">
        <v>4196</v>
      </c>
      <c r="B8305" t="s">
        <v>250</v>
      </c>
      <c r="C8305" t="s">
        <v>251</v>
      </c>
    </row>
    <row r="8306" spans="1:6" x14ac:dyDescent="0.25">
      <c r="A8306" t="s">
        <v>4196</v>
      </c>
      <c r="B8306" t="s">
        <v>258</v>
      </c>
      <c r="C8306" t="s">
        <v>259</v>
      </c>
      <c r="D8306" t="str">
        <f>HYPERLINK("http://service.sap.com/sap/support/notes/1592797","1592797")</f>
        <v>1592797</v>
      </c>
      <c r="E8306">
        <v>1</v>
      </c>
      <c r="F8306" t="s">
        <v>4173</v>
      </c>
    </row>
    <row r="8307" spans="1:6" x14ac:dyDescent="0.25">
      <c r="A8307" t="s">
        <v>4196</v>
      </c>
      <c r="B8307" t="s">
        <v>273</v>
      </c>
      <c r="C8307" t="s">
        <v>153</v>
      </c>
      <c r="D8307" t="str">
        <f>HYPERLINK("http://service.sap.com/sap/support/notes/1599798","1599798")</f>
        <v>1599798</v>
      </c>
      <c r="E8307">
        <v>1</v>
      </c>
      <c r="F8307" t="s">
        <v>4174</v>
      </c>
    </row>
    <row r="8308" spans="1:6" x14ac:dyDescent="0.25">
      <c r="A8308" t="s">
        <v>4196</v>
      </c>
      <c r="B8308" t="s">
        <v>343</v>
      </c>
      <c r="C8308" t="s">
        <v>344</v>
      </c>
      <c r="D8308" t="str">
        <f>HYPERLINK("http://service.sap.com/sap/support/notes/1594993","1594993")</f>
        <v>1594993</v>
      </c>
      <c r="E8308">
        <v>2</v>
      </c>
      <c r="F8308" t="s">
        <v>4175</v>
      </c>
    </row>
    <row r="8309" spans="1:6" x14ac:dyDescent="0.25">
      <c r="A8309" t="s">
        <v>4196</v>
      </c>
      <c r="B8309" t="s">
        <v>363</v>
      </c>
      <c r="C8309" t="s">
        <v>74</v>
      </c>
    </row>
    <row r="8310" spans="1:6" x14ac:dyDescent="0.25">
      <c r="A8310" t="s">
        <v>4196</v>
      </c>
      <c r="B8310" t="s">
        <v>371</v>
      </c>
      <c r="C8310" t="s">
        <v>372</v>
      </c>
      <c r="D8310" t="str">
        <f>HYPERLINK("http://service.sap.com/sap/support/notes/1564364","1564364")</f>
        <v>1564364</v>
      </c>
      <c r="E8310">
        <v>1</v>
      </c>
      <c r="F8310" t="s">
        <v>4176</v>
      </c>
    </row>
    <row r="8311" spans="1:6" x14ac:dyDescent="0.25">
      <c r="A8311" t="s">
        <v>4196</v>
      </c>
      <c r="B8311" t="s">
        <v>388</v>
      </c>
      <c r="C8311" t="s">
        <v>87</v>
      </c>
      <c r="D8311" t="str">
        <f>HYPERLINK("http://service.sap.com/sap/support/notes/1591131","1591131")</f>
        <v>1591131</v>
      </c>
      <c r="E8311">
        <v>2</v>
      </c>
      <c r="F8311" t="s">
        <v>4177</v>
      </c>
    </row>
    <row r="8312" spans="1:6" x14ac:dyDescent="0.25">
      <c r="A8312" t="s">
        <v>4196</v>
      </c>
      <c r="B8312" t="s">
        <v>396</v>
      </c>
      <c r="C8312" t="s">
        <v>397</v>
      </c>
      <c r="D8312" t="str">
        <f>HYPERLINK("http://service.sap.com/sap/support/notes/1346548","1346548")</f>
        <v>1346548</v>
      </c>
      <c r="E8312">
        <v>1</v>
      </c>
      <c r="F8312" t="s">
        <v>2841</v>
      </c>
    </row>
    <row r="8313" spans="1:6" x14ac:dyDescent="0.25">
      <c r="A8313" t="s">
        <v>4196</v>
      </c>
      <c r="B8313" t="s">
        <v>472</v>
      </c>
      <c r="C8313" t="s">
        <v>473</v>
      </c>
    </row>
    <row r="8314" spans="1:6" x14ac:dyDescent="0.25">
      <c r="A8314" t="s">
        <v>4196</v>
      </c>
      <c r="B8314" t="s">
        <v>476</v>
      </c>
      <c r="C8314" t="s">
        <v>477</v>
      </c>
      <c r="D8314" t="str">
        <f>HYPERLINK("http://service.sap.com/sap/support/notes/1593289","1593289")</f>
        <v>1593289</v>
      </c>
      <c r="E8314">
        <v>1</v>
      </c>
      <c r="F8314" t="s">
        <v>4178</v>
      </c>
    </row>
    <row r="8315" spans="1:6" x14ac:dyDescent="0.25">
      <c r="A8315" t="s">
        <v>4196</v>
      </c>
      <c r="B8315" t="s">
        <v>476</v>
      </c>
      <c r="C8315" t="s">
        <v>477</v>
      </c>
      <c r="D8315" t="str">
        <f>HYPERLINK("http://service.sap.com/sap/support/notes/1596976","1596976")</f>
        <v>1596976</v>
      </c>
      <c r="E8315">
        <v>1</v>
      </c>
      <c r="F8315" t="s">
        <v>4179</v>
      </c>
    </row>
    <row r="8316" spans="1:6" x14ac:dyDescent="0.25">
      <c r="A8316" t="s">
        <v>4196</v>
      </c>
      <c r="B8316" t="s">
        <v>476</v>
      </c>
      <c r="C8316" t="s">
        <v>477</v>
      </c>
      <c r="D8316" t="str">
        <f>HYPERLINK("http://service.sap.com/sap/support/notes/1599889","1599889")</f>
        <v>1599889</v>
      </c>
      <c r="E8316">
        <v>1</v>
      </c>
      <c r="F8316" t="s">
        <v>4180</v>
      </c>
    </row>
    <row r="8317" spans="1:6" x14ac:dyDescent="0.25">
      <c r="A8317" t="s">
        <v>4196</v>
      </c>
      <c r="B8317" t="s">
        <v>499</v>
      </c>
      <c r="C8317" t="s">
        <v>108</v>
      </c>
    </row>
    <row r="8318" spans="1:6" x14ac:dyDescent="0.25">
      <c r="A8318" t="s">
        <v>4196</v>
      </c>
      <c r="B8318" t="s">
        <v>4181</v>
      </c>
      <c r="C8318" t="s">
        <v>4182</v>
      </c>
      <c r="D8318" t="str">
        <f>HYPERLINK("http://service.sap.com/sap/support/notes/1600187","1600187")</f>
        <v>1600187</v>
      </c>
      <c r="E8318">
        <v>2</v>
      </c>
      <c r="F8318" t="s">
        <v>4183</v>
      </c>
    </row>
    <row r="8319" spans="1:6" x14ac:dyDescent="0.25">
      <c r="A8319" t="s">
        <v>4196</v>
      </c>
      <c r="B8319" t="s">
        <v>505</v>
      </c>
      <c r="C8319" t="s">
        <v>299</v>
      </c>
      <c r="D8319" t="str">
        <f>HYPERLINK("http://service.sap.com/sap/support/notes/1546672","1546672")</f>
        <v>1546672</v>
      </c>
      <c r="E8319">
        <v>3</v>
      </c>
      <c r="F8319" t="s">
        <v>4184</v>
      </c>
    </row>
    <row r="8320" spans="1:6" x14ac:dyDescent="0.25">
      <c r="A8320" t="s">
        <v>4196</v>
      </c>
      <c r="B8320" t="s">
        <v>4185</v>
      </c>
      <c r="C8320" t="s">
        <v>4186</v>
      </c>
    </row>
    <row r="8321" spans="1:6" x14ac:dyDescent="0.25">
      <c r="A8321" t="s">
        <v>4196</v>
      </c>
      <c r="B8321" t="s">
        <v>4187</v>
      </c>
      <c r="C8321" t="s">
        <v>4188</v>
      </c>
    </row>
    <row r="8322" spans="1:6" x14ac:dyDescent="0.25">
      <c r="A8322" t="s">
        <v>4196</v>
      </c>
      <c r="B8322" t="s">
        <v>4189</v>
      </c>
      <c r="C8322" t="s">
        <v>4190</v>
      </c>
    </row>
    <row r="8323" spans="1:6" x14ac:dyDescent="0.25">
      <c r="A8323" t="s">
        <v>4196</v>
      </c>
      <c r="B8323" t="s">
        <v>4191</v>
      </c>
      <c r="C8323" t="s">
        <v>4192</v>
      </c>
    </row>
    <row r="8324" spans="1:6" x14ac:dyDescent="0.25">
      <c r="A8324" t="s">
        <v>4196</v>
      </c>
      <c r="B8324" t="s">
        <v>4193</v>
      </c>
      <c r="C8324" t="s">
        <v>4194</v>
      </c>
      <c r="D8324" t="str">
        <f>HYPERLINK("http://service.sap.com/sap/support/notes/1563367","1563367")</f>
        <v>1563367</v>
      </c>
      <c r="E8324">
        <v>1</v>
      </c>
      <c r="F8324" t="s">
        <v>4195</v>
      </c>
    </row>
    <row r="8325" spans="1:6" x14ac:dyDescent="0.25">
      <c r="A8325" t="s">
        <v>4315</v>
      </c>
      <c r="B8325" t="s">
        <v>573</v>
      </c>
      <c r="C8325" t="s">
        <v>4037</v>
      </c>
    </row>
    <row r="8326" spans="1:6" x14ac:dyDescent="0.25">
      <c r="A8326" t="s">
        <v>4315</v>
      </c>
      <c r="B8326" t="s">
        <v>4043</v>
      </c>
      <c r="C8326" t="s">
        <v>4044</v>
      </c>
    </row>
    <row r="8327" spans="1:6" x14ac:dyDescent="0.25">
      <c r="A8327" t="s">
        <v>4315</v>
      </c>
      <c r="B8327" t="s">
        <v>4045</v>
      </c>
      <c r="C8327" t="s">
        <v>4046</v>
      </c>
    </row>
    <row r="8328" spans="1:6" x14ac:dyDescent="0.25">
      <c r="A8328" t="s">
        <v>4315</v>
      </c>
      <c r="B8328" t="s">
        <v>4047</v>
      </c>
      <c r="C8328" t="s">
        <v>4048</v>
      </c>
      <c r="D8328" t="str">
        <f>HYPERLINK("http://service.sap.com/sap/support/notes/1552077","1552077")</f>
        <v>1552077</v>
      </c>
      <c r="E8328">
        <v>1</v>
      </c>
      <c r="F8328" t="s">
        <v>4197</v>
      </c>
    </row>
    <row r="8329" spans="1:6" x14ac:dyDescent="0.25">
      <c r="A8329" t="s">
        <v>4315</v>
      </c>
      <c r="B8329" t="s">
        <v>4047</v>
      </c>
      <c r="C8329" t="s">
        <v>4048</v>
      </c>
      <c r="D8329" t="str">
        <f>HYPERLINK("http://service.sap.com/sap/support/notes/1604066","1604066")</f>
        <v>1604066</v>
      </c>
      <c r="E8329">
        <v>1</v>
      </c>
      <c r="F8329" t="s">
        <v>4198</v>
      </c>
    </row>
    <row r="8330" spans="1:6" x14ac:dyDescent="0.25">
      <c r="A8330" t="s">
        <v>4315</v>
      </c>
      <c r="B8330" t="s">
        <v>585</v>
      </c>
      <c r="C8330" t="s">
        <v>1443</v>
      </c>
    </row>
    <row r="8331" spans="1:6" x14ac:dyDescent="0.25">
      <c r="A8331" t="s">
        <v>4315</v>
      </c>
      <c r="B8331" t="s">
        <v>586</v>
      </c>
      <c r="C8331" t="s">
        <v>1444</v>
      </c>
    </row>
    <row r="8332" spans="1:6" x14ac:dyDescent="0.25">
      <c r="A8332" t="s">
        <v>4315</v>
      </c>
      <c r="B8332" t="s">
        <v>587</v>
      </c>
      <c r="C8332" t="s">
        <v>1445</v>
      </c>
    </row>
    <row r="8333" spans="1:6" x14ac:dyDescent="0.25">
      <c r="A8333" t="s">
        <v>4315</v>
      </c>
      <c r="B8333" t="s">
        <v>588</v>
      </c>
      <c r="C8333" t="s">
        <v>1446</v>
      </c>
      <c r="D8333" t="str">
        <f>HYPERLINK("http://service.sap.com/sap/support/notes/1604089","1604089")</f>
        <v>1604089</v>
      </c>
      <c r="E8333">
        <v>1</v>
      </c>
      <c r="F8333" t="s">
        <v>4199</v>
      </c>
    </row>
    <row r="8334" spans="1:6" x14ac:dyDescent="0.25">
      <c r="A8334" t="s">
        <v>4315</v>
      </c>
      <c r="B8334" t="s">
        <v>588</v>
      </c>
      <c r="C8334" t="s">
        <v>1446</v>
      </c>
      <c r="D8334" t="str">
        <f>HYPERLINK("http://service.sap.com/sap/support/notes/1608553","1608553")</f>
        <v>1608553</v>
      </c>
      <c r="E8334">
        <v>3</v>
      </c>
      <c r="F8334" t="s">
        <v>4200</v>
      </c>
    </row>
    <row r="8335" spans="1:6" x14ac:dyDescent="0.25">
      <c r="A8335" t="s">
        <v>4315</v>
      </c>
      <c r="B8335" t="s">
        <v>20</v>
      </c>
      <c r="C8335" t="s">
        <v>21</v>
      </c>
    </row>
    <row r="8336" spans="1:6" x14ac:dyDescent="0.25">
      <c r="A8336" t="s">
        <v>4315</v>
      </c>
      <c r="B8336" t="s">
        <v>22</v>
      </c>
      <c r="C8336" t="s">
        <v>23</v>
      </c>
      <c r="D8336" t="str">
        <f>HYPERLINK("http://service.sap.com/sap/support/notes/1592502","1592502")</f>
        <v>1592502</v>
      </c>
      <c r="E8336">
        <v>1</v>
      </c>
      <c r="F8336" t="s">
        <v>4201</v>
      </c>
    </row>
    <row r="8337" spans="1:6" x14ac:dyDescent="0.25">
      <c r="A8337" t="s">
        <v>4315</v>
      </c>
      <c r="B8337" t="s">
        <v>22</v>
      </c>
      <c r="C8337" t="s">
        <v>23</v>
      </c>
      <c r="D8337" t="str">
        <f>HYPERLINK("http://service.sap.com/sap/support/notes/1596779","1596779")</f>
        <v>1596779</v>
      </c>
      <c r="E8337">
        <v>4</v>
      </c>
      <c r="F8337" t="s">
        <v>4202</v>
      </c>
    </row>
    <row r="8338" spans="1:6" x14ac:dyDescent="0.25">
      <c r="A8338" t="s">
        <v>4315</v>
      </c>
      <c r="B8338" t="s">
        <v>22</v>
      </c>
      <c r="C8338" t="s">
        <v>23</v>
      </c>
      <c r="D8338" t="str">
        <f>HYPERLINK("http://service.sap.com/sap/support/notes/1600474","1600474")</f>
        <v>1600474</v>
      </c>
      <c r="E8338">
        <v>5</v>
      </c>
      <c r="F8338" t="s">
        <v>4203</v>
      </c>
    </row>
    <row r="8339" spans="1:6" x14ac:dyDescent="0.25">
      <c r="A8339" t="s">
        <v>4315</v>
      </c>
      <c r="B8339" t="s">
        <v>22</v>
      </c>
      <c r="C8339" t="s">
        <v>23</v>
      </c>
      <c r="D8339" t="str">
        <f>HYPERLINK("http://service.sap.com/sap/support/notes/1603018","1603018")</f>
        <v>1603018</v>
      </c>
      <c r="E8339">
        <v>2</v>
      </c>
      <c r="F8339" t="s">
        <v>4204</v>
      </c>
    </row>
    <row r="8340" spans="1:6" x14ac:dyDescent="0.25">
      <c r="A8340" t="s">
        <v>4315</v>
      </c>
      <c r="B8340" t="s">
        <v>22</v>
      </c>
      <c r="C8340" t="s">
        <v>23</v>
      </c>
      <c r="D8340" t="str">
        <f>HYPERLINK("http://service.sap.com/sap/support/notes/1607503","1607503")</f>
        <v>1607503</v>
      </c>
      <c r="E8340">
        <v>2</v>
      </c>
      <c r="F8340" t="s">
        <v>4205</v>
      </c>
    </row>
    <row r="8341" spans="1:6" x14ac:dyDescent="0.25">
      <c r="A8341" t="s">
        <v>4315</v>
      </c>
      <c r="B8341" t="s">
        <v>24</v>
      </c>
      <c r="C8341" t="s">
        <v>25</v>
      </c>
      <c r="D8341" t="str">
        <f>HYPERLINK("http://service.sap.com/sap/support/notes/1512472","1512472")</f>
        <v>1512472</v>
      </c>
      <c r="E8341">
        <v>2</v>
      </c>
      <c r="F8341" t="s">
        <v>4206</v>
      </c>
    </row>
    <row r="8342" spans="1:6" x14ac:dyDescent="0.25">
      <c r="A8342" t="s">
        <v>4315</v>
      </c>
      <c r="B8342" t="s">
        <v>24</v>
      </c>
      <c r="C8342" t="s">
        <v>25</v>
      </c>
      <c r="D8342" t="str">
        <f>HYPERLINK("http://service.sap.com/sap/support/notes/1569304","1569304")</f>
        <v>1569304</v>
      </c>
      <c r="E8342">
        <v>3</v>
      </c>
      <c r="F8342" t="s">
        <v>4207</v>
      </c>
    </row>
    <row r="8343" spans="1:6" x14ac:dyDescent="0.25">
      <c r="A8343" t="s">
        <v>4315</v>
      </c>
      <c r="B8343" t="s">
        <v>24</v>
      </c>
      <c r="C8343" t="s">
        <v>25</v>
      </c>
      <c r="D8343" t="str">
        <f>HYPERLINK("http://service.sap.com/sap/support/notes/1588361","1588361")</f>
        <v>1588361</v>
      </c>
      <c r="E8343">
        <v>1</v>
      </c>
      <c r="F8343" t="s">
        <v>4208</v>
      </c>
    </row>
    <row r="8344" spans="1:6" x14ac:dyDescent="0.25">
      <c r="A8344" t="s">
        <v>4315</v>
      </c>
      <c r="B8344" t="s">
        <v>24</v>
      </c>
      <c r="C8344" t="s">
        <v>25</v>
      </c>
      <c r="D8344" t="str">
        <f>HYPERLINK("http://service.sap.com/sap/support/notes/1595192","1595192")</f>
        <v>1595192</v>
      </c>
      <c r="E8344">
        <v>4</v>
      </c>
      <c r="F8344" t="s">
        <v>4209</v>
      </c>
    </row>
    <row r="8345" spans="1:6" x14ac:dyDescent="0.25">
      <c r="A8345" t="s">
        <v>4315</v>
      </c>
      <c r="B8345" t="s">
        <v>24</v>
      </c>
      <c r="C8345" t="s">
        <v>25</v>
      </c>
      <c r="D8345" t="str">
        <f>HYPERLINK("http://service.sap.com/sap/support/notes/1600711","1600711")</f>
        <v>1600711</v>
      </c>
      <c r="E8345">
        <v>1</v>
      </c>
      <c r="F8345" t="s">
        <v>4073</v>
      </c>
    </row>
    <row r="8346" spans="1:6" x14ac:dyDescent="0.25">
      <c r="A8346" t="s">
        <v>4315</v>
      </c>
      <c r="B8346" t="s">
        <v>24</v>
      </c>
      <c r="C8346" t="s">
        <v>25</v>
      </c>
      <c r="D8346" t="str">
        <f>HYPERLINK("http://service.sap.com/sap/support/notes/1601648","1601648")</f>
        <v>1601648</v>
      </c>
      <c r="E8346">
        <v>1</v>
      </c>
      <c r="F8346" t="s">
        <v>4210</v>
      </c>
    </row>
    <row r="8347" spans="1:6" x14ac:dyDescent="0.25">
      <c r="A8347" t="s">
        <v>4315</v>
      </c>
      <c r="B8347" t="s">
        <v>24</v>
      </c>
      <c r="C8347" t="s">
        <v>25</v>
      </c>
      <c r="D8347" t="str">
        <f>HYPERLINK("http://service.sap.com/sap/support/notes/1601944","1601944")</f>
        <v>1601944</v>
      </c>
      <c r="E8347">
        <v>4</v>
      </c>
      <c r="F8347" t="s">
        <v>4211</v>
      </c>
    </row>
    <row r="8348" spans="1:6" x14ac:dyDescent="0.25">
      <c r="A8348" t="s">
        <v>4315</v>
      </c>
      <c r="B8348" t="s">
        <v>24</v>
      </c>
      <c r="C8348" t="s">
        <v>25</v>
      </c>
      <c r="D8348" t="str">
        <f>HYPERLINK("http://service.sap.com/sap/support/notes/1602026","1602026")</f>
        <v>1602026</v>
      </c>
      <c r="E8348">
        <v>2</v>
      </c>
      <c r="F8348" t="s">
        <v>4212</v>
      </c>
    </row>
    <row r="8349" spans="1:6" x14ac:dyDescent="0.25">
      <c r="A8349" t="s">
        <v>4315</v>
      </c>
      <c r="B8349" t="s">
        <v>24</v>
      </c>
      <c r="C8349" t="s">
        <v>25</v>
      </c>
      <c r="D8349" t="str">
        <f>HYPERLINK("http://service.sap.com/sap/support/notes/1602314","1602314")</f>
        <v>1602314</v>
      </c>
      <c r="E8349">
        <v>4</v>
      </c>
      <c r="F8349" t="s">
        <v>4213</v>
      </c>
    </row>
    <row r="8350" spans="1:6" x14ac:dyDescent="0.25">
      <c r="A8350" t="s">
        <v>4315</v>
      </c>
      <c r="B8350" t="s">
        <v>24</v>
      </c>
      <c r="C8350" t="s">
        <v>25</v>
      </c>
      <c r="D8350" t="str">
        <f>HYPERLINK("http://service.sap.com/sap/support/notes/1602743","1602743")</f>
        <v>1602743</v>
      </c>
      <c r="E8350">
        <v>3</v>
      </c>
      <c r="F8350" t="s">
        <v>4214</v>
      </c>
    </row>
    <row r="8351" spans="1:6" x14ac:dyDescent="0.25">
      <c r="A8351" t="s">
        <v>4315</v>
      </c>
      <c r="B8351" t="s">
        <v>24</v>
      </c>
      <c r="C8351" t="s">
        <v>25</v>
      </c>
      <c r="D8351" t="str">
        <f>HYPERLINK("http://service.sap.com/sap/support/notes/1603510","1603510")</f>
        <v>1603510</v>
      </c>
      <c r="E8351">
        <v>1</v>
      </c>
      <c r="F8351" t="s">
        <v>4215</v>
      </c>
    </row>
    <row r="8352" spans="1:6" x14ac:dyDescent="0.25">
      <c r="A8352" t="s">
        <v>4315</v>
      </c>
      <c r="B8352" t="s">
        <v>24</v>
      </c>
      <c r="C8352" t="s">
        <v>25</v>
      </c>
      <c r="D8352" t="str">
        <f>HYPERLINK("http://service.sap.com/sap/support/notes/1603644","1603644")</f>
        <v>1603644</v>
      </c>
      <c r="E8352">
        <v>4</v>
      </c>
      <c r="F8352" t="s">
        <v>4216</v>
      </c>
    </row>
    <row r="8353" spans="1:6" x14ac:dyDescent="0.25">
      <c r="A8353" t="s">
        <v>4315</v>
      </c>
      <c r="B8353" t="s">
        <v>24</v>
      </c>
      <c r="C8353" t="s">
        <v>25</v>
      </c>
      <c r="D8353" t="str">
        <f>HYPERLINK("http://service.sap.com/sap/support/notes/1603649","1603649")</f>
        <v>1603649</v>
      </c>
      <c r="E8353">
        <v>3</v>
      </c>
      <c r="F8353" t="s">
        <v>4217</v>
      </c>
    </row>
    <row r="8354" spans="1:6" x14ac:dyDescent="0.25">
      <c r="A8354" t="s">
        <v>4315</v>
      </c>
      <c r="B8354" t="s">
        <v>24</v>
      </c>
      <c r="C8354" t="s">
        <v>25</v>
      </c>
      <c r="D8354" t="str">
        <f>HYPERLINK("http://service.sap.com/sap/support/notes/1604548","1604548")</f>
        <v>1604548</v>
      </c>
      <c r="E8354">
        <v>1</v>
      </c>
      <c r="F8354" t="s">
        <v>4218</v>
      </c>
    </row>
    <row r="8355" spans="1:6" x14ac:dyDescent="0.25">
      <c r="A8355" t="s">
        <v>4315</v>
      </c>
      <c r="B8355" t="s">
        <v>24</v>
      </c>
      <c r="C8355" t="s">
        <v>25</v>
      </c>
      <c r="D8355" t="str">
        <f>HYPERLINK("http://service.sap.com/sap/support/notes/1604551","1604551")</f>
        <v>1604551</v>
      </c>
      <c r="E8355">
        <v>1</v>
      </c>
      <c r="F8355" t="s">
        <v>4219</v>
      </c>
    </row>
    <row r="8356" spans="1:6" x14ac:dyDescent="0.25">
      <c r="A8356" t="s">
        <v>4315</v>
      </c>
      <c r="B8356" t="s">
        <v>24</v>
      </c>
      <c r="C8356" t="s">
        <v>25</v>
      </c>
      <c r="D8356" t="str">
        <f>HYPERLINK("http://service.sap.com/sap/support/notes/1604876","1604876")</f>
        <v>1604876</v>
      </c>
      <c r="E8356">
        <v>1</v>
      </c>
      <c r="F8356" t="s">
        <v>4220</v>
      </c>
    </row>
    <row r="8357" spans="1:6" x14ac:dyDescent="0.25">
      <c r="A8357" t="s">
        <v>4315</v>
      </c>
      <c r="B8357" t="s">
        <v>24</v>
      </c>
      <c r="C8357" t="s">
        <v>25</v>
      </c>
      <c r="D8357" t="str">
        <f>HYPERLINK("http://service.sap.com/sap/support/notes/1604921","1604921")</f>
        <v>1604921</v>
      </c>
      <c r="E8357">
        <v>1</v>
      </c>
      <c r="F8357" t="s">
        <v>4221</v>
      </c>
    </row>
    <row r="8358" spans="1:6" x14ac:dyDescent="0.25">
      <c r="A8358" t="s">
        <v>4315</v>
      </c>
      <c r="B8358" t="s">
        <v>24</v>
      </c>
      <c r="C8358" t="s">
        <v>25</v>
      </c>
      <c r="D8358" t="str">
        <f>HYPERLINK("http://service.sap.com/sap/support/notes/1606074","1606074")</f>
        <v>1606074</v>
      </c>
      <c r="E8358">
        <v>2</v>
      </c>
      <c r="F8358" t="s">
        <v>4222</v>
      </c>
    </row>
    <row r="8359" spans="1:6" x14ac:dyDescent="0.25">
      <c r="A8359" t="s">
        <v>4315</v>
      </c>
      <c r="B8359" t="s">
        <v>24</v>
      </c>
      <c r="C8359" t="s">
        <v>25</v>
      </c>
      <c r="D8359" t="str">
        <f>HYPERLINK("http://service.sap.com/sap/support/notes/1606708","1606708")</f>
        <v>1606708</v>
      </c>
      <c r="E8359">
        <v>1</v>
      </c>
      <c r="F8359" t="s">
        <v>4223</v>
      </c>
    </row>
    <row r="8360" spans="1:6" x14ac:dyDescent="0.25">
      <c r="A8360" t="s">
        <v>4315</v>
      </c>
      <c r="B8360" t="s">
        <v>24</v>
      </c>
      <c r="C8360" t="s">
        <v>25</v>
      </c>
      <c r="D8360" t="str">
        <f>HYPERLINK("http://service.sap.com/sap/support/notes/1606761","1606761")</f>
        <v>1606761</v>
      </c>
      <c r="E8360">
        <v>1</v>
      </c>
      <c r="F8360" t="s">
        <v>4224</v>
      </c>
    </row>
    <row r="8361" spans="1:6" x14ac:dyDescent="0.25">
      <c r="A8361" t="s">
        <v>4315</v>
      </c>
      <c r="B8361" t="s">
        <v>24</v>
      </c>
      <c r="C8361" t="s">
        <v>25</v>
      </c>
      <c r="D8361" t="str">
        <f>HYPERLINK("http://service.sap.com/sap/support/notes/1607924","1607924")</f>
        <v>1607924</v>
      </c>
      <c r="E8361">
        <v>3</v>
      </c>
      <c r="F8361" t="s">
        <v>4225</v>
      </c>
    </row>
    <row r="8362" spans="1:6" x14ac:dyDescent="0.25">
      <c r="A8362" t="s">
        <v>4315</v>
      </c>
      <c r="B8362" t="s">
        <v>24</v>
      </c>
      <c r="C8362" t="s">
        <v>25</v>
      </c>
      <c r="D8362" t="str">
        <f>HYPERLINK("http://service.sap.com/sap/support/notes/1608331","1608331")</f>
        <v>1608331</v>
      </c>
      <c r="E8362">
        <v>1</v>
      </c>
      <c r="F8362" t="s">
        <v>4226</v>
      </c>
    </row>
    <row r="8363" spans="1:6" x14ac:dyDescent="0.25">
      <c r="A8363" t="s">
        <v>4315</v>
      </c>
      <c r="B8363" t="s">
        <v>24</v>
      </c>
      <c r="C8363" t="s">
        <v>25</v>
      </c>
      <c r="D8363" t="str">
        <f>HYPERLINK("http://service.sap.com/sap/support/notes/1609838","1609838")</f>
        <v>1609838</v>
      </c>
      <c r="E8363">
        <v>1</v>
      </c>
      <c r="F8363" t="s">
        <v>4227</v>
      </c>
    </row>
    <row r="8364" spans="1:6" x14ac:dyDescent="0.25">
      <c r="A8364" t="s">
        <v>4315</v>
      </c>
      <c r="B8364" t="s">
        <v>24</v>
      </c>
      <c r="C8364" t="s">
        <v>25</v>
      </c>
      <c r="D8364" t="str">
        <f>HYPERLINK("http://service.sap.com/sap/support/notes/1610807","1610807")</f>
        <v>1610807</v>
      </c>
      <c r="E8364">
        <v>1</v>
      </c>
      <c r="F8364" t="s">
        <v>4228</v>
      </c>
    </row>
    <row r="8365" spans="1:6" x14ac:dyDescent="0.25">
      <c r="A8365" t="s">
        <v>4315</v>
      </c>
      <c r="B8365" t="s">
        <v>24</v>
      </c>
      <c r="C8365" t="s">
        <v>25</v>
      </c>
      <c r="D8365" t="str">
        <f>HYPERLINK("http://service.sap.com/sap/support/notes/1611473","1611473")</f>
        <v>1611473</v>
      </c>
      <c r="E8365">
        <v>1</v>
      </c>
      <c r="F8365" t="s">
        <v>4229</v>
      </c>
    </row>
    <row r="8366" spans="1:6" x14ac:dyDescent="0.25">
      <c r="A8366" t="s">
        <v>4315</v>
      </c>
      <c r="B8366" t="s">
        <v>4074</v>
      </c>
      <c r="C8366" t="s">
        <v>4075</v>
      </c>
      <c r="D8366" t="str">
        <f>HYPERLINK("http://service.sap.com/sap/support/notes/1581544","1581544")</f>
        <v>1581544</v>
      </c>
      <c r="E8366">
        <v>1</v>
      </c>
      <c r="F8366" t="s">
        <v>4230</v>
      </c>
    </row>
    <row r="8367" spans="1:6" x14ac:dyDescent="0.25">
      <c r="A8367" t="s">
        <v>4315</v>
      </c>
      <c r="B8367" t="s">
        <v>4074</v>
      </c>
      <c r="C8367" t="s">
        <v>4075</v>
      </c>
      <c r="D8367" t="str">
        <f>HYPERLINK("http://service.sap.com/sap/support/notes/1583030","1583030")</f>
        <v>1583030</v>
      </c>
      <c r="E8367">
        <v>2</v>
      </c>
      <c r="F8367" t="s">
        <v>4231</v>
      </c>
    </row>
    <row r="8368" spans="1:6" x14ac:dyDescent="0.25">
      <c r="A8368" t="s">
        <v>4315</v>
      </c>
      <c r="B8368" t="s">
        <v>4074</v>
      </c>
      <c r="C8368" t="s">
        <v>4075</v>
      </c>
      <c r="D8368" t="str">
        <f>HYPERLINK("http://service.sap.com/sap/support/notes/1599860","1599860")</f>
        <v>1599860</v>
      </c>
      <c r="E8368">
        <v>1</v>
      </c>
      <c r="F8368" t="s">
        <v>4232</v>
      </c>
    </row>
    <row r="8369" spans="1:6" x14ac:dyDescent="0.25">
      <c r="A8369" t="s">
        <v>4315</v>
      </c>
      <c r="B8369" t="s">
        <v>4074</v>
      </c>
      <c r="C8369" t="s">
        <v>4075</v>
      </c>
      <c r="D8369" t="str">
        <f>HYPERLINK("http://service.sap.com/sap/support/notes/1599928","1599928")</f>
        <v>1599928</v>
      </c>
      <c r="E8369">
        <v>1</v>
      </c>
      <c r="F8369" t="s">
        <v>4233</v>
      </c>
    </row>
    <row r="8370" spans="1:6" x14ac:dyDescent="0.25">
      <c r="A8370" t="s">
        <v>4315</v>
      </c>
      <c r="B8370" t="s">
        <v>4074</v>
      </c>
      <c r="C8370" t="s">
        <v>4075</v>
      </c>
      <c r="D8370" t="str">
        <f>HYPERLINK("http://service.sap.com/sap/support/notes/1600511","1600511")</f>
        <v>1600511</v>
      </c>
      <c r="E8370">
        <v>3</v>
      </c>
      <c r="F8370" t="s">
        <v>4234</v>
      </c>
    </row>
    <row r="8371" spans="1:6" x14ac:dyDescent="0.25">
      <c r="A8371" t="s">
        <v>4315</v>
      </c>
      <c r="B8371" t="s">
        <v>4074</v>
      </c>
      <c r="C8371" t="s">
        <v>4075</v>
      </c>
      <c r="D8371" t="str">
        <f>HYPERLINK("http://service.sap.com/sap/support/notes/1600811","1600811")</f>
        <v>1600811</v>
      </c>
      <c r="E8371">
        <v>1</v>
      </c>
      <c r="F8371" t="s">
        <v>4235</v>
      </c>
    </row>
    <row r="8372" spans="1:6" x14ac:dyDescent="0.25">
      <c r="A8372" t="s">
        <v>4315</v>
      </c>
      <c r="B8372" t="s">
        <v>4074</v>
      </c>
      <c r="C8372" t="s">
        <v>4075</v>
      </c>
      <c r="D8372" t="str">
        <f>HYPERLINK("http://service.sap.com/sap/support/notes/1605083","1605083")</f>
        <v>1605083</v>
      </c>
      <c r="E8372">
        <v>1</v>
      </c>
      <c r="F8372" t="s">
        <v>4236</v>
      </c>
    </row>
    <row r="8373" spans="1:6" x14ac:dyDescent="0.25">
      <c r="A8373" t="s">
        <v>4315</v>
      </c>
      <c r="B8373" t="s">
        <v>4074</v>
      </c>
      <c r="C8373" t="s">
        <v>4075</v>
      </c>
      <c r="D8373" t="str">
        <f>HYPERLINK("http://service.sap.com/sap/support/notes/1606919","1606919")</f>
        <v>1606919</v>
      </c>
      <c r="E8373">
        <v>1</v>
      </c>
      <c r="F8373" t="s">
        <v>4237</v>
      </c>
    </row>
    <row r="8374" spans="1:6" x14ac:dyDescent="0.25">
      <c r="A8374" t="s">
        <v>4315</v>
      </c>
      <c r="B8374" t="s">
        <v>4074</v>
      </c>
      <c r="C8374" t="s">
        <v>4075</v>
      </c>
      <c r="D8374" t="str">
        <f>HYPERLINK("http://service.sap.com/sap/support/notes/1608176","1608176")</f>
        <v>1608176</v>
      </c>
      <c r="E8374">
        <v>2</v>
      </c>
      <c r="F8374" t="s">
        <v>4238</v>
      </c>
    </row>
    <row r="8375" spans="1:6" x14ac:dyDescent="0.25">
      <c r="A8375" t="s">
        <v>4315</v>
      </c>
      <c r="B8375" t="s">
        <v>4074</v>
      </c>
      <c r="C8375" t="s">
        <v>4075</v>
      </c>
      <c r="D8375" t="str">
        <f>HYPERLINK("http://service.sap.com/sap/support/notes/1609446","1609446")</f>
        <v>1609446</v>
      </c>
      <c r="E8375">
        <v>2</v>
      </c>
      <c r="F8375" t="s">
        <v>4239</v>
      </c>
    </row>
    <row r="8376" spans="1:6" x14ac:dyDescent="0.25">
      <c r="A8376" t="s">
        <v>4315</v>
      </c>
      <c r="B8376" t="s">
        <v>4074</v>
      </c>
      <c r="C8376" t="s">
        <v>4075</v>
      </c>
      <c r="D8376" t="str">
        <f>HYPERLINK("http://service.sap.com/sap/support/notes/1610336","1610336")</f>
        <v>1610336</v>
      </c>
      <c r="E8376">
        <v>1</v>
      </c>
      <c r="F8376" t="s">
        <v>4240</v>
      </c>
    </row>
    <row r="8377" spans="1:6" x14ac:dyDescent="0.25">
      <c r="A8377" t="s">
        <v>4315</v>
      </c>
      <c r="B8377" t="s">
        <v>4074</v>
      </c>
      <c r="C8377" t="s">
        <v>4075</v>
      </c>
      <c r="D8377" t="str">
        <f>HYPERLINK("http://service.sap.com/sap/support/notes/1612242","1612242")</f>
        <v>1612242</v>
      </c>
      <c r="E8377">
        <v>2</v>
      </c>
      <c r="F8377" t="s">
        <v>4241</v>
      </c>
    </row>
    <row r="8378" spans="1:6" x14ac:dyDescent="0.25">
      <c r="A8378" t="s">
        <v>4315</v>
      </c>
      <c r="B8378" t="s">
        <v>4074</v>
      </c>
      <c r="C8378" t="s">
        <v>4075</v>
      </c>
      <c r="D8378" t="str">
        <f>HYPERLINK("http://service.sap.com/sap/support/notes/1612753","1612753")</f>
        <v>1612753</v>
      </c>
      <c r="E8378">
        <v>1</v>
      </c>
      <c r="F8378" t="s">
        <v>4242</v>
      </c>
    </row>
    <row r="8379" spans="1:6" x14ac:dyDescent="0.25">
      <c r="A8379" t="s">
        <v>4315</v>
      </c>
      <c r="B8379" t="s">
        <v>4074</v>
      </c>
      <c r="C8379" t="s">
        <v>4075</v>
      </c>
      <c r="D8379" t="str">
        <f>HYPERLINK("http://service.sap.com/sap/support/notes/1613153","1613153")</f>
        <v>1613153</v>
      </c>
      <c r="E8379">
        <v>2</v>
      </c>
      <c r="F8379" t="s">
        <v>4243</v>
      </c>
    </row>
    <row r="8380" spans="1:6" x14ac:dyDescent="0.25">
      <c r="A8380" t="s">
        <v>4315</v>
      </c>
      <c r="B8380" t="s">
        <v>4081</v>
      </c>
      <c r="C8380" t="s">
        <v>4082</v>
      </c>
      <c r="D8380" t="str">
        <f>HYPERLINK("http://service.sap.com/sap/support/notes/1601645","1601645")</f>
        <v>1601645</v>
      </c>
      <c r="E8380">
        <v>1</v>
      </c>
      <c r="F8380" t="s">
        <v>4244</v>
      </c>
    </row>
    <row r="8381" spans="1:6" x14ac:dyDescent="0.25">
      <c r="A8381" t="s">
        <v>4315</v>
      </c>
      <c r="B8381" t="s">
        <v>4081</v>
      </c>
      <c r="C8381" t="s">
        <v>4082</v>
      </c>
      <c r="D8381" t="str">
        <f>HYPERLINK("http://service.sap.com/sap/support/notes/1602065","1602065")</f>
        <v>1602065</v>
      </c>
      <c r="E8381">
        <v>2</v>
      </c>
      <c r="F8381" t="s">
        <v>4245</v>
      </c>
    </row>
    <row r="8382" spans="1:6" x14ac:dyDescent="0.25">
      <c r="A8382" t="s">
        <v>4315</v>
      </c>
      <c r="B8382" t="s">
        <v>4081</v>
      </c>
      <c r="C8382" t="s">
        <v>4082</v>
      </c>
      <c r="D8382" t="str">
        <f>HYPERLINK("http://service.sap.com/sap/support/notes/1606583","1606583")</f>
        <v>1606583</v>
      </c>
      <c r="E8382">
        <v>1</v>
      </c>
      <c r="F8382" t="s">
        <v>4246</v>
      </c>
    </row>
    <row r="8383" spans="1:6" x14ac:dyDescent="0.25">
      <c r="A8383" t="s">
        <v>4315</v>
      </c>
      <c r="B8383" t="s">
        <v>4081</v>
      </c>
      <c r="C8383" t="s">
        <v>4082</v>
      </c>
      <c r="D8383" t="str">
        <f>HYPERLINK("http://service.sap.com/sap/support/notes/1610790","1610790")</f>
        <v>1610790</v>
      </c>
      <c r="E8383">
        <v>4</v>
      </c>
      <c r="F8383" t="s">
        <v>4247</v>
      </c>
    </row>
    <row r="8384" spans="1:6" x14ac:dyDescent="0.25">
      <c r="A8384" t="s">
        <v>4315</v>
      </c>
      <c r="B8384" t="s">
        <v>4248</v>
      </c>
      <c r="C8384" t="s">
        <v>4249</v>
      </c>
      <c r="D8384" t="str">
        <f>HYPERLINK("http://service.sap.com/sap/support/notes/1585884","1585884")</f>
        <v>1585884</v>
      </c>
      <c r="E8384">
        <v>3</v>
      </c>
      <c r="F8384" t="s">
        <v>4250</v>
      </c>
    </row>
    <row r="8385" spans="1:6" x14ac:dyDescent="0.25">
      <c r="A8385" t="s">
        <v>4315</v>
      </c>
      <c r="B8385" t="s">
        <v>27</v>
      </c>
      <c r="C8385" t="s">
        <v>13</v>
      </c>
    </row>
    <row r="8386" spans="1:6" x14ac:dyDescent="0.25">
      <c r="A8386" t="s">
        <v>4315</v>
      </c>
      <c r="B8386" t="s">
        <v>4091</v>
      </c>
      <c r="C8386" t="s">
        <v>4092</v>
      </c>
      <c r="D8386" t="str">
        <f>HYPERLINK("http://service.sap.com/sap/support/notes/1542829","1542829")</f>
        <v>1542829</v>
      </c>
      <c r="E8386">
        <v>4</v>
      </c>
      <c r="F8386" t="s">
        <v>4251</v>
      </c>
    </row>
    <row r="8387" spans="1:6" x14ac:dyDescent="0.25">
      <c r="A8387" t="s">
        <v>4315</v>
      </c>
      <c r="B8387" t="s">
        <v>4091</v>
      </c>
      <c r="C8387" t="s">
        <v>4092</v>
      </c>
      <c r="D8387" t="str">
        <f>HYPERLINK("http://service.sap.com/sap/support/notes/1563192","1563192")</f>
        <v>1563192</v>
      </c>
      <c r="E8387">
        <v>4</v>
      </c>
      <c r="F8387" t="s">
        <v>4252</v>
      </c>
    </row>
    <row r="8388" spans="1:6" x14ac:dyDescent="0.25">
      <c r="A8388" t="s">
        <v>4315</v>
      </c>
      <c r="B8388" t="s">
        <v>4091</v>
      </c>
      <c r="C8388" t="s">
        <v>4092</v>
      </c>
      <c r="D8388" t="str">
        <f>HYPERLINK("http://service.sap.com/sap/support/notes/1579387","1579387")</f>
        <v>1579387</v>
      </c>
      <c r="E8388">
        <v>1</v>
      </c>
      <c r="F8388" t="s">
        <v>4253</v>
      </c>
    </row>
    <row r="8389" spans="1:6" x14ac:dyDescent="0.25">
      <c r="A8389" t="s">
        <v>4315</v>
      </c>
      <c r="B8389" t="s">
        <v>4091</v>
      </c>
      <c r="C8389" t="s">
        <v>4092</v>
      </c>
      <c r="D8389" t="str">
        <f>HYPERLINK("http://service.sap.com/sap/support/notes/1593950","1593950")</f>
        <v>1593950</v>
      </c>
      <c r="E8389">
        <v>2</v>
      </c>
      <c r="F8389" t="s">
        <v>4096</v>
      </c>
    </row>
    <row r="8390" spans="1:6" x14ac:dyDescent="0.25">
      <c r="A8390" t="s">
        <v>4315</v>
      </c>
      <c r="B8390" t="s">
        <v>4091</v>
      </c>
      <c r="C8390" t="s">
        <v>4092</v>
      </c>
      <c r="D8390" t="str">
        <f>HYPERLINK("http://service.sap.com/sap/support/notes/1600736","1600736")</f>
        <v>1600736</v>
      </c>
      <c r="E8390">
        <v>1</v>
      </c>
      <c r="F8390" t="s">
        <v>4254</v>
      </c>
    </row>
    <row r="8391" spans="1:6" x14ac:dyDescent="0.25">
      <c r="A8391" t="s">
        <v>4315</v>
      </c>
      <c r="B8391" t="s">
        <v>4091</v>
      </c>
      <c r="C8391" t="s">
        <v>4092</v>
      </c>
      <c r="D8391" t="str">
        <f>HYPERLINK("http://service.sap.com/sap/support/notes/1608699","1608699")</f>
        <v>1608699</v>
      </c>
      <c r="E8391">
        <v>4</v>
      </c>
      <c r="F8391" t="s">
        <v>4255</v>
      </c>
    </row>
    <row r="8392" spans="1:6" x14ac:dyDescent="0.25">
      <c r="A8392" t="s">
        <v>4315</v>
      </c>
      <c r="B8392" t="s">
        <v>2161</v>
      </c>
      <c r="C8392" t="s">
        <v>2162</v>
      </c>
      <c r="D8392" t="str">
        <f>HYPERLINK("http://service.sap.com/sap/support/notes/1602553","1602553")</f>
        <v>1602553</v>
      </c>
      <c r="E8392">
        <v>2</v>
      </c>
      <c r="F8392" t="s">
        <v>4256</v>
      </c>
    </row>
    <row r="8393" spans="1:6" x14ac:dyDescent="0.25">
      <c r="A8393" t="s">
        <v>4315</v>
      </c>
      <c r="B8393" t="s">
        <v>4105</v>
      </c>
      <c r="C8393" t="s">
        <v>4106</v>
      </c>
      <c r="D8393" t="str">
        <f>HYPERLINK("http://service.sap.com/sap/support/notes/1611549","1611549")</f>
        <v>1611549</v>
      </c>
      <c r="E8393">
        <v>1</v>
      </c>
      <c r="F8393" t="s">
        <v>4257</v>
      </c>
    </row>
    <row r="8394" spans="1:6" x14ac:dyDescent="0.25">
      <c r="A8394" t="s">
        <v>4315</v>
      </c>
      <c r="B8394" t="s">
        <v>4105</v>
      </c>
      <c r="C8394" t="s">
        <v>4106</v>
      </c>
      <c r="D8394" t="str">
        <f>HYPERLINK("http://service.sap.com/sap/support/notes/1613107","1613107")</f>
        <v>1613107</v>
      </c>
      <c r="E8394">
        <v>1</v>
      </c>
      <c r="F8394" t="s">
        <v>4258</v>
      </c>
    </row>
    <row r="8395" spans="1:6" x14ac:dyDescent="0.25">
      <c r="A8395" t="s">
        <v>4315</v>
      </c>
      <c r="B8395" t="s">
        <v>4109</v>
      </c>
      <c r="C8395" t="s">
        <v>4110</v>
      </c>
      <c r="D8395" t="str">
        <f>HYPERLINK("http://service.sap.com/sap/support/notes/1607304","1607304")</f>
        <v>1607304</v>
      </c>
      <c r="E8395">
        <v>1</v>
      </c>
      <c r="F8395" t="s">
        <v>4259</v>
      </c>
    </row>
    <row r="8396" spans="1:6" x14ac:dyDescent="0.25">
      <c r="A8396" t="s">
        <v>4315</v>
      </c>
      <c r="B8396" t="s">
        <v>4260</v>
      </c>
      <c r="C8396" t="s">
        <v>4261</v>
      </c>
      <c r="D8396" t="str">
        <f>HYPERLINK("http://service.sap.com/sap/support/notes/1605374","1605374")</f>
        <v>1605374</v>
      </c>
      <c r="E8396">
        <v>1</v>
      </c>
      <c r="F8396" t="s">
        <v>4262</v>
      </c>
    </row>
    <row r="8397" spans="1:6" x14ac:dyDescent="0.25">
      <c r="A8397" t="s">
        <v>4315</v>
      </c>
      <c r="B8397" t="s">
        <v>4112</v>
      </c>
      <c r="C8397" t="s">
        <v>4113</v>
      </c>
      <c r="D8397" t="str">
        <f>HYPERLINK("http://service.sap.com/sap/support/notes/1603122","1603122")</f>
        <v>1603122</v>
      </c>
      <c r="E8397">
        <v>1</v>
      </c>
      <c r="F8397" t="s">
        <v>4263</v>
      </c>
    </row>
    <row r="8398" spans="1:6" x14ac:dyDescent="0.25">
      <c r="A8398" t="s">
        <v>4315</v>
      </c>
      <c r="B8398" t="s">
        <v>4112</v>
      </c>
      <c r="C8398" t="s">
        <v>4113</v>
      </c>
      <c r="D8398" t="str">
        <f>HYPERLINK("http://service.sap.com/sap/support/notes/1606614","1606614")</f>
        <v>1606614</v>
      </c>
      <c r="E8398">
        <v>2</v>
      </c>
      <c r="F8398" t="s">
        <v>4264</v>
      </c>
    </row>
    <row r="8399" spans="1:6" x14ac:dyDescent="0.25">
      <c r="A8399" t="s">
        <v>4315</v>
      </c>
      <c r="B8399" t="s">
        <v>38</v>
      </c>
      <c r="C8399" t="s">
        <v>39</v>
      </c>
    </row>
    <row r="8400" spans="1:6" x14ac:dyDescent="0.25">
      <c r="A8400" t="s">
        <v>4315</v>
      </c>
      <c r="B8400" t="s">
        <v>57</v>
      </c>
      <c r="C8400" t="s">
        <v>58</v>
      </c>
    </row>
    <row r="8401" spans="1:6" x14ac:dyDescent="0.25">
      <c r="A8401" t="s">
        <v>4315</v>
      </c>
      <c r="B8401" t="s">
        <v>59</v>
      </c>
      <c r="C8401" t="s">
        <v>60</v>
      </c>
      <c r="D8401" t="str">
        <f>HYPERLINK("http://service.sap.com/sap/support/notes/1601949","1601949")</f>
        <v>1601949</v>
      </c>
      <c r="E8401">
        <v>2</v>
      </c>
      <c r="F8401" t="s">
        <v>4265</v>
      </c>
    </row>
    <row r="8402" spans="1:6" x14ac:dyDescent="0.25">
      <c r="A8402" t="s">
        <v>4315</v>
      </c>
      <c r="B8402" t="s">
        <v>79</v>
      </c>
      <c r="C8402" t="s">
        <v>80</v>
      </c>
      <c r="D8402" t="str">
        <f>HYPERLINK("http://service.sap.com/sap/support/notes/1602202","1602202")</f>
        <v>1602202</v>
      </c>
      <c r="E8402">
        <v>1</v>
      </c>
      <c r="F8402" t="s">
        <v>4266</v>
      </c>
    </row>
    <row r="8403" spans="1:6" x14ac:dyDescent="0.25">
      <c r="A8403" t="s">
        <v>4315</v>
      </c>
      <c r="B8403" t="s">
        <v>92</v>
      </c>
      <c r="C8403" t="s">
        <v>93</v>
      </c>
      <c r="D8403" t="str">
        <f>HYPERLINK("http://service.sap.com/sap/support/notes/1605356","1605356")</f>
        <v>1605356</v>
      </c>
      <c r="E8403">
        <v>2</v>
      </c>
      <c r="F8403" t="s">
        <v>4267</v>
      </c>
    </row>
    <row r="8404" spans="1:6" x14ac:dyDescent="0.25">
      <c r="A8404" t="s">
        <v>4315</v>
      </c>
      <c r="B8404" t="s">
        <v>92</v>
      </c>
      <c r="C8404" t="s">
        <v>93</v>
      </c>
      <c r="D8404" t="str">
        <f>HYPERLINK("http://service.sap.com/sap/support/notes/1606393","1606393")</f>
        <v>1606393</v>
      </c>
      <c r="E8404">
        <v>1</v>
      </c>
      <c r="F8404" t="s">
        <v>4268</v>
      </c>
    </row>
    <row r="8405" spans="1:6" x14ac:dyDescent="0.25">
      <c r="A8405" t="s">
        <v>4315</v>
      </c>
      <c r="B8405" t="s">
        <v>107</v>
      </c>
      <c r="C8405" t="s">
        <v>108</v>
      </c>
      <c r="D8405" t="str">
        <f>HYPERLINK("http://service.sap.com/sap/support/notes/1555555","1555555")</f>
        <v>1555555</v>
      </c>
      <c r="E8405">
        <v>3</v>
      </c>
      <c r="F8405" t="s">
        <v>4123</v>
      </c>
    </row>
    <row r="8406" spans="1:6" x14ac:dyDescent="0.25">
      <c r="A8406" t="s">
        <v>4315</v>
      </c>
      <c r="B8406" t="s">
        <v>107</v>
      </c>
      <c r="C8406" t="s">
        <v>108</v>
      </c>
      <c r="D8406" t="str">
        <f>HYPERLINK("http://service.sap.com/sap/support/notes/1583047","1583047")</f>
        <v>1583047</v>
      </c>
      <c r="E8406">
        <v>2</v>
      </c>
      <c r="F8406" t="s">
        <v>4269</v>
      </c>
    </row>
    <row r="8407" spans="1:6" x14ac:dyDescent="0.25">
      <c r="A8407" t="s">
        <v>4315</v>
      </c>
      <c r="B8407" t="s">
        <v>107</v>
      </c>
      <c r="C8407" t="s">
        <v>108</v>
      </c>
      <c r="D8407" t="str">
        <f>HYPERLINK("http://service.sap.com/sap/support/notes/1613518","1613518")</f>
        <v>1613518</v>
      </c>
      <c r="E8407">
        <v>2</v>
      </c>
      <c r="F8407" t="s">
        <v>4270</v>
      </c>
    </row>
    <row r="8408" spans="1:6" x14ac:dyDescent="0.25">
      <c r="A8408" t="s">
        <v>4315</v>
      </c>
      <c r="B8408" t="s">
        <v>790</v>
      </c>
      <c r="C8408" t="s">
        <v>4125</v>
      </c>
    </row>
    <row r="8409" spans="1:6" x14ac:dyDescent="0.25">
      <c r="A8409" t="s">
        <v>4315</v>
      </c>
      <c r="B8409" t="s">
        <v>791</v>
      </c>
      <c r="C8409" t="s">
        <v>4126</v>
      </c>
      <c r="D8409" t="str">
        <f>HYPERLINK("http://service.sap.com/sap/support/notes/1593866","1593866")</f>
        <v>1593866</v>
      </c>
      <c r="E8409">
        <v>6</v>
      </c>
      <c r="F8409" t="s">
        <v>4271</v>
      </c>
    </row>
    <row r="8410" spans="1:6" x14ac:dyDescent="0.25">
      <c r="A8410" t="s">
        <v>4315</v>
      </c>
      <c r="B8410" t="s">
        <v>791</v>
      </c>
      <c r="C8410" t="s">
        <v>4126</v>
      </c>
      <c r="D8410" t="str">
        <f>HYPERLINK("http://service.sap.com/sap/support/notes/1602282","1602282")</f>
        <v>1602282</v>
      </c>
      <c r="E8410">
        <v>1</v>
      </c>
      <c r="F8410" t="s">
        <v>4272</v>
      </c>
    </row>
    <row r="8411" spans="1:6" x14ac:dyDescent="0.25">
      <c r="A8411" t="s">
        <v>4315</v>
      </c>
      <c r="B8411" t="s">
        <v>791</v>
      </c>
      <c r="C8411" t="s">
        <v>4126</v>
      </c>
      <c r="D8411" t="str">
        <f>HYPERLINK("http://service.sap.com/sap/support/notes/1605606","1605606")</f>
        <v>1605606</v>
      </c>
      <c r="E8411">
        <v>1</v>
      </c>
      <c r="F8411" t="s">
        <v>4273</v>
      </c>
    </row>
    <row r="8412" spans="1:6" x14ac:dyDescent="0.25">
      <c r="A8412" t="s">
        <v>4315</v>
      </c>
      <c r="B8412" t="s">
        <v>791</v>
      </c>
      <c r="C8412" t="s">
        <v>4126</v>
      </c>
      <c r="D8412" t="str">
        <f>HYPERLINK("http://service.sap.com/sap/support/notes/1605979","1605979")</f>
        <v>1605979</v>
      </c>
      <c r="E8412">
        <v>1</v>
      </c>
      <c r="F8412" t="s">
        <v>4274</v>
      </c>
    </row>
    <row r="8413" spans="1:6" x14ac:dyDescent="0.25">
      <c r="A8413" t="s">
        <v>4315</v>
      </c>
      <c r="B8413" t="s">
        <v>791</v>
      </c>
      <c r="C8413" t="s">
        <v>4126</v>
      </c>
      <c r="D8413" t="str">
        <f>HYPERLINK("http://service.sap.com/sap/support/notes/1607502","1607502")</f>
        <v>1607502</v>
      </c>
      <c r="E8413">
        <v>2</v>
      </c>
      <c r="F8413" t="s">
        <v>4275</v>
      </c>
    </row>
    <row r="8414" spans="1:6" x14ac:dyDescent="0.25">
      <c r="A8414" t="s">
        <v>4315</v>
      </c>
      <c r="B8414" t="s">
        <v>810</v>
      </c>
      <c r="C8414" t="s">
        <v>4131</v>
      </c>
    </row>
    <row r="8415" spans="1:6" x14ac:dyDescent="0.25">
      <c r="A8415" t="s">
        <v>4315</v>
      </c>
      <c r="B8415" t="s">
        <v>811</v>
      </c>
      <c r="C8415" t="s">
        <v>4132</v>
      </c>
      <c r="D8415" t="str">
        <f>HYPERLINK("http://service.sap.com/sap/support/notes/1561640","1561640")</f>
        <v>1561640</v>
      </c>
      <c r="E8415">
        <v>3</v>
      </c>
      <c r="F8415" t="s">
        <v>4276</v>
      </c>
    </row>
    <row r="8416" spans="1:6" x14ac:dyDescent="0.25">
      <c r="A8416" t="s">
        <v>4315</v>
      </c>
      <c r="B8416" t="s">
        <v>811</v>
      </c>
      <c r="C8416" t="s">
        <v>4132</v>
      </c>
      <c r="D8416" t="str">
        <f>HYPERLINK("http://service.sap.com/sap/support/notes/1576699","1576699")</f>
        <v>1576699</v>
      </c>
      <c r="E8416">
        <v>2</v>
      </c>
      <c r="F8416" t="s">
        <v>4277</v>
      </c>
    </row>
    <row r="8417" spans="1:6" x14ac:dyDescent="0.25">
      <c r="A8417" t="s">
        <v>4315</v>
      </c>
      <c r="B8417" t="s">
        <v>811</v>
      </c>
      <c r="C8417" t="s">
        <v>4132</v>
      </c>
      <c r="D8417" t="str">
        <f>HYPERLINK("http://service.sap.com/sap/support/notes/1577314","1577314")</f>
        <v>1577314</v>
      </c>
      <c r="E8417">
        <v>7</v>
      </c>
      <c r="F8417" t="s">
        <v>4133</v>
      </c>
    </row>
    <row r="8418" spans="1:6" x14ac:dyDescent="0.25">
      <c r="A8418" t="s">
        <v>4315</v>
      </c>
      <c r="B8418" t="s">
        <v>4135</v>
      </c>
      <c r="C8418" t="s">
        <v>4136</v>
      </c>
      <c r="D8418" t="str">
        <f>HYPERLINK("http://service.sap.com/sap/support/notes/1522882","1522882")</f>
        <v>1522882</v>
      </c>
      <c r="E8418">
        <v>2</v>
      </c>
      <c r="F8418" t="s">
        <v>4278</v>
      </c>
    </row>
    <row r="8419" spans="1:6" x14ac:dyDescent="0.25">
      <c r="A8419" t="s">
        <v>4315</v>
      </c>
      <c r="B8419" t="s">
        <v>3547</v>
      </c>
      <c r="C8419" t="s">
        <v>1734</v>
      </c>
      <c r="D8419" t="str">
        <f>HYPERLINK("http://service.sap.com/sap/support/notes/1561190","1561190")</f>
        <v>1561190</v>
      </c>
      <c r="E8419">
        <v>4</v>
      </c>
      <c r="F8419" t="s">
        <v>4279</v>
      </c>
    </row>
    <row r="8420" spans="1:6" x14ac:dyDescent="0.25">
      <c r="A8420" t="s">
        <v>4315</v>
      </c>
      <c r="B8420" t="s">
        <v>3547</v>
      </c>
      <c r="C8420" t="s">
        <v>1734</v>
      </c>
      <c r="D8420" t="str">
        <f>HYPERLINK("http://service.sap.com/sap/support/notes/1586839","1586839")</f>
        <v>1586839</v>
      </c>
      <c r="E8420">
        <v>4</v>
      </c>
      <c r="F8420" t="s">
        <v>4280</v>
      </c>
    </row>
    <row r="8421" spans="1:6" x14ac:dyDescent="0.25">
      <c r="A8421" t="s">
        <v>4315</v>
      </c>
      <c r="B8421" t="s">
        <v>4144</v>
      </c>
      <c r="C8421" t="s">
        <v>4145</v>
      </c>
      <c r="D8421" t="str">
        <f>HYPERLINK("http://service.sap.com/sap/support/notes/1575158","1575158")</f>
        <v>1575158</v>
      </c>
      <c r="E8421">
        <v>1</v>
      </c>
      <c r="F8421" t="s">
        <v>4281</v>
      </c>
    </row>
    <row r="8422" spans="1:6" x14ac:dyDescent="0.25">
      <c r="A8422" t="s">
        <v>4315</v>
      </c>
      <c r="B8422" t="s">
        <v>4144</v>
      </c>
      <c r="C8422" t="s">
        <v>4145</v>
      </c>
      <c r="D8422" t="str">
        <f>HYPERLINK("http://service.sap.com/sap/support/notes/1601265","1601265")</f>
        <v>1601265</v>
      </c>
      <c r="E8422">
        <v>2</v>
      </c>
      <c r="F8422" t="s">
        <v>4282</v>
      </c>
    </row>
    <row r="8423" spans="1:6" x14ac:dyDescent="0.25">
      <c r="A8423" t="s">
        <v>4315</v>
      </c>
      <c r="B8423" t="s">
        <v>4144</v>
      </c>
      <c r="C8423" t="s">
        <v>4145</v>
      </c>
      <c r="D8423" t="str">
        <f>HYPERLINK("http://service.sap.com/sap/support/notes/1605528","1605528")</f>
        <v>1605528</v>
      </c>
      <c r="E8423">
        <v>1</v>
      </c>
      <c r="F8423" t="s">
        <v>4283</v>
      </c>
    </row>
    <row r="8424" spans="1:6" x14ac:dyDescent="0.25">
      <c r="A8424" t="s">
        <v>4315</v>
      </c>
      <c r="B8424" t="s">
        <v>4144</v>
      </c>
      <c r="C8424" t="s">
        <v>4145</v>
      </c>
      <c r="D8424" t="str">
        <f>HYPERLINK("http://service.sap.com/sap/support/notes/1606313","1606313")</f>
        <v>1606313</v>
      </c>
      <c r="E8424">
        <v>1</v>
      </c>
      <c r="F8424" t="s">
        <v>4284</v>
      </c>
    </row>
    <row r="8425" spans="1:6" x14ac:dyDescent="0.25">
      <c r="A8425" t="s">
        <v>4315</v>
      </c>
      <c r="B8425" t="s">
        <v>4144</v>
      </c>
      <c r="C8425" t="s">
        <v>4145</v>
      </c>
      <c r="D8425" t="str">
        <f>HYPERLINK("http://service.sap.com/sap/support/notes/1609481","1609481")</f>
        <v>1609481</v>
      </c>
      <c r="E8425">
        <v>1</v>
      </c>
      <c r="F8425" t="s">
        <v>4285</v>
      </c>
    </row>
    <row r="8426" spans="1:6" x14ac:dyDescent="0.25">
      <c r="A8426" t="s">
        <v>4315</v>
      </c>
      <c r="B8426" t="s">
        <v>4144</v>
      </c>
      <c r="C8426" t="s">
        <v>4145</v>
      </c>
      <c r="D8426" t="str">
        <f>HYPERLINK("http://service.sap.com/sap/support/notes/1612692","1612692")</f>
        <v>1612692</v>
      </c>
      <c r="E8426">
        <v>1</v>
      </c>
      <c r="F8426" t="s">
        <v>4286</v>
      </c>
    </row>
    <row r="8427" spans="1:6" x14ac:dyDescent="0.25">
      <c r="A8427" t="s">
        <v>4315</v>
      </c>
      <c r="B8427" t="s">
        <v>126</v>
      </c>
      <c r="C8427" t="s">
        <v>127</v>
      </c>
    </row>
    <row r="8428" spans="1:6" x14ac:dyDescent="0.25">
      <c r="A8428" t="s">
        <v>4315</v>
      </c>
      <c r="B8428" t="s">
        <v>824</v>
      </c>
      <c r="C8428" t="s">
        <v>1777</v>
      </c>
    </row>
    <row r="8429" spans="1:6" x14ac:dyDescent="0.25">
      <c r="A8429" t="s">
        <v>4315</v>
      </c>
      <c r="B8429" t="s">
        <v>825</v>
      </c>
      <c r="C8429" t="s">
        <v>1778</v>
      </c>
      <c r="D8429" t="str">
        <f>HYPERLINK("http://service.sap.com/sap/support/notes/1529020","1529020")</f>
        <v>1529020</v>
      </c>
      <c r="E8429">
        <v>2</v>
      </c>
      <c r="F8429" t="s">
        <v>4287</v>
      </c>
    </row>
    <row r="8430" spans="1:6" x14ac:dyDescent="0.25">
      <c r="A8430" t="s">
        <v>4315</v>
      </c>
      <c r="B8430" t="s">
        <v>825</v>
      </c>
      <c r="C8430" t="s">
        <v>1778</v>
      </c>
      <c r="D8430" t="str">
        <f>HYPERLINK("http://service.sap.com/sap/support/notes/1564139","1564139")</f>
        <v>1564139</v>
      </c>
      <c r="E8430">
        <v>2</v>
      </c>
      <c r="F8430" t="s">
        <v>4288</v>
      </c>
    </row>
    <row r="8431" spans="1:6" x14ac:dyDescent="0.25">
      <c r="A8431" t="s">
        <v>4315</v>
      </c>
      <c r="B8431" t="s">
        <v>825</v>
      </c>
      <c r="C8431" t="s">
        <v>1778</v>
      </c>
      <c r="D8431" t="str">
        <f>HYPERLINK("http://service.sap.com/sap/support/notes/1577148","1577148")</f>
        <v>1577148</v>
      </c>
      <c r="E8431">
        <v>3</v>
      </c>
      <c r="F8431" t="s">
        <v>4289</v>
      </c>
    </row>
    <row r="8432" spans="1:6" x14ac:dyDescent="0.25">
      <c r="A8432" t="s">
        <v>4315</v>
      </c>
      <c r="B8432" t="s">
        <v>825</v>
      </c>
      <c r="C8432" t="s">
        <v>1778</v>
      </c>
      <c r="D8432" t="str">
        <f>HYPERLINK("http://service.sap.com/sap/support/notes/1593375","1593375")</f>
        <v>1593375</v>
      </c>
      <c r="E8432">
        <v>2</v>
      </c>
      <c r="F8432" t="s">
        <v>4290</v>
      </c>
    </row>
    <row r="8433" spans="1:6" x14ac:dyDescent="0.25">
      <c r="A8433" t="s">
        <v>4315</v>
      </c>
      <c r="B8433" t="s">
        <v>825</v>
      </c>
      <c r="C8433" t="s">
        <v>1778</v>
      </c>
      <c r="D8433" t="str">
        <f>HYPERLINK("http://service.sap.com/sap/support/notes/1597143","1597143")</f>
        <v>1597143</v>
      </c>
      <c r="E8433">
        <v>1</v>
      </c>
      <c r="F8433" t="s">
        <v>4291</v>
      </c>
    </row>
    <row r="8434" spans="1:6" x14ac:dyDescent="0.25">
      <c r="A8434" t="s">
        <v>4315</v>
      </c>
      <c r="B8434" t="s">
        <v>825</v>
      </c>
      <c r="C8434" t="s">
        <v>1778</v>
      </c>
      <c r="D8434" t="str">
        <f>HYPERLINK("http://service.sap.com/sap/support/notes/1601764","1601764")</f>
        <v>1601764</v>
      </c>
      <c r="E8434">
        <v>2</v>
      </c>
      <c r="F8434" t="s">
        <v>4292</v>
      </c>
    </row>
    <row r="8435" spans="1:6" x14ac:dyDescent="0.25">
      <c r="A8435" t="s">
        <v>4315</v>
      </c>
      <c r="B8435" t="s">
        <v>131</v>
      </c>
      <c r="C8435" t="s">
        <v>132</v>
      </c>
    </row>
    <row r="8436" spans="1:6" x14ac:dyDescent="0.25">
      <c r="A8436" t="s">
        <v>4315</v>
      </c>
      <c r="B8436" t="s">
        <v>133</v>
      </c>
      <c r="C8436" t="s">
        <v>134</v>
      </c>
      <c r="D8436" t="str">
        <f>HYPERLINK("http://service.sap.com/sap/support/notes/1591663","1591663")</f>
        <v>1591663</v>
      </c>
      <c r="E8436">
        <v>3</v>
      </c>
      <c r="F8436" t="s">
        <v>4293</v>
      </c>
    </row>
    <row r="8437" spans="1:6" x14ac:dyDescent="0.25">
      <c r="A8437" t="s">
        <v>4315</v>
      </c>
      <c r="B8437" t="s">
        <v>155</v>
      </c>
      <c r="C8437" t="s">
        <v>156</v>
      </c>
      <c r="D8437" t="str">
        <f>HYPERLINK("http://service.sap.com/sap/support/notes/1605887","1605887")</f>
        <v>1605887</v>
      </c>
      <c r="E8437">
        <v>1</v>
      </c>
      <c r="F8437" t="s">
        <v>4294</v>
      </c>
    </row>
    <row r="8438" spans="1:6" x14ac:dyDescent="0.25">
      <c r="A8438" t="s">
        <v>4315</v>
      </c>
      <c r="B8438" t="s">
        <v>168</v>
      </c>
      <c r="C8438" t="s">
        <v>169</v>
      </c>
      <c r="D8438" t="str">
        <f>HYPERLINK("http://service.sap.com/sap/support/notes/1601241","1601241")</f>
        <v>1601241</v>
      </c>
      <c r="E8438">
        <v>2</v>
      </c>
      <c r="F8438" t="s">
        <v>4295</v>
      </c>
    </row>
    <row r="8439" spans="1:6" x14ac:dyDescent="0.25">
      <c r="A8439" t="s">
        <v>4315</v>
      </c>
      <c r="B8439" t="s">
        <v>168</v>
      </c>
      <c r="C8439" t="s">
        <v>169</v>
      </c>
      <c r="D8439" t="str">
        <f>HYPERLINK("http://service.sap.com/sap/support/notes/1604841","1604841")</f>
        <v>1604841</v>
      </c>
      <c r="E8439">
        <v>1</v>
      </c>
      <c r="F8439" t="s">
        <v>4296</v>
      </c>
    </row>
    <row r="8440" spans="1:6" x14ac:dyDescent="0.25">
      <c r="A8440" t="s">
        <v>4315</v>
      </c>
      <c r="B8440" t="s">
        <v>168</v>
      </c>
      <c r="C8440" t="s">
        <v>169</v>
      </c>
      <c r="D8440" t="str">
        <f>HYPERLINK("http://service.sap.com/sap/support/notes/1605007","1605007")</f>
        <v>1605007</v>
      </c>
      <c r="E8440">
        <v>1</v>
      </c>
      <c r="F8440" t="s">
        <v>4297</v>
      </c>
    </row>
    <row r="8441" spans="1:6" x14ac:dyDescent="0.25">
      <c r="A8441" t="s">
        <v>4315</v>
      </c>
      <c r="B8441" t="s">
        <v>168</v>
      </c>
      <c r="C8441" t="s">
        <v>169</v>
      </c>
      <c r="D8441" t="str">
        <f>HYPERLINK("http://service.sap.com/sap/support/notes/1605281","1605281")</f>
        <v>1605281</v>
      </c>
      <c r="E8441">
        <v>1</v>
      </c>
      <c r="F8441" t="s">
        <v>4298</v>
      </c>
    </row>
    <row r="8442" spans="1:6" x14ac:dyDescent="0.25">
      <c r="A8442" t="s">
        <v>4315</v>
      </c>
      <c r="B8442" t="s">
        <v>168</v>
      </c>
      <c r="C8442" t="s">
        <v>169</v>
      </c>
      <c r="D8442" t="str">
        <f>HYPERLINK("http://service.sap.com/sap/support/notes/1605996","1605996")</f>
        <v>1605996</v>
      </c>
      <c r="E8442">
        <v>1</v>
      </c>
      <c r="F8442" t="s">
        <v>4299</v>
      </c>
    </row>
    <row r="8443" spans="1:6" x14ac:dyDescent="0.25">
      <c r="A8443" t="s">
        <v>4315</v>
      </c>
      <c r="B8443" t="s">
        <v>168</v>
      </c>
      <c r="C8443" t="s">
        <v>169</v>
      </c>
      <c r="D8443" t="str">
        <f>HYPERLINK("http://service.sap.com/sap/support/notes/1612794","1612794")</f>
        <v>1612794</v>
      </c>
      <c r="E8443">
        <v>1</v>
      </c>
      <c r="F8443" t="s">
        <v>4300</v>
      </c>
    </row>
    <row r="8444" spans="1:6" x14ac:dyDescent="0.25">
      <c r="A8444" t="s">
        <v>4315</v>
      </c>
      <c r="B8444" t="s">
        <v>207</v>
      </c>
      <c r="C8444" t="s">
        <v>208</v>
      </c>
      <c r="D8444" t="str">
        <f>HYPERLINK("http://service.sap.com/sap/support/notes/1605514","1605514")</f>
        <v>1605514</v>
      </c>
      <c r="E8444">
        <v>2</v>
      </c>
      <c r="F8444" t="s">
        <v>4301</v>
      </c>
    </row>
    <row r="8445" spans="1:6" x14ac:dyDescent="0.25">
      <c r="A8445" t="s">
        <v>4315</v>
      </c>
      <c r="B8445" t="s">
        <v>226</v>
      </c>
      <c r="C8445" t="s">
        <v>52</v>
      </c>
    </row>
    <row r="8446" spans="1:6" x14ac:dyDescent="0.25">
      <c r="A8446" t="s">
        <v>4315</v>
      </c>
      <c r="B8446" t="s">
        <v>235</v>
      </c>
      <c r="C8446" t="s">
        <v>236</v>
      </c>
    </row>
    <row r="8447" spans="1:6" x14ac:dyDescent="0.25">
      <c r="A8447" t="s">
        <v>4315</v>
      </c>
      <c r="B8447" t="s">
        <v>246</v>
      </c>
      <c r="C8447" t="s">
        <v>247</v>
      </c>
      <c r="D8447" t="str">
        <f>HYPERLINK("http://service.sap.com/sap/support/notes/1606496","1606496")</f>
        <v>1606496</v>
      </c>
      <c r="E8447">
        <v>1</v>
      </c>
      <c r="F8447" t="s">
        <v>4302</v>
      </c>
    </row>
    <row r="8448" spans="1:6" x14ac:dyDescent="0.25">
      <c r="A8448" t="s">
        <v>4315</v>
      </c>
      <c r="B8448" t="s">
        <v>363</v>
      </c>
      <c r="C8448" t="s">
        <v>74</v>
      </c>
      <c r="D8448" t="str">
        <f>HYPERLINK("http://service.sap.com/sap/support/notes/1569140","1569140")</f>
        <v>1569140</v>
      </c>
      <c r="E8448">
        <v>1</v>
      </c>
      <c r="F8448" t="s">
        <v>2437</v>
      </c>
    </row>
    <row r="8449" spans="1:6" x14ac:dyDescent="0.25">
      <c r="A8449" t="s">
        <v>4315</v>
      </c>
      <c r="B8449" t="s">
        <v>371</v>
      </c>
      <c r="C8449" t="s">
        <v>372</v>
      </c>
      <c r="D8449" t="str">
        <f>HYPERLINK("http://service.sap.com/sap/support/notes/1592443","1592443")</f>
        <v>1592443</v>
      </c>
      <c r="E8449">
        <v>4</v>
      </c>
      <c r="F8449" t="s">
        <v>4303</v>
      </c>
    </row>
    <row r="8450" spans="1:6" x14ac:dyDescent="0.25">
      <c r="A8450" t="s">
        <v>4315</v>
      </c>
      <c r="B8450" t="s">
        <v>371</v>
      </c>
      <c r="C8450" t="s">
        <v>372</v>
      </c>
      <c r="D8450" t="str">
        <f>HYPERLINK("http://service.sap.com/sap/support/notes/1602164","1602164")</f>
        <v>1602164</v>
      </c>
      <c r="E8450">
        <v>2</v>
      </c>
      <c r="F8450" t="s">
        <v>4304</v>
      </c>
    </row>
    <row r="8451" spans="1:6" x14ac:dyDescent="0.25">
      <c r="A8451" t="s">
        <v>4315</v>
      </c>
      <c r="B8451" t="s">
        <v>371</v>
      </c>
      <c r="C8451" t="s">
        <v>372</v>
      </c>
      <c r="D8451" t="str">
        <f>HYPERLINK("http://service.sap.com/sap/support/notes/1609135","1609135")</f>
        <v>1609135</v>
      </c>
      <c r="E8451">
        <v>2</v>
      </c>
      <c r="F8451" t="s">
        <v>4305</v>
      </c>
    </row>
    <row r="8452" spans="1:6" x14ac:dyDescent="0.25">
      <c r="A8452" t="s">
        <v>4315</v>
      </c>
      <c r="B8452" t="s">
        <v>425</v>
      </c>
      <c r="C8452" t="s">
        <v>426</v>
      </c>
      <c r="D8452" t="str">
        <f>HYPERLINK("http://service.sap.com/sap/support/notes/1488474","1488474")</f>
        <v>1488474</v>
      </c>
      <c r="E8452">
        <v>1</v>
      </c>
      <c r="F8452" t="s">
        <v>427</v>
      </c>
    </row>
    <row r="8453" spans="1:6" x14ac:dyDescent="0.25">
      <c r="A8453" t="s">
        <v>4315</v>
      </c>
      <c r="B8453" t="s">
        <v>460</v>
      </c>
      <c r="C8453" t="s">
        <v>461</v>
      </c>
      <c r="D8453" t="str">
        <f>HYPERLINK("http://service.sap.com/sap/support/notes/1603735","1603735")</f>
        <v>1603735</v>
      </c>
      <c r="E8453">
        <v>1</v>
      </c>
      <c r="F8453" t="s">
        <v>4306</v>
      </c>
    </row>
    <row r="8454" spans="1:6" x14ac:dyDescent="0.25">
      <c r="A8454" t="s">
        <v>4315</v>
      </c>
      <c r="B8454" t="s">
        <v>460</v>
      </c>
      <c r="C8454" t="s">
        <v>461</v>
      </c>
      <c r="D8454" t="str">
        <f>HYPERLINK("http://service.sap.com/sap/support/notes/1608723","1608723")</f>
        <v>1608723</v>
      </c>
      <c r="E8454">
        <v>1</v>
      </c>
      <c r="F8454" t="s">
        <v>4307</v>
      </c>
    </row>
    <row r="8455" spans="1:6" x14ac:dyDescent="0.25">
      <c r="A8455" t="s">
        <v>4315</v>
      </c>
      <c r="B8455" t="s">
        <v>499</v>
      </c>
      <c r="C8455" t="s">
        <v>108</v>
      </c>
    </row>
    <row r="8456" spans="1:6" x14ac:dyDescent="0.25">
      <c r="A8456" t="s">
        <v>4315</v>
      </c>
      <c r="B8456" t="s">
        <v>505</v>
      </c>
      <c r="C8456" t="s">
        <v>299</v>
      </c>
      <c r="D8456" t="str">
        <f>HYPERLINK("http://service.sap.com/sap/support/notes/1605754","1605754")</f>
        <v>1605754</v>
      </c>
      <c r="E8456">
        <v>4</v>
      </c>
      <c r="F8456" t="s">
        <v>4308</v>
      </c>
    </row>
    <row r="8457" spans="1:6" x14ac:dyDescent="0.25">
      <c r="A8457" t="s">
        <v>4315</v>
      </c>
      <c r="B8457" t="s">
        <v>531</v>
      </c>
      <c r="C8457" t="s">
        <v>532</v>
      </c>
    </row>
    <row r="8458" spans="1:6" x14ac:dyDescent="0.25">
      <c r="A8458" t="s">
        <v>4315</v>
      </c>
      <c r="B8458" t="s">
        <v>4309</v>
      </c>
      <c r="C8458" t="s">
        <v>4310</v>
      </c>
      <c r="D8458" t="str">
        <f>HYPERLINK("http://service.sap.com/sap/support/notes/1581310","1581310")</f>
        <v>1581310</v>
      </c>
      <c r="E8458">
        <v>1</v>
      </c>
      <c r="F8458" t="s">
        <v>4311</v>
      </c>
    </row>
    <row r="8459" spans="1:6" x14ac:dyDescent="0.25">
      <c r="A8459" t="s">
        <v>4315</v>
      </c>
      <c r="B8459" t="s">
        <v>543</v>
      </c>
      <c r="C8459" t="s">
        <v>544</v>
      </c>
    </row>
    <row r="8460" spans="1:6" x14ac:dyDescent="0.25">
      <c r="A8460" t="s">
        <v>4315</v>
      </c>
      <c r="B8460" t="s">
        <v>2560</v>
      </c>
      <c r="C8460" t="s">
        <v>2561</v>
      </c>
    </row>
    <row r="8461" spans="1:6" x14ac:dyDescent="0.25">
      <c r="A8461" t="s">
        <v>4315</v>
      </c>
      <c r="B8461" t="s">
        <v>4312</v>
      </c>
      <c r="C8461" t="s">
        <v>4313</v>
      </c>
      <c r="D8461" t="str">
        <f>HYPERLINK("http://service.sap.com/sap/support/notes/1600406","1600406")</f>
        <v>1600406</v>
      </c>
      <c r="E8461">
        <v>1</v>
      </c>
      <c r="F8461" t="s">
        <v>4314</v>
      </c>
    </row>
    <row r="8462" spans="1:6" x14ac:dyDescent="0.25">
      <c r="A8462" t="s">
        <v>4469</v>
      </c>
      <c r="B8462" t="s">
        <v>5</v>
      </c>
      <c r="C8462" t="s">
        <v>6</v>
      </c>
    </row>
    <row r="8463" spans="1:6" x14ac:dyDescent="0.25">
      <c r="A8463" t="s">
        <v>4469</v>
      </c>
      <c r="B8463" t="s">
        <v>7</v>
      </c>
      <c r="C8463" t="s">
        <v>8</v>
      </c>
    </row>
    <row r="8464" spans="1:6" x14ac:dyDescent="0.25">
      <c r="A8464" t="s">
        <v>4469</v>
      </c>
      <c r="B8464" t="s">
        <v>9</v>
      </c>
      <c r="C8464" t="s">
        <v>10</v>
      </c>
      <c r="D8464" t="str">
        <f>HYPERLINK("http://service.sap.com/sap/support/notes/1157034","1157034")</f>
        <v>1157034</v>
      </c>
      <c r="E8464">
        <v>4</v>
      </c>
      <c r="F8464" t="s">
        <v>4316</v>
      </c>
    </row>
    <row r="8465" spans="1:6" x14ac:dyDescent="0.25">
      <c r="A8465" t="s">
        <v>4469</v>
      </c>
      <c r="B8465" t="s">
        <v>9</v>
      </c>
      <c r="C8465" t="s">
        <v>10</v>
      </c>
      <c r="D8465" t="str">
        <f>HYPERLINK("http://service.sap.com/sap/support/notes/1549827","1549827")</f>
        <v>1549827</v>
      </c>
      <c r="E8465">
        <v>2</v>
      </c>
      <c r="F8465" t="s">
        <v>4317</v>
      </c>
    </row>
    <row r="8466" spans="1:6" x14ac:dyDescent="0.25">
      <c r="A8466" t="s">
        <v>4469</v>
      </c>
      <c r="B8466" t="s">
        <v>573</v>
      </c>
      <c r="C8466" t="s">
        <v>4037</v>
      </c>
    </row>
    <row r="8467" spans="1:6" x14ac:dyDescent="0.25">
      <c r="A8467" t="s">
        <v>4469</v>
      </c>
      <c r="B8467" t="s">
        <v>4318</v>
      </c>
      <c r="C8467" t="s">
        <v>4319</v>
      </c>
    </row>
    <row r="8468" spans="1:6" x14ac:dyDescent="0.25">
      <c r="A8468" t="s">
        <v>4469</v>
      </c>
      <c r="B8468" t="s">
        <v>4320</v>
      </c>
      <c r="C8468" t="s">
        <v>4321</v>
      </c>
      <c r="D8468" t="str">
        <f>HYPERLINK("http://service.sap.com/sap/support/notes/1618938","1618938")</f>
        <v>1618938</v>
      </c>
      <c r="E8468">
        <v>2</v>
      </c>
      <c r="F8468" t="s">
        <v>4322</v>
      </c>
    </row>
    <row r="8469" spans="1:6" x14ac:dyDescent="0.25">
      <c r="A8469" t="s">
        <v>4469</v>
      </c>
      <c r="B8469" t="s">
        <v>4043</v>
      </c>
      <c r="C8469" t="s">
        <v>4044</v>
      </c>
    </row>
    <row r="8470" spans="1:6" x14ac:dyDescent="0.25">
      <c r="A8470" t="s">
        <v>4469</v>
      </c>
      <c r="B8470" t="s">
        <v>4045</v>
      </c>
      <c r="C8470" t="s">
        <v>4046</v>
      </c>
    </row>
    <row r="8471" spans="1:6" x14ac:dyDescent="0.25">
      <c r="A8471" t="s">
        <v>4469</v>
      </c>
      <c r="B8471" t="s">
        <v>4047</v>
      </c>
      <c r="C8471" t="s">
        <v>4048</v>
      </c>
      <c r="D8471" t="str">
        <f>HYPERLINK("http://service.sap.com/sap/support/notes/1552077","1552077")</f>
        <v>1552077</v>
      </c>
      <c r="E8471">
        <v>1</v>
      </c>
      <c r="F8471" t="s">
        <v>4197</v>
      </c>
    </row>
    <row r="8472" spans="1:6" x14ac:dyDescent="0.25">
      <c r="A8472" t="s">
        <v>4469</v>
      </c>
      <c r="B8472" t="s">
        <v>4047</v>
      </c>
      <c r="C8472" t="s">
        <v>4048</v>
      </c>
      <c r="D8472" t="str">
        <f>HYPERLINK("http://service.sap.com/sap/support/notes/1554514","1554514")</f>
        <v>1554514</v>
      </c>
      <c r="E8472">
        <v>4</v>
      </c>
      <c r="F8472" t="s">
        <v>4323</v>
      </c>
    </row>
    <row r="8473" spans="1:6" x14ac:dyDescent="0.25">
      <c r="A8473" t="s">
        <v>4469</v>
      </c>
      <c r="B8473" t="s">
        <v>4047</v>
      </c>
      <c r="C8473" t="s">
        <v>4048</v>
      </c>
      <c r="D8473" t="str">
        <f>HYPERLINK("http://service.sap.com/sap/support/notes/1559416","1559416")</f>
        <v>1559416</v>
      </c>
      <c r="E8473">
        <v>2</v>
      </c>
      <c r="F8473" t="s">
        <v>4324</v>
      </c>
    </row>
    <row r="8474" spans="1:6" x14ac:dyDescent="0.25">
      <c r="A8474" t="s">
        <v>4469</v>
      </c>
      <c r="B8474" t="s">
        <v>4047</v>
      </c>
      <c r="C8474" t="s">
        <v>4048</v>
      </c>
      <c r="D8474" t="str">
        <f>HYPERLINK("http://service.sap.com/sap/support/notes/1615050","1615050")</f>
        <v>1615050</v>
      </c>
      <c r="E8474">
        <v>2</v>
      </c>
      <c r="F8474" t="s">
        <v>4325</v>
      </c>
    </row>
    <row r="8475" spans="1:6" x14ac:dyDescent="0.25">
      <c r="A8475" t="s">
        <v>4469</v>
      </c>
      <c r="B8475" t="s">
        <v>4047</v>
      </c>
      <c r="C8475" t="s">
        <v>4048</v>
      </c>
      <c r="D8475" t="str">
        <f>HYPERLINK("http://service.sap.com/sap/support/notes/1615713","1615713")</f>
        <v>1615713</v>
      </c>
      <c r="E8475">
        <v>3</v>
      </c>
      <c r="F8475" t="s">
        <v>4326</v>
      </c>
    </row>
    <row r="8476" spans="1:6" x14ac:dyDescent="0.25">
      <c r="A8476" t="s">
        <v>4469</v>
      </c>
      <c r="B8476" t="s">
        <v>4047</v>
      </c>
      <c r="C8476" t="s">
        <v>4048</v>
      </c>
      <c r="D8476" t="str">
        <f>HYPERLINK("http://service.sap.com/sap/support/notes/1616667","1616667")</f>
        <v>1616667</v>
      </c>
      <c r="E8476">
        <v>1</v>
      </c>
      <c r="F8476" t="s">
        <v>4327</v>
      </c>
    </row>
    <row r="8477" spans="1:6" x14ac:dyDescent="0.25">
      <c r="A8477" t="s">
        <v>4469</v>
      </c>
      <c r="B8477" t="s">
        <v>585</v>
      </c>
      <c r="C8477" t="s">
        <v>1443</v>
      </c>
    </row>
    <row r="8478" spans="1:6" x14ac:dyDescent="0.25">
      <c r="A8478" t="s">
        <v>4469</v>
      </c>
      <c r="B8478" t="s">
        <v>586</v>
      </c>
      <c r="C8478" t="s">
        <v>1444</v>
      </c>
    </row>
    <row r="8479" spans="1:6" x14ac:dyDescent="0.25">
      <c r="A8479" t="s">
        <v>4469</v>
      </c>
      <c r="B8479" t="s">
        <v>587</v>
      </c>
      <c r="C8479" t="s">
        <v>1445</v>
      </c>
    </row>
    <row r="8480" spans="1:6" x14ac:dyDescent="0.25">
      <c r="A8480" t="s">
        <v>4469</v>
      </c>
      <c r="B8480" t="s">
        <v>588</v>
      </c>
      <c r="C8480" t="s">
        <v>1446</v>
      </c>
      <c r="D8480" t="str">
        <f>HYPERLINK("http://service.sap.com/sap/support/notes/1616489","1616489")</f>
        <v>1616489</v>
      </c>
      <c r="E8480">
        <v>1</v>
      </c>
      <c r="F8480" t="s">
        <v>4328</v>
      </c>
    </row>
    <row r="8481" spans="1:6" x14ac:dyDescent="0.25">
      <c r="A8481" t="s">
        <v>4469</v>
      </c>
      <c r="B8481" t="s">
        <v>20</v>
      </c>
      <c r="C8481" t="s">
        <v>21</v>
      </c>
    </row>
    <row r="8482" spans="1:6" x14ac:dyDescent="0.25">
      <c r="A8482" t="s">
        <v>4469</v>
      </c>
      <c r="B8482" t="s">
        <v>22</v>
      </c>
      <c r="C8482" t="s">
        <v>23</v>
      </c>
      <c r="D8482" t="str">
        <f>HYPERLINK("http://service.sap.com/sap/support/notes/1583529","1583529")</f>
        <v>1583529</v>
      </c>
      <c r="E8482">
        <v>8</v>
      </c>
      <c r="F8482" t="s">
        <v>3384</v>
      </c>
    </row>
    <row r="8483" spans="1:6" x14ac:dyDescent="0.25">
      <c r="A8483" t="s">
        <v>4469</v>
      </c>
      <c r="B8483" t="s">
        <v>22</v>
      </c>
      <c r="C8483" t="s">
        <v>23</v>
      </c>
      <c r="D8483" t="str">
        <f>HYPERLINK("http://service.sap.com/sap/support/notes/1618234","1618234")</f>
        <v>1618234</v>
      </c>
      <c r="E8483">
        <v>2</v>
      </c>
      <c r="F8483" t="s">
        <v>4329</v>
      </c>
    </row>
    <row r="8484" spans="1:6" x14ac:dyDescent="0.25">
      <c r="A8484" t="s">
        <v>4469</v>
      </c>
      <c r="B8484" t="s">
        <v>22</v>
      </c>
      <c r="C8484" t="s">
        <v>23</v>
      </c>
      <c r="D8484" t="str">
        <f>HYPERLINK("http://service.sap.com/sap/support/notes/1618836","1618836")</f>
        <v>1618836</v>
      </c>
      <c r="E8484">
        <v>2</v>
      </c>
      <c r="F8484" t="s">
        <v>4330</v>
      </c>
    </row>
    <row r="8485" spans="1:6" x14ac:dyDescent="0.25">
      <c r="A8485" t="s">
        <v>4469</v>
      </c>
      <c r="B8485" t="s">
        <v>22</v>
      </c>
      <c r="C8485" t="s">
        <v>23</v>
      </c>
      <c r="D8485" t="str">
        <f>HYPERLINK("http://service.sap.com/sap/support/notes/1622380","1622380")</f>
        <v>1622380</v>
      </c>
      <c r="E8485">
        <v>1</v>
      </c>
      <c r="F8485" t="s">
        <v>4331</v>
      </c>
    </row>
    <row r="8486" spans="1:6" x14ac:dyDescent="0.25">
      <c r="A8486" t="s">
        <v>4469</v>
      </c>
      <c r="B8486" t="s">
        <v>24</v>
      </c>
      <c r="C8486" t="s">
        <v>25</v>
      </c>
      <c r="D8486" t="str">
        <f>HYPERLINK("http://service.sap.com/sap/support/notes/1599068","1599068")</f>
        <v>1599068</v>
      </c>
      <c r="E8486">
        <v>1</v>
      </c>
      <c r="F8486" t="s">
        <v>4332</v>
      </c>
    </row>
    <row r="8487" spans="1:6" x14ac:dyDescent="0.25">
      <c r="A8487" t="s">
        <v>4469</v>
      </c>
      <c r="B8487" t="s">
        <v>24</v>
      </c>
      <c r="C8487" t="s">
        <v>25</v>
      </c>
      <c r="D8487" t="str">
        <f>HYPERLINK("http://service.sap.com/sap/support/notes/1604466","1604466")</f>
        <v>1604466</v>
      </c>
      <c r="E8487">
        <v>4</v>
      </c>
      <c r="F8487" t="s">
        <v>4333</v>
      </c>
    </row>
    <row r="8488" spans="1:6" x14ac:dyDescent="0.25">
      <c r="A8488" t="s">
        <v>4469</v>
      </c>
      <c r="B8488" t="s">
        <v>24</v>
      </c>
      <c r="C8488" t="s">
        <v>25</v>
      </c>
      <c r="D8488" t="str">
        <f>HYPERLINK("http://service.sap.com/sap/support/notes/1613387","1613387")</f>
        <v>1613387</v>
      </c>
      <c r="E8488">
        <v>1</v>
      </c>
      <c r="F8488" t="s">
        <v>4334</v>
      </c>
    </row>
    <row r="8489" spans="1:6" x14ac:dyDescent="0.25">
      <c r="A8489" t="s">
        <v>4469</v>
      </c>
      <c r="B8489" t="s">
        <v>24</v>
      </c>
      <c r="C8489" t="s">
        <v>25</v>
      </c>
      <c r="D8489" t="str">
        <f>HYPERLINK("http://service.sap.com/sap/support/notes/1614412","1614412")</f>
        <v>1614412</v>
      </c>
      <c r="E8489">
        <v>4</v>
      </c>
      <c r="F8489" t="s">
        <v>4335</v>
      </c>
    </row>
    <row r="8490" spans="1:6" x14ac:dyDescent="0.25">
      <c r="A8490" t="s">
        <v>4469</v>
      </c>
      <c r="B8490" t="s">
        <v>24</v>
      </c>
      <c r="C8490" t="s">
        <v>25</v>
      </c>
      <c r="D8490" t="str">
        <f>HYPERLINK("http://service.sap.com/sap/support/notes/1615331","1615331")</f>
        <v>1615331</v>
      </c>
      <c r="E8490">
        <v>4</v>
      </c>
      <c r="F8490" t="s">
        <v>4336</v>
      </c>
    </row>
    <row r="8491" spans="1:6" x14ac:dyDescent="0.25">
      <c r="A8491" t="s">
        <v>4469</v>
      </c>
      <c r="B8491" t="s">
        <v>24</v>
      </c>
      <c r="C8491" t="s">
        <v>25</v>
      </c>
      <c r="D8491" t="str">
        <f>HYPERLINK("http://service.sap.com/sap/support/notes/1615398","1615398")</f>
        <v>1615398</v>
      </c>
      <c r="E8491">
        <v>1</v>
      </c>
      <c r="F8491" t="s">
        <v>4337</v>
      </c>
    </row>
    <row r="8492" spans="1:6" x14ac:dyDescent="0.25">
      <c r="A8492" t="s">
        <v>4469</v>
      </c>
      <c r="B8492" t="s">
        <v>24</v>
      </c>
      <c r="C8492" t="s">
        <v>25</v>
      </c>
      <c r="D8492" t="str">
        <f>HYPERLINK("http://service.sap.com/sap/support/notes/1616110","1616110")</f>
        <v>1616110</v>
      </c>
      <c r="E8492">
        <v>1</v>
      </c>
      <c r="F8492" t="s">
        <v>4338</v>
      </c>
    </row>
    <row r="8493" spans="1:6" x14ac:dyDescent="0.25">
      <c r="A8493" t="s">
        <v>4469</v>
      </c>
      <c r="B8493" t="s">
        <v>24</v>
      </c>
      <c r="C8493" t="s">
        <v>25</v>
      </c>
      <c r="D8493" t="str">
        <f>HYPERLINK("http://service.sap.com/sap/support/notes/1616146","1616146")</f>
        <v>1616146</v>
      </c>
      <c r="E8493">
        <v>2</v>
      </c>
      <c r="F8493" t="s">
        <v>4339</v>
      </c>
    </row>
    <row r="8494" spans="1:6" x14ac:dyDescent="0.25">
      <c r="A8494" t="s">
        <v>4469</v>
      </c>
      <c r="B8494" t="s">
        <v>24</v>
      </c>
      <c r="C8494" t="s">
        <v>25</v>
      </c>
      <c r="D8494" t="str">
        <f>HYPERLINK("http://service.sap.com/sap/support/notes/1617196","1617196")</f>
        <v>1617196</v>
      </c>
      <c r="E8494">
        <v>1</v>
      </c>
      <c r="F8494" t="s">
        <v>4340</v>
      </c>
    </row>
    <row r="8495" spans="1:6" x14ac:dyDescent="0.25">
      <c r="A8495" t="s">
        <v>4469</v>
      </c>
      <c r="B8495" t="s">
        <v>24</v>
      </c>
      <c r="C8495" t="s">
        <v>25</v>
      </c>
      <c r="D8495" t="str">
        <f>HYPERLINK("http://service.sap.com/sap/support/notes/1618567","1618567")</f>
        <v>1618567</v>
      </c>
      <c r="E8495">
        <v>1</v>
      </c>
      <c r="F8495" t="s">
        <v>4341</v>
      </c>
    </row>
    <row r="8496" spans="1:6" x14ac:dyDescent="0.25">
      <c r="A8496" t="s">
        <v>4469</v>
      </c>
      <c r="B8496" t="s">
        <v>24</v>
      </c>
      <c r="C8496" t="s">
        <v>25</v>
      </c>
      <c r="D8496" t="str">
        <f>HYPERLINK("http://service.sap.com/sap/support/notes/1618656","1618656")</f>
        <v>1618656</v>
      </c>
      <c r="E8496">
        <v>3</v>
      </c>
      <c r="F8496" t="s">
        <v>4342</v>
      </c>
    </row>
    <row r="8497" spans="1:6" x14ac:dyDescent="0.25">
      <c r="A8497" t="s">
        <v>4469</v>
      </c>
      <c r="B8497" t="s">
        <v>24</v>
      </c>
      <c r="C8497" t="s">
        <v>25</v>
      </c>
      <c r="D8497" t="str">
        <f>HYPERLINK("http://service.sap.com/sap/support/notes/1619087","1619087")</f>
        <v>1619087</v>
      </c>
      <c r="E8497">
        <v>1</v>
      </c>
      <c r="F8497" t="s">
        <v>4343</v>
      </c>
    </row>
    <row r="8498" spans="1:6" x14ac:dyDescent="0.25">
      <c r="A8498" t="s">
        <v>4469</v>
      </c>
      <c r="B8498" t="s">
        <v>4074</v>
      </c>
      <c r="C8498" t="s">
        <v>4075</v>
      </c>
      <c r="D8498" t="str">
        <f>HYPERLINK("http://service.sap.com/sap/support/notes/1612527","1612527")</f>
        <v>1612527</v>
      </c>
      <c r="E8498">
        <v>1</v>
      </c>
      <c r="F8498" t="s">
        <v>4344</v>
      </c>
    </row>
    <row r="8499" spans="1:6" x14ac:dyDescent="0.25">
      <c r="A8499" t="s">
        <v>4469</v>
      </c>
      <c r="B8499" t="s">
        <v>4074</v>
      </c>
      <c r="C8499" t="s">
        <v>4075</v>
      </c>
      <c r="D8499" t="str">
        <f>HYPERLINK("http://service.sap.com/sap/support/notes/1613255","1613255")</f>
        <v>1613255</v>
      </c>
      <c r="E8499">
        <v>2</v>
      </c>
      <c r="F8499" t="s">
        <v>4345</v>
      </c>
    </row>
    <row r="8500" spans="1:6" x14ac:dyDescent="0.25">
      <c r="A8500" t="s">
        <v>4469</v>
      </c>
      <c r="B8500" t="s">
        <v>4074</v>
      </c>
      <c r="C8500" t="s">
        <v>4075</v>
      </c>
      <c r="D8500" t="str">
        <f>HYPERLINK("http://service.sap.com/sap/support/notes/1613783","1613783")</f>
        <v>1613783</v>
      </c>
      <c r="E8500">
        <v>2</v>
      </c>
      <c r="F8500" t="s">
        <v>4346</v>
      </c>
    </row>
    <row r="8501" spans="1:6" x14ac:dyDescent="0.25">
      <c r="A8501" t="s">
        <v>4469</v>
      </c>
      <c r="B8501" t="s">
        <v>4074</v>
      </c>
      <c r="C8501" t="s">
        <v>4075</v>
      </c>
      <c r="D8501" t="str">
        <f>HYPERLINK("http://service.sap.com/sap/support/notes/1614641","1614641")</f>
        <v>1614641</v>
      </c>
      <c r="E8501">
        <v>2</v>
      </c>
      <c r="F8501" t="s">
        <v>4347</v>
      </c>
    </row>
    <row r="8502" spans="1:6" x14ac:dyDescent="0.25">
      <c r="A8502" t="s">
        <v>4469</v>
      </c>
      <c r="B8502" t="s">
        <v>4074</v>
      </c>
      <c r="C8502" t="s">
        <v>4075</v>
      </c>
      <c r="D8502" t="str">
        <f>HYPERLINK("http://service.sap.com/sap/support/notes/1614918","1614918")</f>
        <v>1614918</v>
      </c>
      <c r="E8502">
        <v>1</v>
      </c>
      <c r="F8502" t="s">
        <v>4348</v>
      </c>
    </row>
    <row r="8503" spans="1:6" x14ac:dyDescent="0.25">
      <c r="A8503" t="s">
        <v>4469</v>
      </c>
      <c r="B8503" t="s">
        <v>4074</v>
      </c>
      <c r="C8503" t="s">
        <v>4075</v>
      </c>
      <c r="D8503" t="str">
        <f>HYPERLINK("http://service.sap.com/sap/support/notes/1615274","1615274")</f>
        <v>1615274</v>
      </c>
      <c r="E8503">
        <v>1</v>
      </c>
      <c r="F8503" t="s">
        <v>4349</v>
      </c>
    </row>
    <row r="8504" spans="1:6" x14ac:dyDescent="0.25">
      <c r="A8504" t="s">
        <v>4469</v>
      </c>
      <c r="B8504" t="s">
        <v>4074</v>
      </c>
      <c r="C8504" t="s">
        <v>4075</v>
      </c>
      <c r="D8504" t="str">
        <f>HYPERLINK("http://service.sap.com/sap/support/notes/1616787","1616787")</f>
        <v>1616787</v>
      </c>
      <c r="E8504">
        <v>1</v>
      </c>
      <c r="F8504" t="s">
        <v>4350</v>
      </c>
    </row>
    <row r="8505" spans="1:6" x14ac:dyDescent="0.25">
      <c r="A8505" t="s">
        <v>4469</v>
      </c>
      <c r="B8505" t="s">
        <v>4074</v>
      </c>
      <c r="C8505" t="s">
        <v>4075</v>
      </c>
      <c r="D8505" t="str">
        <f>HYPERLINK("http://service.sap.com/sap/support/notes/1617210","1617210")</f>
        <v>1617210</v>
      </c>
      <c r="E8505">
        <v>2</v>
      </c>
      <c r="F8505" t="s">
        <v>4351</v>
      </c>
    </row>
    <row r="8506" spans="1:6" x14ac:dyDescent="0.25">
      <c r="A8506" t="s">
        <v>4469</v>
      </c>
      <c r="B8506" t="s">
        <v>4074</v>
      </c>
      <c r="C8506" t="s">
        <v>4075</v>
      </c>
      <c r="D8506" t="str">
        <f>HYPERLINK("http://service.sap.com/sap/support/notes/1617799","1617799")</f>
        <v>1617799</v>
      </c>
      <c r="E8506">
        <v>1</v>
      </c>
      <c r="F8506" t="s">
        <v>4352</v>
      </c>
    </row>
    <row r="8507" spans="1:6" x14ac:dyDescent="0.25">
      <c r="A8507" t="s">
        <v>4469</v>
      </c>
      <c r="B8507" t="s">
        <v>4081</v>
      </c>
      <c r="C8507" t="s">
        <v>4082</v>
      </c>
      <c r="D8507" t="str">
        <f>HYPERLINK("http://service.sap.com/sap/support/notes/1603492","1603492")</f>
        <v>1603492</v>
      </c>
      <c r="E8507">
        <v>1</v>
      </c>
      <c r="F8507" t="s">
        <v>4353</v>
      </c>
    </row>
    <row r="8508" spans="1:6" x14ac:dyDescent="0.25">
      <c r="A8508" t="s">
        <v>4469</v>
      </c>
      <c r="B8508" t="s">
        <v>4081</v>
      </c>
      <c r="C8508" t="s">
        <v>4082</v>
      </c>
      <c r="D8508" t="str">
        <f>HYPERLINK("http://service.sap.com/sap/support/notes/1609342","1609342")</f>
        <v>1609342</v>
      </c>
      <c r="E8508">
        <v>2</v>
      </c>
      <c r="F8508" t="s">
        <v>4354</v>
      </c>
    </row>
    <row r="8509" spans="1:6" x14ac:dyDescent="0.25">
      <c r="A8509" t="s">
        <v>4469</v>
      </c>
      <c r="B8509" t="s">
        <v>4081</v>
      </c>
      <c r="C8509" t="s">
        <v>4082</v>
      </c>
      <c r="D8509" t="str">
        <f>HYPERLINK("http://service.sap.com/sap/support/notes/1621330","1621330")</f>
        <v>1621330</v>
      </c>
      <c r="E8509">
        <v>3</v>
      </c>
      <c r="F8509" t="s">
        <v>4355</v>
      </c>
    </row>
    <row r="8510" spans="1:6" x14ac:dyDescent="0.25">
      <c r="A8510" t="s">
        <v>4469</v>
      </c>
      <c r="B8510" t="s">
        <v>4356</v>
      </c>
      <c r="C8510" t="s">
        <v>4357</v>
      </c>
      <c r="D8510" t="str">
        <f>HYPERLINK("http://service.sap.com/sap/support/notes/1614876","1614876")</f>
        <v>1614876</v>
      </c>
      <c r="E8510">
        <v>3</v>
      </c>
      <c r="F8510" t="s">
        <v>4358</v>
      </c>
    </row>
    <row r="8511" spans="1:6" x14ac:dyDescent="0.25">
      <c r="A8511" t="s">
        <v>4469</v>
      </c>
      <c r="B8511" t="s">
        <v>27</v>
      </c>
      <c r="C8511" t="s">
        <v>13</v>
      </c>
    </row>
    <row r="8512" spans="1:6" x14ac:dyDescent="0.25">
      <c r="A8512" t="s">
        <v>4469</v>
      </c>
      <c r="B8512" t="s">
        <v>4091</v>
      </c>
      <c r="C8512" t="s">
        <v>4092</v>
      </c>
      <c r="D8512" t="str">
        <f>HYPERLINK("http://service.sap.com/sap/support/notes/1524065","1524065")</f>
        <v>1524065</v>
      </c>
      <c r="E8512">
        <v>2</v>
      </c>
      <c r="F8512" t="s">
        <v>4359</v>
      </c>
    </row>
    <row r="8513" spans="1:6" x14ac:dyDescent="0.25">
      <c r="A8513" t="s">
        <v>4469</v>
      </c>
      <c r="B8513" t="s">
        <v>4091</v>
      </c>
      <c r="C8513" t="s">
        <v>4092</v>
      </c>
      <c r="D8513" t="str">
        <f>HYPERLINK("http://service.sap.com/sap/support/notes/1528142","1528142")</f>
        <v>1528142</v>
      </c>
      <c r="E8513">
        <v>2</v>
      </c>
      <c r="F8513" t="s">
        <v>4360</v>
      </c>
    </row>
    <row r="8514" spans="1:6" x14ac:dyDescent="0.25">
      <c r="A8514" t="s">
        <v>4469</v>
      </c>
      <c r="B8514" t="s">
        <v>4091</v>
      </c>
      <c r="C8514" t="s">
        <v>4092</v>
      </c>
      <c r="D8514" t="str">
        <f>HYPERLINK("http://service.sap.com/sap/support/notes/1543828","1543828")</f>
        <v>1543828</v>
      </c>
      <c r="E8514">
        <v>2</v>
      </c>
      <c r="F8514" t="s">
        <v>4361</v>
      </c>
    </row>
    <row r="8515" spans="1:6" x14ac:dyDescent="0.25">
      <c r="A8515" t="s">
        <v>4469</v>
      </c>
      <c r="B8515" t="s">
        <v>4091</v>
      </c>
      <c r="C8515" t="s">
        <v>4092</v>
      </c>
      <c r="D8515" t="str">
        <f>HYPERLINK("http://service.sap.com/sap/support/notes/1570107","1570107")</f>
        <v>1570107</v>
      </c>
      <c r="E8515">
        <v>1</v>
      </c>
      <c r="F8515" t="s">
        <v>4362</v>
      </c>
    </row>
    <row r="8516" spans="1:6" x14ac:dyDescent="0.25">
      <c r="A8516" t="s">
        <v>4469</v>
      </c>
      <c r="B8516" t="s">
        <v>4091</v>
      </c>
      <c r="C8516" t="s">
        <v>4092</v>
      </c>
      <c r="D8516" t="str">
        <f>HYPERLINK("http://service.sap.com/sap/support/notes/1593950","1593950")</f>
        <v>1593950</v>
      </c>
      <c r="E8516">
        <v>2</v>
      </c>
      <c r="F8516" t="s">
        <v>4096</v>
      </c>
    </row>
    <row r="8517" spans="1:6" x14ac:dyDescent="0.25">
      <c r="A8517" t="s">
        <v>4469</v>
      </c>
      <c r="B8517" t="s">
        <v>4091</v>
      </c>
      <c r="C8517" t="s">
        <v>4092</v>
      </c>
      <c r="D8517" t="str">
        <f>HYPERLINK("http://service.sap.com/sap/support/notes/1601019","1601019")</f>
        <v>1601019</v>
      </c>
      <c r="E8517">
        <v>3</v>
      </c>
      <c r="F8517" t="s">
        <v>4363</v>
      </c>
    </row>
    <row r="8518" spans="1:6" x14ac:dyDescent="0.25">
      <c r="A8518" t="s">
        <v>4469</v>
      </c>
      <c r="B8518" t="s">
        <v>4091</v>
      </c>
      <c r="C8518" t="s">
        <v>4092</v>
      </c>
      <c r="D8518" t="str">
        <f>HYPERLINK("http://service.sap.com/sap/support/notes/1605558","1605558")</f>
        <v>1605558</v>
      </c>
      <c r="E8518">
        <v>4</v>
      </c>
      <c r="F8518" t="s">
        <v>4364</v>
      </c>
    </row>
    <row r="8519" spans="1:6" x14ac:dyDescent="0.25">
      <c r="A8519" t="s">
        <v>4469</v>
      </c>
      <c r="B8519" t="s">
        <v>4091</v>
      </c>
      <c r="C8519" t="s">
        <v>4092</v>
      </c>
      <c r="D8519" t="str">
        <f>HYPERLINK("http://service.sap.com/sap/support/notes/1615970","1615970")</f>
        <v>1615970</v>
      </c>
      <c r="E8519">
        <v>1</v>
      </c>
      <c r="F8519" t="s">
        <v>4365</v>
      </c>
    </row>
    <row r="8520" spans="1:6" x14ac:dyDescent="0.25">
      <c r="A8520" t="s">
        <v>4469</v>
      </c>
      <c r="B8520" t="s">
        <v>4091</v>
      </c>
      <c r="C8520" t="s">
        <v>4092</v>
      </c>
      <c r="D8520" t="str">
        <f>HYPERLINK("http://service.sap.com/sap/support/notes/1616458","1616458")</f>
        <v>1616458</v>
      </c>
      <c r="E8520">
        <v>3</v>
      </c>
      <c r="F8520" t="s">
        <v>4366</v>
      </c>
    </row>
    <row r="8521" spans="1:6" x14ac:dyDescent="0.25">
      <c r="A8521" t="s">
        <v>4469</v>
      </c>
      <c r="B8521" t="s">
        <v>28</v>
      </c>
      <c r="C8521" t="s">
        <v>29</v>
      </c>
    </row>
    <row r="8522" spans="1:6" x14ac:dyDescent="0.25">
      <c r="A8522" t="s">
        <v>4469</v>
      </c>
      <c r="B8522" t="s">
        <v>629</v>
      </c>
      <c r="C8522" t="s">
        <v>4367</v>
      </c>
      <c r="D8522" t="str">
        <f>HYPERLINK("http://service.sap.com/sap/support/notes/1609542","1609542")</f>
        <v>1609542</v>
      </c>
      <c r="E8522">
        <v>1</v>
      </c>
      <c r="F8522" t="s">
        <v>4368</v>
      </c>
    </row>
    <row r="8523" spans="1:6" x14ac:dyDescent="0.25">
      <c r="A8523" t="s">
        <v>4469</v>
      </c>
      <c r="B8523" t="s">
        <v>2161</v>
      </c>
      <c r="C8523" t="s">
        <v>2162</v>
      </c>
      <c r="D8523" t="str">
        <f>HYPERLINK("http://service.sap.com/sap/support/notes/1605524","1605524")</f>
        <v>1605524</v>
      </c>
      <c r="E8523">
        <v>2</v>
      </c>
      <c r="F8523" t="s">
        <v>4369</v>
      </c>
    </row>
    <row r="8524" spans="1:6" x14ac:dyDescent="0.25">
      <c r="A8524" t="s">
        <v>4469</v>
      </c>
      <c r="B8524" t="s">
        <v>2161</v>
      </c>
      <c r="C8524" t="s">
        <v>2162</v>
      </c>
      <c r="D8524" t="str">
        <f>HYPERLINK("http://service.sap.com/sap/support/notes/1608705","1608705")</f>
        <v>1608705</v>
      </c>
      <c r="E8524">
        <v>4</v>
      </c>
      <c r="F8524" t="s">
        <v>4370</v>
      </c>
    </row>
    <row r="8525" spans="1:6" x14ac:dyDescent="0.25">
      <c r="A8525" t="s">
        <v>4469</v>
      </c>
      <c r="B8525" t="s">
        <v>2161</v>
      </c>
      <c r="C8525" t="s">
        <v>2162</v>
      </c>
      <c r="D8525" t="str">
        <f>HYPERLINK("http://service.sap.com/sap/support/notes/1614671","1614671")</f>
        <v>1614671</v>
      </c>
      <c r="E8525">
        <v>1</v>
      </c>
      <c r="F8525" t="s">
        <v>4371</v>
      </c>
    </row>
    <row r="8526" spans="1:6" x14ac:dyDescent="0.25">
      <c r="A8526" t="s">
        <v>4469</v>
      </c>
      <c r="B8526" t="s">
        <v>4105</v>
      </c>
      <c r="C8526" t="s">
        <v>4106</v>
      </c>
      <c r="D8526" t="str">
        <f>HYPERLINK("http://service.sap.com/sap/support/notes/1610160","1610160")</f>
        <v>1610160</v>
      </c>
      <c r="E8526">
        <v>2</v>
      </c>
      <c r="F8526" t="s">
        <v>4372</v>
      </c>
    </row>
    <row r="8527" spans="1:6" x14ac:dyDescent="0.25">
      <c r="A8527" t="s">
        <v>4469</v>
      </c>
      <c r="B8527" t="s">
        <v>4105</v>
      </c>
      <c r="C8527" t="s">
        <v>4106</v>
      </c>
      <c r="D8527" t="str">
        <f>HYPERLINK("http://service.sap.com/sap/support/notes/1615607","1615607")</f>
        <v>1615607</v>
      </c>
      <c r="E8527">
        <v>4</v>
      </c>
      <c r="F8527" t="s">
        <v>4373</v>
      </c>
    </row>
    <row r="8528" spans="1:6" x14ac:dyDescent="0.25">
      <c r="A8528" t="s">
        <v>4469</v>
      </c>
      <c r="B8528" t="s">
        <v>4105</v>
      </c>
      <c r="C8528" t="s">
        <v>4106</v>
      </c>
      <c r="D8528" t="str">
        <f>HYPERLINK("http://service.sap.com/sap/support/notes/1618726","1618726")</f>
        <v>1618726</v>
      </c>
      <c r="E8528">
        <v>1</v>
      </c>
      <c r="F8528" t="s">
        <v>4374</v>
      </c>
    </row>
    <row r="8529" spans="1:6" x14ac:dyDescent="0.25">
      <c r="A8529" t="s">
        <v>4469</v>
      </c>
      <c r="B8529" t="s">
        <v>4109</v>
      </c>
      <c r="C8529" t="s">
        <v>4110</v>
      </c>
      <c r="D8529" t="str">
        <f>HYPERLINK("http://service.sap.com/sap/support/notes/1613742","1613742")</f>
        <v>1613742</v>
      </c>
      <c r="E8529">
        <v>1</v>
      </c>
      <c r="F8529" t="s">
        <v>4375</v>
      </c>
    </row>
    <row r="8530" spans="1:6" x14ac:dyDescent="0.25">
      <c r="A8530" t="s">
        <v>4469</v>
      </c>
      <c r="B8530" t="s">
        <v>4109</v>
      </c>
      <c r="C8530" t="s">
        <v>4110</v>
      </c>
      <c r="D8530" t="str">
        <f>HYPERLINK("http://service.sap.com/sap/support/notes/1616020","1616020")</f>
        <v>1616020</v>
      </c>
      <c r="E8530">
        <v>1</v>
      </c>
      <c r="F8530" t="s">
        <v>4376</v>
      </c>
    </row>
    <row r="8531" spans="1:6" x14ac:dyDescent="0.25">
      <c r="A8531" t="s">
        <v>4469</v>
      </c>
      <c r="B8531" t="s">
        <v>4112</v>
      </c>
      <c r="C8531" t="s">
        <v>4113</v>
      </c>
      <c r="D8531" t="str">
        <f>HYPERLINK("http://service.sap.com/sap/support/notes/1601467","1601467")</f>
        <v>1601467</v>
      </c>
      <c r="E8531">
        <v>1</v>
      </c>
      <c r="F8531" t="s">
        <v>4377</v>
      </c>
    </row>
    <row r="8532" spans="1:6" x14ac:dyDescent="0.25">
      <c r="A8532" t="s">
        <v>4469</v>
      </c>
      <c r="B8532" t="s">
        <v>4112</v>
      </c>
      <c r="C8532" t="s">
        <v>4113</v>
      </c>
      <c r="D8532" t="str">
        <f>HYPERLINK("http://service.sap.com/sap/support/notes/1619374","1619374")</f>
        <v>1619374</v>
      </c>
      <c r="E8532">
        <v>2</v>
      </c>
      <c r="F8532" t="s">
        <v>4378</v>
      </c>
    </row>
    <row r="8533" spans="1:6" x14ac:dyDescent="0.25">
      <c r="A8533" t="s">
        <v>4469</v>
      </c>
      <c r="B8533" t="s">
        <v>4112</v>
      </c>
      <c r="C8533" t="s">
        <v>4113</v>
      </c>
      <c r="D8533" t="str">
        <f>HYPERLINK("http://service.sap.com/sap/support/notes/1622054","1622054")</f>
        <v>1622054</v>
      </c>
      <c r="E8533">
        <v>1</v>
      </c>
      <c r="F8533" t="s">
        <v>4379</v>
      </c>
    </row>
    <row r="8534" spans="1:6" x14ac:dyDescent="0.25">
      <c r="A8534" t="s">
        <v>4469</v>
      </c>
      <c r="B8534" t="s">
        <v>33</v>
      </c>
      <c r="C8534" t="s">
        <v>34</v>
      </c>
      <c r="D8534" t="str">
        <f>HYPERLINK("http://service.sap.com/sap/support/notes/1607752","1607752")</f>
        <v>1607752</v>
      </c>
      <c r="E8534">
        <v>3</v>
      </c>
      <c r="F8534" t="s">
        <v>4380</v>
      </c>
    </row>
    <row r="8535" spans="1:6" x14ac:dyDescent="0.25">
      <c r="A8535" t="s">
        <v>4469</v>
      </c>
      <c r="B8535" t="s">
        <v>38</v>
      </c>
      <c r="C8535" t="s">
        <v>39</v>
      </c>
    </row>
    <row r="8536" spans="1:6" x14ac:dyDescent="0.25">
      <c r="A8536" t="s">
        <v>4469</v>
      </c>
      <c r="B8536" t="s">
        <v>57</v>
      </c>
      <c r="C8536" t="s">
        <v>58</v>
      </c>
    </row>
    <row r="8537" spans="1:6" x14ac:dyDescent="0.25">
      <c r="A8537" t="s">
        <v>4469</v>
      </c>
      <c r="B8537" t="s">
        <v>59</v>
      </c>
      <c r="C8537" t="s">
        <v>60</v>
      </c>
      <c r="D8537" t="str">
        <f>HYPERLINK("http://service.sap.com/sap/support/notes/1578640","1578640")</f>
        <v>1578640</v>
      </c>
      <c r="E8537">
        <v>1</v>
      </c>
      <c r="F8537" t="s">
        <v>4381</v>
      </c>
    </row>
    <row r="8538" spans="1:6" x14ac:dyDescent="0.25">
      <c r="A8538" t="s">
        <v>4469</v>
      </c>
      <c r="B8538" t="s">
        <v>704</v>
      </c>
      <c r="C8538" t="s">
        <v>412</v>
      </c>
      <c r="D8538" t="str">
        <f>HYPERLINK("http://service.sap.com/sap/support/notes/1617786","1617786")</f>
        <v>1617786</v>
      </c>
      <c r="E8538">
        <v>1</v>
      </c>
      <c r="F8538" t="s">
        <v>4382</v>
      </c>
    </row>
    <row r="8539" spans="1:6" x14ac:dyDescent="0.25">
      <c r="A8539" t="s">
        <v>4469</v>
      </c>
      <c r="B8539" t="s">
        <v>1461</v>
      </c>
      <c r="C8539" t="s">
        <v>441</v>
      </c>
      <c r="D8539" t="str">
        <f>HYPERLINK("http://service.sap.com/sap/support/notes/1614970","1614970")</f>
        <v>1614970</v>
      </c>
      <c r="E8539">
        <v>3</v>
      </c>
      <c r="F8539" t="s">
        <v>4383</v>
      </c>
    </row>
    <row r="8540" spans="1:6" x14ac:dyDescent="0.25">
      <c r="A8540" t="s">
        <v>4469</v>
      </c>
      <c r="B8540" t="s">
        <v>92</v>
      </c>
      <c r="C8540" t="s">
        <v>93</v>
      </c>
      <c r="D8540" t="str">
        <f>HYPERLINK("http://service.sap.com/sap/support/notes/1591680","1591680")</f>
        <v>1591680</v>
      </c>
      <c r="E8540">
        <v>3</v>
      </c>
      <c r="F8540" t="s">
        <v>4120</v>
      </c>
    </row>
    <row r="8541" spans="1:6" x14ac:dyDescent="0.25">
      <c r="A8541" t="s">
        <v>4469</v>
      </c>
      <c r="B8541" t="s">
        <v>92</v>
      </c>
      <c r="C8541" t="s">
        <v>93</v>
      </c>
      <c r="D8541" t="str">
        <f>HYPERLINK("http://service.sap.com/sap/support/notes/1592676","1592676")</f>
        <v>1592676</v>
      </c>
      <c r="E8541">
        <v>2</v>
      </c>
      <c r="F8541" t="s">
        <v>4384</v>
      </c>
    </row>
    <row r="8542" spans="1:6" x14ac:dyDescent="0.25">
      <c r="A8542" t="s">
        <v>4469</v>
      </c>
      <c r="B8542" t="s">
        <v>92</v>
      </c>
      <c r="C8542" t="s">
        <v>93</v>
      </c>
      <c r="D8542" t="str">
        <f>HYPERLINK("http://service.sap.com/sap/support/notes/1606787","1606787")</f>
        <v>1606787</v>
      </c>
      <c r="E8542">
        <v>1</v>
      </c>
      <c r="F8542" t="s">
        <v>4385</v>
      </c>
    </row>
    <row r="8543" spans="1:6" x14ac:dyDescent="0.25">
      <c r="A8543" t="s">
        <v>4469</v>
      </c>
      <c r="B8543" t="s">
        <v>713</v>
      </c>
      <c r="C8543" t="s">
        <v>480</v>
      </c>
      <c r="D8543" t="str">
        <f>HYPERLINK("http://service.sap.com/sap/support/notes/1579472","1579472")</f>
        <v>1579472</v>
      </c>
      <c r="E8543">
        <v>1</v>
      </c>
      <c r="F8543" t="s">
        <v>4386</v>
      </c>
    </row>
    <row r="8544" spans="1:6" x14ac:dyDescent="0.25">
      <c r="A8544" t="s">
        <v>4469</v>
      </c>
      <c r="B8544" t="s">
        <v>107</v>
      </c>
      <c r="C8544" t="s">
        <v>108</v>
      </c>
      <c r="D8544" t="str">
        <f>HYPERLINK("http://service.sap.com/sap/support/notes/1620339","1620339")</f>
        <v>1620339</v>
      </c>
      <c r="E8544">
        <v>1</v>
      </c>
      <c r="F8544" t="s">
        <v>4387</v>
      </c>
    </row>
    <row r="8545" spans="1:6" x14ac:dyDescent="0.25">
      <c r="A8545" t="s">
        <v>4469</v>
      </c>
      <c r="B8545" t="s">
        <v>790</v>
      </c>
      <c r="C8545" t="s">
        <v>4125</v>
      </c>
    </row>
    <row r="8546" spans="1:6" x14ac:dyDescent="0.25">
      <c r="A8546" t="s">
        <v>4469</v>
      </c>
      <c r="B8546" t="s">
        <v>791</v>
      </c>
      <c r="C8546" t="s">
        <v>4126</v>
      </c>
      <c r="D8546" t="str">
        <f>HYPERLINK("http://service.sap.com/sap/support/notes/1519364","1519364")</f>
        <v>1519364</v>
      </c>
      <c r="E8546">
        <v>2</v>
      </c>
      <c r="F8546" t="s">
        <v>4388</v>
      </c>
    </row>
    <row r="8547" spans="1:6" x14ac:dyDescent="0.25">
      <c r="A8547" t="s">
        <v>4469</v>
      </c>
      <c r="B8547" t="s">
        <v>791</v>
      </c>
      <c r="C8547" t="s">
        <v>4126</v>
      </c>
      <c r="D8547" t="str">
        <f>HYPERLINK("http://service.sap.com/sap/support/notes/1609389","1609389")</f>
        <v>1609389</v>
      </c>
      <c r="E8547">
        <v>5</v>
      </c>
      <c r="F8547" t="s">
        <v>4389</v>
      </c>
    </row>
    <row r="8548" spans="1:6" x14ac:dyDescent="0.25">
      <c r="A8548" t="s">
        <v>4469</v>
      </c>
      <c r="B8548" t="s">
        <v>791</v>
      </c>
      <c r="C8548" t="s">
        <v>4126</v>
      </c>
      <c r="D8548" t="str">
        <f>HYPERLINK("http://service.sap.com/sap/support/notes/1616227","1616227")</f>
        <v>1616227</v>
      </c>
      <c r="E8548">
        <v>1</v>
      </c>
      <c r="F8548" t="s">
        <v>4390</v>
      </c>
    </row>
    <row r="8549" spans="1:6" x14ac:dyDescent="0.25">
      <c r="A8549" t="s">
        <v>4469</v>
      </c>
      <c r="B8549" t="s">
        <v>791</v>
      </c>
      <c r="C8549" t="s">
        <v>4126</v>
      </c>
      <c r="D8549" t="str">
        <f>HYPERLINK("http://service.sap.com/sap/support/notes/1617288","1617288")</f>
        <v>1617288</v>
      </c>
      <c r="E8549">
        <v>1</v>
      </c>
      <c r="F8549" t="s">
        <v>4391</v>
      </c>
    </row>
    <row r="8550" spans="1:6" x14ac:dyDescent="0.25">
      <c r="A8550" t="s">
        <v>4469</v>
      </c>
      <c r="B8550" t="s">
        <v>791</v>
      </c>
      <c r="C8550" t="s">
        <v>4126</v>
      </c>
      <c r="D8550" t="str">
        <f>HYPERLINK("http://service.sap.com/sap/support/notes/1617873","1617873")</f>
        <v>1617873</v>
      </c>
      <c r="E8550">
        <v>2</v>
      </c>
      <c r="F8550" t="s">
        <v>4392</v>
      </c>
    </row>
    <row r="8551" spans="1:6" x14ac:dyDescent="0.25">
      <c r="A8551" t="s">
        <v>4469</v>
      </c>
      <c r="B8551" t="s">
        <v>810</v>
      </c>
      <c r="C8551" t="s">
        <v>4131</v>
      </c>
    </row>
    <row r="8552" spans="1:6" x14ac:dyDescent="0.25">
      <c r="A8552" t="s">
        <v>4469</v>
      </c>
      <c r="B8552" t="s">
        <v>811</v>
      </c>
      <c r="C8552" t="s">
        <v>4132</v>
      </c>
      <c r="D8552" t="str">
        <f>HYPERLINK("http://service.sap.com/sap/support/notes/1613589","1613589")</f>
        <v>1613589</v>
      </c>
      <c r="E8552">
        <v>2</v>
      </c>
      <c r="F8552" t="s">
        <v>4393</v>
      </c>
    </row>
    <row r="8553" spans="1:6" x14ac:dyDescent="0.25">
      <c r="A8553" t="s">
        <v>4469</v>
      </c>
      <c r="B8553" t="s">
        <v>811</v>
      </c>
      <c r="C8553" t="s">
        <v>4132</v>
      </c>
      <c r="D8553" t="str">
        <f>HYPERLINK("http://service.sap.com/sap/support/notes/1620083","1620083")</f>
        <v>1620083</v>
      </c>
      <c r="E8553">
        <v>1</v>
      </c>
      <c r="F8553" t="s">
        <v>4394</v>
      </c>
    </row>
    <row r="8554" spans="1:6" x14ac:dyDescent="0.25">
      <c r="A8554" t="s">
        <v>4469</v>
      </c>
      <c r="B8554" t="s">
        <v>4135</v>
      </c>
      <c r="C8554" t="s">
        <v>4136</v>
      </c>
      <c r="D8554" t="str">
        <f>HYPERLINK("http://service.sap.com/sap/support/notes/859721","859721")</f>
        <v>859721</v>
      </c>
      <c r="E8554">
        <v>3</v>
      </c>
      <c r="F8554" t="s">
        <v>4395</v>
      </c>
    </row>
    <row r="8555" spans="1:6" x14ac:dyDescent="0.25">
      <c r="A8555" t="s">
        <v>4469</v>
      </c>
      <c r="B8555" t="s">
        <v>4135</v>
      </c>
      <c r="C8555" t="s">
        <v>4136</v>
      </c>
      <c r="D8555" t="str">
        <f>HYPERLINK("http://service.sap.com/sap/support/notes/1561637","1561637")</f>
        <v>1561637</v>
      </c>
      <c r="E8555">
        <v>3</v>
      </c>
      <c r="F8555" t="s">
        <v>4396</v>
      </c>
    </row>
    <row r="8556" spans="1:6" x14ac:dyDescent="0.25">
      <c r="A8556" t="s">
        <v>4469</v>
      </c>
      <c r="B8556" t="s">
        <v>4135</v>
      </c>
      <c r="C8556" t="s">
        <v>4136</v>
      </c>
      <c r="D8556" t="str">
        <f>HYPERLINK("http://service.sap.com/sap/support/notes/1607065","1607065")</f>
        <v>1607065</v>
      </c>
      <c r="E8556">
        <v>8</v>
      </c>
      <c r="F8556" t="s">
        <v>4397</v>
      </c>
    </row>
    <row r="8557" spans="1:6" x14ac:dyDescent="0.25">
      <c r="A8557" t="s">
        <v>4469</v>
      </c>
      <c r="B8557" t="s">
        <v>3547</v>
      </c>
      <c r="C8557" t="s">
        <v>1734</v>
      </c>
      <c r="D8557" t="str">
        <f>HYPERLINK("http://service.sap.com/sap/support/notes/1611129","1611129")</f>
        <v>1611129</v>
      </c>
      <c r="E8557">
        <v>2</v>
      </c>
      <c r="F8557" t="s">
        <v>4398</v>
      </c>
    </row>
    <row r="8558" spans="1:6" x14ac:dyDescent="0.25">
      <c r="A8558" t="s">
        <v>4469</v>
      </c>
      <c r="B8558" t="s">
        <v>3547</v>
      </c>
      <c r="C8558" t="s">
        <v>1734</v>
      </c>
      <c r="D8558" t="str">
        <f>HYPERLINK("http://service.sap.com/sap/support/notes/1613464","1613464")</f>
        <v>1613464</v>
      </c>
      <c r="E8558">
        <v>5</v>
      </c>
      <c r="F8558" t="s">
        <v>4399</v>
      </c>
    </row>
    <row r="8559" spans="1:6" x14ac:dyDescent="0.25">
      <c r="A8559" t="s">
        <v>4469</v>
      </c>
      <c r="B8559" t="s">
        <v>4144</v>
      </c>
      <c r="C8559" t="s">
        <v>4145</v>
      </c>
      <c r="D8559" t="str">
        <f>HYPERLINK("http://service.sap.com/sap/support/notes/1517619","1517619")</f>
        <v>1517619</v>
      </c>
      <c r="E8559">
        <v>1</v>
      </c>
      <c r="F8559" t="s">
        <v>4400</v>
      </c>
    </row>
    <row r="8560" spans="1:6" x14ac:dyDescent="0.25">
      <c r="A8560" t="s">
        <v>4469</v>
      </c>
      <c r="B8560" t="s">
        <v>4144</v>
      </c>
      <c r="C8560" t="s">
        <v>4145</v>
      </c>
      <c r="D8560" t="str">
        <f>HYPERLINK("http://service.sap.com/sap/support/notes/1594576","1594576")</f>
        <v>1594576</v>
      </c>
      <c r="E8560">
        <v>3</v>
      </c>
      <c r="F8560" t="s">
        <v>4401</v>
      </c>
    </row>
    <row r="8561" spans="1:6" x14ac:dyDescent="0.25">
      <c r="A8561" t="s">
        <v>4469</v>
      </c>
      <c r="B8561" t="s">
        <v>4144</v>
      </c>
      <c r="C8561" t="s">
        <v>4145</v>
      </c>
      <c r="D8561" t="str">
        <f>HYPERLINK("http://service.sap.com/sap/support/notes/1601164","1601164")</f>
        <v>1601164</v>
      </c>
      <c r="E8561">
        <v>3</v>
      </c>
      <c r="F8561" t="s">
        <v>4402</v>
      </c>
    </row>
    <row r="8562" spans="1:6" x14ac:dyDescent="0.25">
      <c r="A8562" t="s">
        <v>4469</v>
      </c>
      <c r="B8562" t="s">
        <v>4144</v>
      </c>
      <c r="C8562" t="s">
        <v>4145</v>
      </c>
      <c r="D8562" t="str">
        <f>HYPERLINK("http://service.sap.com/sap/support/notes/1606099","1606099")</f>
        <v>1606099</v>
      </c>
      <c r="E8562">
        <v>3</v>
      </c>
      <c r="F8562" t="s">
        <v>4403</v>
      </c>
    </row>
    <row r="8563" spans="1:6" x14ac:dyDescent="0.25">
      <c r="A8563" t="s">
        <v>4469</v>
      </c>
      <c r="B8563" t="s">
        <v>4144</v>
      </c>
      <c r="C8563" t="s">
        <v>4145</v>
      </c>
      <c r="D8563" t="str">
        <f>HYPERLINK("http://service.sap.com/sap/support/notes/1607866","1607866")</f>
        <v>1607866</v>
      </c>
      <c r="E8563">
        <v>3</v>
      </c>
      <c r="F8563" t="s">
        <v>4404</v>
      </c>
    </row>
    <row r="8564" spans="1:6" x14ac:dyDescent="0.25">
      <c r="A8564" t="s">
        <v>4469</v>
      </c>
      <c r="B8564" t="s">
        <v>4144</v>
      </c>
      <c r="C8564" t="s">
        <v>4145</v>
      </c>
      <c r="D8564" t="str">
        <f>HYPERLINK("http://service.sap.com/sap/support/notes/1613204","1613204")</f>
        <v>1613204</v>
      </c>
      <c r="E8564">
        <v>1</v>
      </c>
      <c r="F8564" t="s">
        <v>4405</v>
      </c>
    </row>
    <row r="8565" spans="1:6" x14ac:dyDescent="0.25">
      <c r="A8565" t="s">
        <v>4469</v>
      </c>
      <c r="B8565" t="s">
        <v>4144</v>
      </c>
      <c r="C8565" t="s">
        <v>4145</v>
      </c>
      <c r="D8565" t="str">
        <f>HYPERLINK("http://service.sap.com/sap/support/notes/1613960","1613960")</f>
        <v>1613960</v>
      </c>
      <c r="E8565">
        <v>3</v>
      </c>
      <c r="F8565" t="s">
        <v>4406</v>
      </c>
    </row>
    <row r="8566" spans="1:6" x14ac:dyDescent="0.25">
      <c r="A8566" t="s">
        <v>4469</v>
      </c>
      <c r="B8566" t="s">
        <v>4144</v>
      </c>
      <c r="C8566" t="s">
        <v>4145</v>
      </c>
      <c r="D8566" t="str">
        <f>HYPERLINK("http://service.sap.com/sap/support/notes/1614672","1614672")</f>
        <v>1614672</v>
      </c>
      <c r="E8566">
        <v>2</v>
      </c>
      <c r="F8566" t="s">
        <v>4407</v>
      </c>
    </row>
    <row r="8567" spans="1:6" x14ac:dyDescent="0.25">
      <c r="A8567" t="s">
        <v>4469</v>
      </c>
      <c r="B8567" t="s">
        <v>4144</v>
      </c>
      <c r="C8567" t="s">
        <v>4145</v>
      </c>
      <c r="D8567" t="str">
        <f>HYPERLINK("http://service.sap.com/sap/support/notes/1614933","1614933")</f>
        <v>1614933</v>
      </c>
      <c r="E8567">
        <v>1</v>
      </c>
      <c r="F8567" t="s">
        <v>4408</v>
      </c>
    </row>
    <row r="8568" spans="1:6" x14ac:dyDescent="0.25">
      <c r="A8568" t="s">
        <v>4469</v>
      </c>
      <c r="B8568" t="s">
        <v>4144</v>
      </c>
      <c r="C8568" t="s">
        <v>4145</v>
      </c>
      <c r="D8568" t="str">
        <f>HYPERLINK("http://service.sap.com/sap/support/notes/1616316","1616316")</f>
        <v>1616316</v>
      </c>
      <c r="E8568">
        <v>1</v>
      </c>
      <c r="F8568" t="s">
        <v>4409</v>
      </c>
    </row>
    <row r="8569" spans="1:6" x14ac:dyDescent="0.25">
      <c r="A8569" t="s">
        <v>4469</v>
      </c>
      <c r="B8569" t="s">
        <v>4144</v>
      </c>
      <c r="C8569" t="s">
        <v>4145</v>
      </c>
      <c r="D8569" t="str">
        <f>HYPERLINK("http://service.sap.com/sap/support/notes/1620264","1620264")</f>
        <v>1620264</v>
      </c>
      <c r="E8569">
        <v>1</v>
      </c>
      <c r="F8569" t="s">
        <v>4410</v>
      </c>
    </row>
    <row r="8570" spans="1:6" x14ac:dyDescent="0.25">
      <c r="A8570" t="s">
        <v>4469</v>
      </c>
      <c r="B8570" t="s">
        <v>126</v>
      </c>
      <c r="C8570" t="s">
        <v>127</v>
      </c>
    </row>
    <row r="8571" spans="1:6" x14ac:dyDescent="0.25">
      <c r="A8571" t="s">
        <v>4469</v>
      </c>
      <c r="B8571" t="s">
        <v>1772</v>
      </c>
      <c r="C8571" t="s">
        <v>1773</v>
      </c>
    </row>
    <row r="8572" spans="1:6" x14ac:dyDescent="0.25">
      <c r="A8572" t="s">
        <v>4469</v>
      </c>
      <c r="B8572" t="s">
        <v>1774</v>
      </c>
      <c r="C8572" t="s">
        <v>1775</v>
      </c>
      <c r="D8572" t="str">
        <f>HYPERLINK("http://service.sap.com/sap/support/notes/1598017","1598017")</f>
        <v>1598017</v>
      </c>
      <c r="E8572">
        <v>3</v>
      </c>
      <c r="F8572" t="s">
        <v>4411</v>
      </c>
    </row>
    <row r="8573" spans="1:6" x14ac:dyDescent="0.25">
      <c r="A8573" t="s">
        <v>4469</v>
      </c>
      <c r="B8573" t="s">
        <v>1774</v>
      </c>
      <c r="C8573" t="s">
        <v>1775</v>
      </c>
      <c r="D8573" t="str">
        <f>HYPERLINK("http://service.sap.com/sap/support/notes/1612096","1612096")</f>
        <v>1612096</v>
      </c>
      <c r="E8573">
        <v>2</v>
      </c>
      <c r="F8573" t="s">
        <v>4412</v>
      </c>
    </row>
    <row r="8574" spans="1:6" x14ac:dyDescent="0.25">
      <c r="A8574" t="s">
        <v>4469</v>
      </c>
      <c r="B8574" t="s">
        <v>824</v>
      </c>
      <c r="C8574" t="s">
        <v>1777</v>
      </c>
    </row>
    <row r="8575" spans="1:6" x14ac:dyDescent="0.25">
      <c r="A8575" t="s">
        <v>4469</v>
      </c>
      <c r="B8575" t="s">
        <v>4413</v>
      </c>
      <c r="C8575" t="s">
        <v>4414</v>
      </c>
      <c r="D8575" t="str">
        <f>HYPERLINK("http://service.sap.com/sap/support/notes/1457466","1457466")</f>
        <v>1457466</v>
      </c>
      <c r="E8575">
        <v>7</v>
      </c>
      <c r="F8575" t="s">
        <v>4415</v>
      </c>
    </row>
    <row r="8576" spans="1:6" x14ac:dyDescent="0.25">
      <c r="A8576" t="s">
        <v>4469</v>
      </c>
      <c r="B8576" t="s">
        <v>4416</v>
      </c>
      <c r="C8576" t="s">
        <v>4417</v>
      </c>
      <c r="D8576" t="str">
        <f>HYPERLINK("http://service.sap.com/sap/support/notes/1590134","1590134")</f>
        <v>1590134</v>
      </c>
      <c r="E8576">
        <v>3</v>
      </c>
      <c r="F8576" t="s">
        <v>4418</v>
      </c>
    </row>
    <row r="8577" spans="1:6" x14ac:dyDescent="0.25">
      <c r="A8577" t="s">
        <v>4469</v>
      </c>
      <c r="B8577" t="s">
        <v>4157</v>
      </c>
      <c r="C8577" t="s">
        <v>4158</v>
      </c>
      <c r="D8577" t="str">
        <f>HYPERLINK("http://service.sap.com/sap/support/notes/1587639","1587639")</f>
        <v>1587639</v>
      </c>
      <c r="E8577">
        <v>1</v>
      </c>
      <c r="F8577" t="s">
        <v>4419</v>
      </c>
    </row>
    <row r="8578" spans="1:6" x14ac:dyDescent="0.25">
      <c r="A8578" t="s">
        <v>4469</v>
      </c>
      <c r="B8578" t="s">
        <v>4157</v>
      </c>
      <c r="C8578" t="s">
        <v>4158</v>
      </c>
      <c r="D8578" t="str">
        <f>HYPERLINK("http://service.sap.com/sap/support/notes/1607308","1607308")</f>
        <v>1607308</v>
      </c>
      <c r="E8578">
        <v>2</v>
      </c>
      <c r="F8578" t="s">
        <v>4420</v>
      </c>
    </row>
    <row r="8579" spans="1:6" x14ac:dyDescent="0.25">
      <c r="A8579" t="s">
        <v>4469</v>
      </c>
      <c r="B8579" t="s">
        <v>4157</v>
      </c>
      <c r="C8579" t="s">
        <v>4158</v>
      </c>
      <c r="D8579" t="str">
        <f>HYPERLINK("http://service.sap.com/sap/support/notes/1612100","1612100")</f>
        <v>1612100</v>
      </c>
      <c r="E8579">
        <v>2</v>
      </c>
      <c r="F8579" t="s">
        <v>4421</v>
      </c>
    </row>
    <row r="8580" spans="1:6" x14ac:dyDescent="0.25">
      <c r="A8580" t="s">
        <v>4469</v>
      </c>
      <c r="B8580" t="s">
        <v>825</v>
      </c>
      <c r="C8580" t="s">
        <v>1778</v>
      </c>
      <c r="D8580" t="str">
        <f>HYPERLINK("http://service.sap.com/sap/support/notes/1467672","1467672")</f>
        <v>1467672</v>
      </c>
      <c r="E8580">
        <v>3</v>
      </c>
      <c r="F8580" t="s">
        <v>4422</v>
      </c>
    </row>
    <row r="8581" spans="1:6" x14ac:dyDescent="0.25">
      <c r="A8581" t="s">
        <v>4469</v>
      </c>
      <c r="B8581" t="s">
        <v>825</v>
      </c>
      <c r="C8581" t="s">
        <v>1778</v>
      </c>
      <c r="D8581" t="str">
        <f>HYPERLINK("http://service.sap.com/sap/support/notes/1497330","1497330")</f>
        <v>1497330</v>
      </c>
      <c r="E8581">
        <v>6</v>
      </c>
      <c r="F8581" t="s">
        <v>4423</v>
      </c>
    </row>
    <row r="8582" spans="1:6" x14ac:dyDescent="0.25">
      <c r="A8582" t="s">
        <v>4469</v>
      </c>
      <c r="B8582" t="s">
        <v>825</v>
      </c>
      <c r="C8582" t="s">
        <v>1778</v>
      </c>
      <c r="D8582" t="str">
        <f>HYPERLINK("http://service.sap.com/sap/support/notes/1534874","1534874")</f>
        <v>1534874</v>
      </c>
      <c r="E8582">
        <v>2</v>
      </c>
      <c r="F8582" t="s">
        <v>4424</v>
      </c>
    </row>
    <row r="8583" spans="1:6" x14ac:dyDescent="0.25">
      <c r="A8583" t="s">
        <v>4469</v>
      </c>
      <c r="B8583" t="s">
        <v>825</v>
      </c>
      <c r="C8583" t="s">
        <v>1778</v>
      </c>
      <c r="D8583" t="str">
        <f>HYPERLINK("http://service.sap.com/sap/support/notes/1546661","1546661")</f>
        <v>1546661</v>
      </c>
      <c r="E8583">
        <v>5</v>
      </c>
      <c r="F8583" t="s">
        <v>4425</v>
      </c>
    </row>
    <row r="8584" spans="1:6" x14ac:dyDescent="0.25">
      <c r="A8584" t="s">
        <v>4469</v>
      </c>
      <c r="B8584" t="s">
        <v>825</v>
      </c>
      <c r="C8584" t="s">
        <v>1778</v>
      </c>
      <c r="D8584" t="str">
        <f>HYPERLINK("http://service.sap.com/sap/support/notes/1562806","1562806")</f>
        <v>1562806</v>
      </c>
      <c r="E8584">
        <v>1</v>
      </c>
      <c r="F8584" t="s">
        <v>4426</v>
      </c>
    </row>
    <row r="8585" spans="1:6" x14ac:dyDescent="0.25">
      <c r="A8585" t="s">
        <v>4469</v>
      </c>
      <c r="B8585" t="s">
        <v>825</v>
      </c>
      <c r="C8585" t="s">
        <v>1778</v>
      </c>
      <c r="D8585" t="str">
        <f>HYPERLINK("http://service.sap.com/sap/support/notes/1574606","1574606")</f>
        <v>1574606</v>
      </c>
      <c r="E8585">
        <v>3</v>
      </c>
      <c r="F8585" t="s">
        <v>4427</v>
      </c>
    </row>
    <row r="8586" spans="1:6" x14ac:dyDescent="0.25">
      <c r="A8586" t="s">
        <v>4469</v>
      </c>
      <c r="B8586" t="s">
        <v>825</v>
      </c>
      <c r="C8586" t="s">
        <v>1778</v>
      </c>
      <c r="D8586" t="str">
        <f>HYPERLINK("http://service.sap.com/sap/support/notes/1579968","1579968")</f>
        <v>1579968</v>
      </c>
      <c r="E8586">
        <v>9</v>
      </c>
      <c r="F8586" t="s">
        <v>4428</v>
      </c>
    </row>
    <row r="8587" spans="1:6" x14ac:dyDescent="0.25">
      <c r="A8587" t="s">
        <v>4469</v>
      </c>
      <c r="B8587" t="s">
        <v>825</v>
      </c>
      <c r="C8587" t="s">
        <v>1778</v>
      </c>
      <c r="D8587" t="str">
        <f>HYPERLINK("http://service.sap.com/sap/support/notes/1584121","1584121")</f>
        <v>1584121</v>
      </c>
      <c r="E8587">
        <v>4</v>
      </c>
      <c r="F8587" t="s">
        <v>4429</v>
      </c>
    </row>
    <row r="8588" spans="1:6" x14ac:dyDescent="0.25">
      <c r="A8588" t="s">
        <v>4469</v>
      </c>
      <c r="B8588" t="s">
        <v>825</v>
      </c>
      <c r="C8588" t="s">
        <v>1778</v>
      </c>
      <c r="D8588" t="str">
        <f>HYPERLINK("http://service.sap.com/sap/support/notes/1592153","1592153")</f>
        <v>1592153</v>
      </c>
      <c r="E8588">
        <v>5</v>
      </c>
      <c r="F8588" t="s">
        <v>4430</v>
      </c>
    </row>
    <row r="8589" spans="1:6" x14ac:dyDescent="0.25">
      <c r="A8589" t="s">
        <v>4469</v>
      </c>
      <c r="B8589" t="s">
        <v>825</v>
      </c>
      <c r="C8589" t="s">
        <v>1778</v>
      </c>
      <c r="D8589" t="str">
        <f>HYPERLINK("http://service.sap.com/sap/support/notes/1592233","1592233")</f>
        <v>1592233</v>
      </c>
      <c r="E8589">
        <v>5</v>
      </c>
      <c r="F8589" t="s">
        <v>4431</v>
      </c>
    </row>
    <row r="8590" spans="1:6" x14ac:dyDescent="0.25">
      <c r="A8590" t="s">
        <v>4469</v>
      </c>
      <c r="B8590" t="s">
        <v>825</v>
      </c>
      <c r="C8590" t="s">
        <v>1778</v>
      </c>
      <c r="D8590" t="str">
        <f>HYPERLINK("http://service.sap.com/sap/support/notes/1593343","1593343")</f>
        <v>1593343</v>
      </c>
      <c r="E8590">
        <v>1</v>
      </c>
      <c r="F8590" t="s">
        <v>4432</v>
      </c>
    </row>
    <row r="8591" spans="1:6" x14ac:dyDescent="0.25">
      <c r="A8591" t="s">
        <v>4469</v>
      </c>
      <c r="B8591" t="s">
        <v>825</v>
      </c>
      <c r="C8591" t="s">
        <v>1778</v>
      </c>
      <c r="D8591" t="str">
        <f>HYPERLINK("http://service.sap.com/sap/support/notes/1597012","1597012")</f>
        <v>1597012</v>
      </c>
      <c r="E8591">
        <v>4</v>
      </c>
      <c r="F8591" t="s">
        <v>4433</v>
      </c>
    </row>
    <row r="8592" spans="1:6" x14ac:dyDescent="0.25">
      <c r="A8592" t="s">
        <v>4469</v>
      </c>
      <c r="B8592" t="s">
        <v>825</v>
      </c>
      <c r="C8592" t="s">
        <v>1778</v>
      </c>
      <c r="D8592" t="str">
        <f>HYPERLINK("http://service.sap.com/sap/support/notes/1599769","1599769")</f>
        <v>1599769</v>
      </c>
      <c r="E8592">
        <v>1</v>
      </c>
      <c r="F8592" t="s">
        <v>4434</v>
      </c>
    </row>
    <row r="8593" spans="1:6" x14ac:dyDescent="0.25">
      <c r="A8593" t="s">
        <v>4469</v>
      </c>
      <c r="B8593" t="s">
        <v>825</v>
      </c>
      <c r="C8593" t="s">
        <v>1778</v>
      </c>
      <c r="D8593" t="str">
        <f>HYPERLINK("http://service.sap.com/sap/support/notes/1600344","1600344")</f>
        <v>1600344</v>
      </c>
      <c r="E8593">
        <v>3</v>
      </c>
      <c r="F8593" t="s">
        <v>4435</v>
      </c>
    </row>
    <row r="8594" spans="1:6" x14ac:dyDescent="0.25">
      <c r="A8594" t="s">
        <v>4469</v>
      </c>
      <c r="B8594" t="s">
        <v>825</v>
      </c>
      <c r="C8594" t="s">
        <v>1778</v>
      </c>
      <c r="D8594" t="str">
        <f>HYPERLINK("http://service.sap.com/sap/support/notes/1601168","1601168")</f>
        <v>1601168</v>
      </c>
      <c r="E8594">
        <v>3</v>
      </c>
      <c r="F8594" t="s">
        <v>4436</v>
      </c>
    </row>
    <row r="8595" spans="1:6" x14ac:dyDescent="0.25">
      <c r="A8595" t="s">
        <v>4469</v>
      </c>
      <c r="B8595" t="s">
        <v>825</v>
      </c>
      <c r="C8595" t="s">
        <v>1778</v>
      </c>
      <c r="D8595" t="str">
        <f>HYPERLINK("http://service.sap.com/sap/support/notes/1608814","1608814")</f>
        <v>1608814</v>
      </c>
      <c r="E8595">
        <v>1</v>
      </c>
      <c r="F8595" t="s">
        <v>4437</v>
      </c>
    </row>
    <row r="8596" spans="1:6" x14ac:dyDescent="0.25">
      <c r="A8596" t="s">
        <v>4469</v>
      </c>
      <c r="B8596" t="s">
        <v>825</v>
      </c>
      <c r="C8596" t="s">
        <v>1778</v>
      </c>
      <c r="D8596" t="str">
        <f>HYPERLINK("http://service.sap.com/sap/support/notes/1609306","1609306")</f>
        <v>1609306</v>
      </c>
      <c r="E8596">
        <v>2</v>
      </c>
      <c r="F8596" t="s">
        <v>4438</v>
      </c>
    </row>
    <row r="8597" spans="1:6" x14ac:dyDescent="0.25">
      <c r="A8597" t="s">
        <v>4469</v>
      </c>
      <c r="B8597" t="s">
        <v>825</v>
      </c>
      <c r="C8597" t="s">
        <v>1778</v>
      </c>
      <c r="D8597" t="str">
        <f>HYPERLINK("http://service.sap.com/sap/support/notes/1614234","1614234")</f>
        <v>1614234</v>
      </c>
      <c r="E8597">
        <v>1</v>
      </c>
      <c r="F8597" t="s">
        <v>4439</v>
      </c>
    </row>
    <row r="8598" spans="1:6" x14ac:dyDescent="0.25">
      <c r="A8598" t="s">
        <v>4469</v>
      </c>
      <c r="B8598" t="s">
        <v>1779</v>
      </c>
      <c r="C8598" t="s">
        <v>1780</v>
      </c>
      <c r="D8598" t="str">
        <f>HYPERLINK("http://service.sap.com/sap/support/notes/1621590","1621590")</f>
        <v>1621590</v>
      </c>
      <c r="E8598">
        <v>2</v>
      </c>
      <c r="F8598" t="s">
        <v>4440</v>
      </c>
    </row>
    <row r="8599" spans="1:6" x14ac:dyDescent="0.25">
      <c r="A8599" t="s">
        <v>4469</v>
      </c>
      <c r="B8599" t="s">
        <v>4441</v>
      </c>
      <c r="C8599" t="s">
        <v>4442</v>
      </c>
      <c r="D8599" t="str">
        <f>HYPERLINK("http://service.sap.com/sap/support/notes/1575238","1575238")</f>
        <v>1575238</v>
      </c>
      <c r="E8599">
        <v>1</v>
      </c>
      <c r="F8599" t="s">
        <v>4443</v>
      </c>
    </row>
    <row r="8600" spans="1:6" x14ac:dyDescent="0.25">
      <c r="A8600" t="s">
        <v>4469</v>
      </c>
      <c r="B8600" t="s">
        <v>4444</v>
      </c>
      <c r="C8600" t="s">
        <v>4445</v>
      </c>
    </row>
    <row r="8601" spans="1:6" x14ac:dyDescent="0.25">
      <c r="A8601" t="s">
        <v>4469</v>
      </c>
      <c r="B8601" t="s">
        <v>4446</v>
      </c>
      <c r="C8601" t="s">
        <v>4447</v>
      </c>
      <c r="D8601" t="str">
        <f>HYPERLINK("http://service.sap.com/sap/support/notes/1599842","1599842")</f>
        <v>1599842</v>
      </c>
      <c r="E8601">
        <v>3</v>
      </c>
      <c r="F8601" t="s">
        <v>4448</v>
      </c>
    </row>
    <row r="8602" spans="1:6" x14ac:dyDescent="0.25">
      <c r="A8602" t="s">
        <v>4469</v>
      </c>
      <c r="B8602" t="s">
        <v>1783</v>
      </c>
      <c r="C8602" t="s">
        <v>1784</v>
      </c>
      <c r="D8602" t="str">
        <f>HYPERLINK("http://service.sap.com/sap/support/notes/1588571","1588571")</f>
        <v>1588571</v>
      </c>
      <c r="E8602">
        <v>3</v>
      </c>
      <c r="F8602" t="s">
        <v>4449</v>
      </c>
    </row>
    <row r="8603" spans="1:6" x14ac:dyDescent="0.25">
      <c r="A8603" t="s">
        <v>4469</v>
      </c>
      <c r="B8603" t="s">
        <v>831</v>
      </c>
      <c r="C8603" t="s">
        <v>2598</v>
      </c>
    </row>
    <row r="8604" spans="1:6" x14ac:dyDescent="0.25">
      <c r="A8604" t="s">
        <v>4469</v>
      </c>
      <c r="B8604" t="s">
        <v>849</v>
      </c>
      <c r="C8604" t="s">
        <v>4450</v>
      </c>
    </row>
    <row r="8605" spans="1:6" x14ac:dyDescent="0.25">
      <c r="A8605" t="s">
        <v>4469</v>
      </c>
      <c r="B8605" t="s">
        <v>867</v>
      </c>
      <c r="C8605" t="s">
        <v>4451</v>
      </c>
    </row>
    <row r="8606" spans="1:6" x14ac:dyDescent="0.25">
      <c r="A8606" t="s">
        <v>4469</v>
      </c>
      <c r="B8606" t="s">
        <v>4452</v>
      </c>
      <c r="C8606" t="s">
        <v>4048</v>
      </c>
      <c r="D8606" t="str">
        <f>HYPERLINK("http://service.sap.com/sap/support/notes/1595959","1595959")</f>
        <v>1595959</v>
      </c>
      <c r="E8606">
        <v>1</v>
      </c>
      <c r="F8606" t="s">
        <v>4453</v>
      </c>
    </row>
    <row r="8607" spans="1:6" x14ac:dyDescent="0.25">
      <c r="A8607" t="s">
        <v>4469</v>
      </c>
      <c r="B8607" t="s">
        <v>131</v>
      </c>
      <c r="C8607" t="s">
        <v>132</v>
      </c>
    </row>
    <row r="8608" spans="1:6" x14ac:dyDescent="0.25">
      <c r="A8608" t="s">
        <v>4469</v>
      </c>
      <c r="B8608" t="s">
        <v>141</v>
      </c>
      <c r="C8608" t="s">
        <v>41</v>
      </c>
      <c r="D8608" t="str">
        <f>HYPERLINK("http://service.sap.com/sap/support/notes/1616264","1616264")</f>
        <v>1616264</v>
      </c>
      <c r="E8608">
        <v>2</v>
      </c>
      <c r="F8608" t="s">
        <v>4454</v>
      </c>
    </row>
    <row r="8609" spans="1:6" x14ac:dyDescent="0.25">
      <c r="A8609" t="s">
        <v>4469</v>
      </c>
      <c r="B8609" t="s">
        <v>155</v>
      </c>
      <c r="C8609" t="s">
        <v>156</v>
      </c>
      <c r="D8609" t="str">
        <f>HYPERLINK("http://service.sap.com/sap/support/notes/815445","815445")</f>
        <v>815445</v>
      </c>
      <c r="E8609">
        <v>1</v>
      </c>
      <c r="F8609" t="s">
        <v>157</v>
      </c>
    </row>
    <row r="8610" spans="1:6" x14ac:dyDescent="0.25">
      <c r="A8610" t="s">
        <v>4469</v>
      </c>
      <c r="B8610" t="s">
        <v>155</v>
      </c>
      <c r="C8610" t="s">
        <v>156</v>
      </c>
      <c r="D8610" t="str">
        <f>HYPERLINK("http://service.sap.com/sap/support/notes/1620580","1620580")</f>
        <v>1620580</v>
      </c>
      <c r="E8610">
        <v>2</v>
      </c>
      <c r="F8610" t="s">
        <v>4455</v>
      </c>
    </row>
    <row r="8611" spans="1:6" x14ac:dyDescent="0.25">
      <c r="A8611" t="s">
        <v>4469</v>
      </c>
      <c r="B8611" t="s">
        <v>168</v>
      </c>
      <c r="C8611" t="s">
        <v>169</v>
      </c>
      <c r="D8611" t="str">
        <f>HYPERLINK("http://service.sap.com/sap/support/notes/1552192","1552192")</f>
        <v>1552192</v>
      </c>
      <c r="E8611">
        <v>1</v>
      </c>
      <c r="F8611" t="s">
        <v>2224</v>
      </c>
    </row>
    <row r="8612" spans="1:6" x14ac:dyDescent="0.25">
      <c r="A8612" t="s">
        <v>4469</v>
      </c>
      <c r="B8612" t="s">
        <v>168</v>
      </c>
      <c r="C8612" t="s">
        <v>169</v>
      </c>
      <c r="D8612" t="str">
        <f>HYPERLINK("http://service.sap.com/sap/support/notes/1560828","1560828")</f>
        <v>1560828</v>
      </c>
      <c r="E8612">
        <v>14</v>
      </c>
      <c r="F8612" t="s">
        <v>2224</v>
      </c>
    </row>
    <row r="8613" spans="1:6" x14ac:dyDescent="0.25">
      <c r="A8613" t="s">
        <v>4469</v>
      </c>
      <c r="B8613" t="s">
        <v>168</v>
      </c>
      <c r="C8613" t="s">
        <v>169</v>
      </c>
      <c r="D8613" t="str">
        <f>HYPERLINK("http://service.sap.com/sap/support/notes/1620133","1620133")</f>
        <v>1620133</v>
      </c>
      <c r="E8613">
        <v>1</v>
      </c>
      <c r="F8613" t="s">
        <v>4298</v>
      </c>
    </row>
    <row r="8614" spans="1:6" x14ac:dyDescent="0.25">
      <c r="A8614" t="s">
        <v>4469</v>
      </c>
      <c r="B8614" t="s">
        <v>191</v>
      </c>
      <c r="C8614" t="s">
        <v>192</v>
      </c>
      <c r="D8614" t="str">
        <f>HYPERLINK("http://service.sap.com/sap/support/notes/1569981","1569981")</f>
        <v>1569981</v>
      </c>
      <c r="E8614">
        <v>1</v>
      </c>
      <c r="F8614" t="s">
        <v>4456</v>
      </c>
    </row>
    <row r="8615" spans="1:6" x14ac:dyDescent="0.25">
      <c r="A8615" t="s">
        <v>4469</v>
      </c>
      <c r="B8615" t="s">
        <v>207</v>
      </c>
      <c r="C8615" t="s">
        <v>208</v>
      </c>
      <c r="D8615" t="str">
        <f>HYPERLINK("http://service.sap.com/sap/support/notes/1617689","1617689")</f>
        <v>1617689</v>
      </c>
      <c r="E8615">
        <v>1</v>
      </c>
      <c r="F8615" t="s">
        <v>4457</v>
      </c>
    </row>
    <row r="8616" spans="1:6" x14ac:dyDescent="0.25">
      <c r="A8616" t="s">
        <v>4469</v>
      </c>
      <c r="B8616" t="s">
        <v>343</v>
      </c>
      <c r="C8616" t="s">
        <v>344</v>
      </c>
      <c r="D8616" t="str">
        <f>HYPERLINK("http://service.sap.com/sap/support/notes/1606422","1606422")</f>
        <v>1606422</v>
      </c>
      <c r="E8616">
        <v>1</v>
      </c>
      <c r="F8616" t="s">
        <v>4458</v>
      </c>
    </row>
    <row r="8617" spans="1:6" x14ac:dyDescent="0.25">
      <c r="A8617" t="s">
        <v>4469</v>
      </c>
      <c r="B8617" t="s">
        <v>1121</v>
      </c>
      <c r="C8617" t="s">
        <v>251</v>
      </c>
    </row>
    <row r="8618" spans="1:6" x14ac:dyDescent="0.25">
      <c r="A8618" t="s">
        <v>4469</v>
      </c>
      <c r="B8618" t="s">
        <v>3781</v>
      </c>
      <c r="C8618" t="s">
        <v>3782</v>
      </c>
      <c r="D8618" t="str">
        <f>HYPERLINK("http://service.sap.com/sap/support/notes/1615630","1615630")</f>
        <v>1615630</v>
      </c>
      <c r="E8618">
        <v>1</v>
      </c>
      <c r="F8618" t="s">
        <v>4459</v>
      </c>
    </row>
    <row r="8619" spans="1:6" x14ac:dyDescent="0.25">
      <c r="A8619" t="s">
        <v>4469</v>
      </c>
      <c r="B8619" t="s">
        <v>363</v>
      </c>
      <c r="C8619" t="s">
        <v>74</v>
      </c>
    </row>
    <row r="8620" spans="1:6" x14ac:dyDescent="0.25">
      <c r="A8620" t="s">
        <v>4469</v>
      </c>
      <c r="B8620" t="s">
        <v>371</v>
      </c>
      <c r="C8620" t="s">
        <v>372</v>
      </c>
      <c r="D8620" t="str">
        <f>HYPERLINK("http://service.sap.com/sap/support/notes/1619980","1619980")</f>
        <v>1619980</v>
      </c>
      <c r="E8620">
        <v>1</v>
      </c>
      <c r="F8620" t="s">
        <v>4460</v>
      </c>
    </row>
    <row r="8621" spans="1:6" x14ac:dyDescent="0.25">
      <c r="A8621" t="s">
        <v>4469</v>
      </c>
      <c r="B8621" t="s">
        <v>388</v>
      </c>
      <c r="C8621" t="s">
        <v>87</v>
      </c>
      <c r="D8621" t="str">
        <f>HYPERLINK("http://service.sap.com/sap/support/notes/1224058","1224058")</f>
        <v>1224058</v>
      </c>
      <c r="E8621">
        <v>1</v>
      </c>
      <c r="F8621" t="s">
        <v>389</v>
      </c>
    </row>
    <row r="8622" spans="1:6" x14ac:dyDescent="0.25">
      <c r="A8622" t="s">
        <v>4469</v>
      </c>
      <c r="B8622" t="s">
        <v>440</v>
      </c>
      <c r="C8622" t="s">
        <v>441</v>
      </c>
      <c r="D8622" t="str">
        <f>HYPERLINK("http://service.sap.com/sap/support/notes/1060820","1060820")</f>
        <v>1060820</v>
      </c>
      <c r="E8622">
        <v>1</v>
      </c>
      <c r="F8622" t="s">
        <v>2104</v>
      </c>
    </row>
    <row r="8623" spans="1:6" x14ac:dyDescent="0.25">
      <c r="A8623" t="s">
        <v>4469</v>
      </c>
      <c r="B8623" t="s">
        <v>460</v>
      </c>
      <c r="C8623" t="s">
        <v>461</v>
      </c>
      <c r="D8623" t="str">
        <f>HYPERLINK("http://service.sap.com/sap/support/notes/1618462","1618462")</f>
        <v>1618462</v>
      </c>
      <c r="E8623">
        <v>1</v>
      </c>
      <c r="F8623" t="s">
        <v>4461</v>
      </c>
    </row>
    <row r="8624" spans="1:6" x14ac:dyDescent="0.25">
      <c r="A8624" t="s">
        <v>4469</v>
      </c>
      <c r="B8624" t="s">
        <v>495</v>
      </c>
      <c r="C8624" t="s">
        <v>496</v>
      </c>
      <c r="D8624" t="str">
        <f>HYPERLINK("http://service.sap.com/sap/support/notes/1616512","1616512")</f>
        <v>1616512</v>
      </c>
      <c r="E8624">
        <v>1</v>
      </c>
      <c r="F8624" t="s">
        <v>4462</v>
      </c>
    </row>
    <row r="8625" spans="1:6" x14ac:dyDescent="0.25">
      <c r="A8625" t="s">
        <v>4469</v>
      </c>
      <c r="B8625" t="s">
        <v>499</v>
      </c>
      <c r="C8625" t="s">
        <v>108</v>
      </c>
    </row>
    <row r="8626" spans="1:6" x14ac:dyDescent="0.25">
      <c r="A8626" t="s">
        <v>4469</v>
      </c>
      <c r="B8626" t="s">
        <v>505</v>
      </c>
      <c r="C8626" t="s">
        <v>299</v>
      </c>
      <c r="D8626" t="str">
        <f>HYPERLINK("http://service.sap.com/sap/support/notes/1611959","1611959")</f>
        <v>1611959</v>
      </c>
      <c r="E8626">
        <v>3</v>
      </c>
      <c r="F8626" t="s">
        <v>4463</v>
      </c>
    </row>
    <row r="8627" spans="1:6" x14ac:dyDescent="0.25">
      <c r="A8627" t="s">
        <v>4469</v>
      </c>
      <c r="B8627" t="s">
        <v>505</v>
      </c>
      <c r="C8627" t="s">
        <v>299</v>
      </c>
      <c r="D8627" t="str">
        <f>HYPERLINK("http://service.sap.com/sap/support/notes/1619893","1619893")</f>
        <v>1619893</v>
      </c>
      <c r="E8627">
        <v>1</v>
      </c>
      <c r="F8627" t="s">
        <v>4464</v>
      </c>
    </row>
    <row r="8628" spans="1:6" x14ac:dyDescent="0.25">
      <c r="A8628" t="s">
        <v>4469</v>
      </c>
      <c r="B8628" t="s">
        <v>531</v>
      </c>
      <c r="C8628" t="s">
        <v>532</v>
      </c>
    </row>
    <row r="8629" spans="1:6" x14ac:dyDescent="0.25">
      <c r="A8629" t="s">
        <v>4469</v>
      </c>
      <c r="B8629" t="s">
        <v>1380</v>
      </c>
      <c r="C8629" t="s">
        <v>4465</v>
      </c>
      <c r="D8629" t="str">
        <f>HYPERLINK("http://service.sap.com/sap/support/notes/1590352","1590352")</f>
        <v>1590352</v>
      </c>
      <c r="E8629">
        <v>1</v>
      </c>
      <c r="F8629" t="s">
        <v>4466</v>
      </c>
    </row>
    <row r="8630" spans="1:6" x14ac:dyDescent="0.25">
      <c r="A8630" t="s">
        <v>4469</v>
      </c>
      <c r="B8630" t="s">
        <v>543</v>
      </c>
      <c r="C8630" t="s">
        <v>544</v>
      </c>
    </row>
    <row r="8631" spans="1:6" x14ac:dyDescent="0.25">
      <c r="A8631" t="s">
        <v>4469</v>
      </c>
      <c r="B8631" t="s">
        <v>2560</v>
      </c>
      <c r="C8631" t="s">
        <v>2561</v>
      </c>
    </row>
    <row r="8632" spans="1:6" x14ac:dyDescent="0.25">
      <c r="A8632" t="s">
        <v>4469</v>
      </c>
      <c r="B8632" t="s">
        <v>4029</v>
      </c>
      <c r="C8632" t="s">
        <v>4467</v>
      </c>
      <c r="D8632" t="str">
        <f>HYPERLINK("http://service.sap.com/sap/support/notes/1613871","1613871")</f>
        <v>1613871</v>
      </c>
      <c r="E8632">
        <v>1</v>
      </c>
      <c r="F8632" t="s">
        <v>4468</v>
      </c>
    </row>
    <row r="8633" spans="1:6" x14ac:dyDescent="0.25">
      <c r="A8633" t="s">
        <v>7791</v>
      </c>
      <c r="B8633" t="s">
        <v>573</v>
      </c>
      <c r="C8633" t="s">
        <v>4037</v>
      </c>
    </row>
    <row r="8634" spans="1:6" x14ac:dyDescent="0.25">
      <c r="A8634" t="s">
        <v>7791</v>
      </c>
      <c r="B8634" t="s">
        <v>4043</v>
      </c>
      <c r="C8634" t="s">
        <v>4044</v>
      </c>
    </row>
    <row r="8635" spans="1:6" x14ac:dyDescent="0.25">
      <c r="A8635" t="s">
        <v>7791</v>
      </c>
      <c r="B8635" t="s">
        <v>4045</v>
      </c>
      <c r="C8635" t="s">
        <v>4046</v>
      </c>
    </row>
    <row r="8636" spans="1:6" x14ac:dyDescent="0.25">
      <c r="A8636" t="s">
        <v>7791</v>
      </c>
      <c r="B8636" t="s">
        <v>4047</v>
      </c>
      <c r="C8636" t="s">
        <v>4048</v>
      </c>
      <c r="D8636" t="str">
        <f>HYPERLINK("http://service.sap.com/sap/support/notes/1629829","1629829")</f>
        <v>1629829</v>
      </c>
      <c r="E8636">
        <v>1</v>
      </c>
      <c r="F8636" t="s">
        <v>7661</v>
      </c>
    </row>
    <row r="8637" spans="1:6" x14ac:dyDescent="0.25">
      <c r="A8637" t="s">
        <v>7791</v>
      </c>
      <c r="B8637" t="s">
        <v>20</v>
      </c>
      <c r="C8637" t="s">
        <v>21</v>
      </c>
    </row>
    <row r="8638" spans="1:6" x14ac:dyDescent="0.25">
      <c r="A8638" t="s">
        <v>7791</v>
      </c>
      <c r="B8638" t="s">
        <v>22</v>
      </c>
      <c r="C8638" t="s">
        <v>23</v>
      </c>
      <c r="D8638" t="str">
        <f>HYPERLINK("http://service.sap.com/sap/support/notes/1576279","1576279")</f>
        <v>1576279</v>
      </c>
      <c r="E8638">
        <v>4</v>
      </c>
      <c r="F8638" t="s">
        <v>7662</v>
      </c>
    </row>
    <row r="8639" spans="1:6" x14ac:dyDescent="0.25">
      <c r="A8639" t="s">
        <v>7791</v>
      </c>
      <c r="B8639" t="s">
        <v>22</v>
      </c>
      <c r="C8639" t="s">
        <v>23</v>
      </c>
      <c r="D8639" t="str">
        <f>HYPERLINK("http://service.sap.com/sap/support/notes/1605508","1605508")</f>
        <v>1605508</v>
      </c>
      <c r="E8639">
        <v>2</v>
      </c>
      <c r="F8639" t="s">
        <v>7663</v>
      </c>
    </row>
    <row r="8640" spans="1:6" x14ac:dyDescent="0.25">
      <c r="A8640" t="s">
        <v>7791</v>
      </c>
      <c r="B8640" t="s">
        <v>22</v>
      </c>
      <c r="C8640" t="s">
        <v>23</v>
      </c>
      <c r="D8640" t="str">
        <f>HYPERLINK("http://service.sap.com/sap/support/notes/1629165","1629165")</f>
        <v>1629165</v>
      </c>
      <c r="E8640">
        <v>4</v>
      </c>
      <c r="F8640" t="s">
        <v>7664</v>
      </c>
    </row>
    <row r="8641" spans="1:6" x14ac:dyDescent="0.25">
      <c r="A8641" t="s">
        <v>7791</v>
      </c>
      <c r="B8641" t="s">
        <v>22</v>
      </c>
      <c r="C8641" t="s">
        <v>23</v>
      </c>
      <c r="D8641" t="str">
        <f>HYPERLINK("http://service.sap.com/sap/support/notes/1629948","1629948")</f>
        <v>1629948</v>
      </c>
      <c r="E8641">
        <v>2</v>
      </c>
      <c r="F8641" t="s">
        <v>7665</v>
      </c>
    </row>
    <row r="8642" spans="1:6" x14ac:dyDescent="0.25">
      <c r="A8642" t="s">
        <v>7791</v>
      </c>
      <c r="B8642" t="s">
        <v>22</v>
      </c>
      <c r="C8642" t="s">
        <v>23</v>
      </c>
      <c r="D8642" t="str">
        <f>HYPERLINK("http://service.sap.com/sap/support/notes/1630914","1630914")</f>
        <v>1630914</v>
      </c>
      <c r="E8642">
        <v>1</v>
      </c>
      <c r="F8642" t="s">
        <v>7666</v>
      </c>
    </row>
    <row r="8643" spans="1:6" x14ac:dyDescent="0.25">
      <c r="A8643" t="s">
        <v>7791</v>
      </c>
      <c r="B8643" t="s">
        <v>22</v>
      </c>
      <c r="C8643" t="s">
        <v>23</v>
      </c>
      <c r="D8643" t="str">
        <f>HYPERLINK("http://service.sap.com/sap/support/notes/1633189","1633189")</f>
        <v>1633189</v>
      </c>
      <c r="E8643">
        <v>2</v>
      </c>
      <c r="F8643" t="s">
        <v>7667</v>
      </c>
    </row>
    <row r="8644" spans="1:6" x14ac:dyDescent="0.25">
      <c r="A8644" t="s">
        <v>7791</v>
      </c>
      <c r="B8644" t="s">
        <v>24</v>
      </c>
      <c r="C8644" t="s">
        <v>25</v>
      </c>
      <c r="D8644" t="str">
        <f>HYPERLINK("http://service.sap.com/sap/support/notes/1353741","1353741")</f>
        <v>1353741</v>
      </c>
      <c r="E8644">
        <v>4</v>
      </c>
      <c r="F8644" t="s">
        <v>7668</v>
      </c>
    </row>
    <row r="8645" spans="1:6" x14ac:dyDescent="0.25">
      <c r="A8645" t="s">
        <v>7791</v>
      </c>
      <c r="B8645" t="s">
        <v>24</v>
      </c>
      <c r="C8645" t="s">
        <v>25</v>
      </c>
      <c r="D8645" t="str">
        <f>HYPERLINK("http://service.sap.com/sap/support/notes/1509307","1509307")</f>
        <v>1509307</v>
      </c>
      <c r="E8645">
        <v>2</v>
      </c>
      <c r="F8645" t="s">
        <v>7669</v>
      </c>
    </row>
    <row r="8646" spans="1:6" x14ac:dyDescent="0.25">
      <c r="A8646" t="s">
        <v>7791</v>
      </c>
      <c r="B8646" t="s">
        <v>24</v>
      </c>
      <c r="C8646" t="s">
        <v>25</v>
      </c>
      <c r="D8646" t="str">
        <f>HYPERLINK("http://service.sap.com/sap/support/notes/1607288","1607288")</f>
        <v>1607288</v>
      </c>
      <c r="E8646">
        <v>1</v>
      </c>
      <c r="F8646" t="s">
        <v>7670</v>
      </c>
    </row>
    <row r="8647" spans="1:6" x14ac:dyDescent="0.25">
      <c r="A8647" t="s">
        <v>7791</v>
      </c>
      <c r="B8647" t="s">
        <v>24</v>
      </c>
      <c r="C8647" t="s">
        <v>25</v>
      </c>
      <c r="D8647" t="str">
        <f>HYPERLINK("http://service.sap.com/sap/support/notes/1613198","1613198")</f>
        <v>1613198</v>
      </c>
      <c r="E8647">
        <v>9</v>
      </c>
      <c r="F8647" t="s">
        <v>7671</v>
      </c>
    </row>
    <row r="8648" spans="1:6" x14ac:dyDescent="0.25">
      <c r="A8648" t="s">
        <v>7791</v>
      </c>
      <c r="B8648" t="s">
        <v>24</v>
      </c>
      <c r="C8648" t="s">
        <v>25</v>
      </c>
      <c r="D8648" t="str">
        <f>HYPERLINK("http://service.sap.com/sap/support/notes/1619558","1619558")</f>
        <v>1619558</v>
      </c>
      <c r="E8648">
        <v>4</v>
      </c>
      <c r="F8648" t="s">
        <v>7672</v>
      </c>
    </row>
    <row r="8649" spans="1:6" x14ac:dyDescent="0.25">
      <c r="A8649" t="s">
        <v>7791</v>
      </c>
      <c r="B8649" t="s">
        <v>24</v>
      </c>
      <c r="C8649" t="s">
        <v>25</v>
      </c>
      <c r="D8649" t="str">
        <f>HYPERLINK("http://service.sap.com/sap/support/notes/1621779","1621779")</f>
        <v>1621779</v>
      </c>
      <c r="E8649">
        <v>3</v>
      </c>
      <c r="F8649" t="s">
        <v>7673</v>
      </c>
    </row>
    <row r="8650" spans="1:6" x14ac:dyDescent="0.25">
      <c r="A8650" t="s">
        <v>7791</v>
      </c>
      <c r="B8650" t="s">
        <v>24</v>
      </c>
      <c r="C8650" t="s">
        <v>25</v>
      </c>
      <c r="D8650" t="str">
        <f>HYPERLINK("http://service.sap.com/sap/support/notes/1622592","1622592")</f>
        <v>1622592</v>
      </c>
      <c r="E8650">
        <v>2</v>
      </c>
      <c r="F8650" t="s">
        <v>7674</v>
      </c>
    </row>
    <row r="8651" spans="1:6" x14ac:dyDescent="0.25">
      <c r="A8651" t="s">
        <v>7791</v>
      </c>
      <c r="B8651" t="s">
        <v>24</v>
      </c>
      <c r="C8651" t="s">
        <v>25</v>
      </c>
      <c r="D8651" t="str">
        <f>HYPERLINK("http://service.sap.com/sap/support/notes/1623194","1623194")</f>
        <v>1623194</v>
      </c>
      <c r="E8651">
        <v>2</v>
      </c>
      <c r="F8651" t="s">
        <v>7675</v>
      </c>
    </row>
    <row r="8652" spans="1:6" x14ac:dyDescent="0.25">
      <c r="A8652" t="s">
        <v>7791</v>
      </c>
      <c r="B8652" t="s">
        <v>24</v>
      </c>
      <c r="C8652" t="s">
        <v>25</v>
      </c>
      <c r="D8652" t="str">
        <f>HYPERLINK("http://service.sap.com/sap/support/notes/1624367","1624367")</f>
        <v>1624367</v>
      </c>
      <c r="E8652">
        <v>2</v>
      </c>
      <c r="F8652" t="s">
        <v>7676</v>
      </c>
    </row>
    <row r="8653" spans="1:6" x14ac:dyDescent="0.25">
      <c r="A8653" t="s">
        <v>7791</v>
      </c>
      <c r="B8653" t="s">
        <v>24</v>
      </c>
      <c r="C8653" t="s">
        <v>25</v>
      </c>
      <c r="D8653" t="str">
        <f>HYPERLINK("http://service.sap.com/sap/support/notes/1625746","1625746")</f>
        <v>1625746</v>
      </c>
      <c r="E8653">
        <v>1</v>
      </c>
      <c r="F8653" t="s">
        <v>7677</v>
      </c>
    </row>
    <row r="8654" spans="1:6" x14ac:dyDescent="0.25">
      <c r="A8654" t="s">
        <v>7791</v>
      </c>
      <c r="B8654" t="s">
        <v>24</v>
      </c>
      <c r="C8654" t="s">
        <v>25</v>
      </c>
      <c r="D8654" t="str">
        <f>HYPERLINK("http://service.sap.com/sap/support/notes/1625813","1625813")</f>
        <v>1625813</v>
      </c>
      <c r="E8654">
        <v>2</v>
      </c>
      <c r="F8654" t="s">
        <v>7678</v>
      </c>
    </row>
    <row r="8655" spans="1:6" x14ac:dyDescent="0.25">
      <c r="A8655" t="s">
        <v>7791</v>
      </c>
      <c r="B8655" t="s">
        <v>24</v>
      </c>
      <c r="C8655" t="s">
        <v>25</v>
      </c>
      <c r="D8655" t="str">
        <f>HYPERLINK("http://service.sap.com/sap/support/notes/1626062","1626062")</f>
        <v>1626062</v>
      </c>
      <c r="E8655">
        <v>1</v>
      </c>
      <c r="F8655" t="s">
        <v>7679</v>
      </c>
    </row>
    <row r="8656" spans="1:6" x14ac:dyDescent="0.25">
      <c r="A8656" t="s">
        <v>7791</v>
      </c>
      <c r="B8656" t="s">
        <v>24</v>
      </c>
      <c r="C8656" t="s">
        <v>25</v>
      </c>
      <c r="D8656" t="str">
        <f>HYPERLINK("http://service.sap.com/sap/support/notes/1626272","1626272")</f>
        <v>1626272</v>
      </c>
      <c r="E8656">
        <v>1</v>
      </c>
      <c r="F8656" t="s">
        <v>7680</v>
      </c>
    </row>
    <row r="8657" spans="1:6" x14ac:dyDescent="0.25">
      <c r="A8657" t="s">
        <v>7791</v>
      </c>
      <c r="B8657" t="s">
        <v>24</v>
      </c>
      <c r="C8657" t="s">
        <v>25</v>
      </c>
      <c r="D8657" t="str">
        <f>HYPERLINK("http://service.sap.com/sap/support/notes/1626367","1626367")</f>
        <v>1626367</v>
      </c>
      <c r="E8657">
        <v>5</v>
      </c>
      <c r="F8657" t="s">
        <v>7681</v>
      </c>
    </row>
    <row r="8658" spans="1:6" x14ac:dyDescent="0.25">
      <c r="A8658" t="s">
        <v>7791</v>
      </c>
      <c r="B8658" t="s">
        <v>24</v>
      </c>
      <c r="C8658" t="s">
        <v>25</v>
      </c>
      <c r="D8658" t="str">
        <f>HYPERLINK("http://service.sap.com/sap/support/notes/1626760","1626760")</f>
        <v>1626760</v>
      </c>
      <c r="E8658">
        <v>2</v>
      </c>
      <c r="F8658" t="s">
        <v>7682</v>
      </c>
    </row>
    <row r="8659" spans="1:6" x14ac:dyDescent="0.25">
      <c r="A8659" t="s">
        <v>7791</v>
      </c>
      <c r="B8659" t="s">
        <v>24</v>
      </c>
      <c r="C8659" t="s">
        <v>25</v>
      </c>
      <c r="D8659" t="str">
        <f>HYPERLINK("http://service.sap.com/sap/support/notes/1627033","1627033")</f>
        <v>1627033</v>
      </c>
      <c r="E8659">
        <v>1</v>
      </c>
      <c r="F8659" t="s">
        <v>7683</v>
      </c>
    </row>
    <row r="8660" spans="1:6" x14ac:dyDescent="0.25">
      <c r="A8660" t="s">
        <v>7791</v>
      </c>
      <c r="B8660" t="s">
        <v>24</v>
      </c>
      <c r="C8660" t="s">
        <v>25</v>
      </c>
      <c r="D8660" t="str">
        <f>HYPERLINK("http://service.sap.com/sap/support/notes/1627056","1627056")</f>
        <v>1627056</v>
      </c>
      <c r="E8660">
        <v>1</v>
      </c>
      <c r="F8660" t="s">
        <v>7684</v>
      </c>
    </row>
    <row r="8661" spans="1:6" x14ac:dyDescent="0.25">
      <c r="A8661" t="s">
        <v>7791</v>
      </c>
      <c r="B8661" t="s">
        <v>24</v>
      </c>
      <c r="C8661" t="s">
        <v>25</v>
      </c>
      <c r="D8661" t="str">
        <f>HYPERLINK("http://service.sap.com/sap/support/notes/1627060","1627060")</f>
        <v>1627060</v>
      </c>
      <c r="E8661">
        <v>4</v>
      </c>
      <c r="F8661" t="s">
        <v>7685</v>
      </c>
    </row>
    <row r="8662" spans="1:6" x14ac:dyDescent="0.25">
      <c r="A8662" t="s">
        <v>7791</v>
      </c>
      <c r="B8662" t="s">
        <v>24</v>
      </c>
      <c r="C8662" t="s">
        <v>25</v>
      </c>
      <c r="D8662" t="str">
        <f>HYPERLINK("http://service.sap.com/sap/support/notes/1627294","1627294")</f>
        <v>1627294</v>
      </c>
      <c r="E8662">
        <v>5</v>
      </c>
      <c r="F8662" t="s">
        <v>7686</v>
      </c>
    </row>
    <row r="8663" spans="1:6" x14ac:dyDescent="0.25">
      <c r="A8663" t="s">
        <v>7791</v>
      </c>
      <c r="B8663" t="s">
        <v>24</v>
      </c>
      <c r="C8663" t="s">
        <v>25</v>
      </c>
      <c r="D8663" t="str">
        <f>HYPERLINK("http://service.sap.com/sap/support/notes/1628223","1628223")</f>
        <v>1628223</v>
      </c>
      <c r="E8663">
        <v>5</v>
      </c>
      <c r="F8663" t="s">
        <v>7687</v>
      </c>
    </row>
    <row r="8664" spans="1:6" x14ac:dyDescent="0.25">
      <c r="A8664" t="s">
        <v>7791</v>
      </c>
      <c r="B8664" t="s">
        <v>24</v>
      </c>
      <c r="C8664" t="s">
        <v>25</v>
      </c>
      <c r="D8664" t="str">
        <f>HYPERLINK("http://service.sap.com/sap/support/notes/1629575","1629575")</f>
        <v>1629575</v>
      </c>
      <c r="E8664">
        <v>1</v>
      </c>
      <c r="F8664" t="s">
        <v>7688</v>
      </c>
    </row>
    <row r="8665" spans="1:6" x14ac:dyDescent="0.25">
      <c r="A8665" t="s">
        <v>7791</v>
      </c>
      <c r="B8665" t="s">
        <v>24</v>
      </c>
      <c r="C8665" t="s">
        <v>25</v>
      </c>
      <c r="D8665" t="str">
        <f>HYPERLINK("http://service.sap.com/sap/support/notes/1633958","1633958")</f>
        <v>1633958</v>
      </c>
      <c r="E8665">
        <v>1</v>
      </c>
      <c r="F8665" t="s">
        <v>7689</v>
      </c>
    </row>
    <row r="8666" spans="1:6" x14ac:dyDescent="0.25">
      <c r="A8666" t="s">
        <v>7791</v>
      </c>
      <c r="B8666" t="s">
        <v>24</v>
      </c>
      <c r="C8666" t="s">
        <v>25</v>
      </c>
      <c r="D8666" t="str">
        <f>HYPERLINK("http://service.sap.com/sap/support/notes/1634025","1634025")</f>
        <v>1634025</v>
      </c>
      <c r="E8666">
        <v>1</v>
      </c>
      <c r="F8666" t="s">
        <v>7690</v>
      </c>
    </row>
    <row r="8667" spans="1:6" x14ac:dyDescent="0.25">
      <c r="A8667" t="s">
        <v>7791</v>
      </c>
      <c r="B8667" t="s">
        <v>4074</v>
      </c>
      <c r="C8667" t="s">
        <v>4075</v>
      </c>
      <c r="D8667" t="str">
        <f>HYPERLINK("http://service.sap.com/sap/support/notes/1563081","1563081")</f>
        <v>1563081</v>
      </c>
      <c r="E8667">
        <v>2</v>
      </c>
      <c r="F8667" t="s">
        <v>7691</v>
      </c>
    </row>
    <row r="8668" spans="1:6" x14ac:dyDescent="0.25">
      <c r="A8668" t="s">
        <v>7791</v>
      </c>
      <c r="B8668" t="s">
        <v>4074</v>
      </c>
      <c r="C8668" t="s">
        <v>4075</v>
      </c>
      <c r="D8668" t="str">
        <f>HYPERLINK("http://service.sap.com/sap/support/notes/1621314","1621314")</f>
        <v>1621314</v>
      </c>
      <c r="E8668">
        <v>2</v>
      </c>
      <c r="F8668" t="s">
        <v>7692</v>
      </c>
    </row>
    <row r="8669" spans="1:6" x14ac:dyDescent="0.25">
      <c r="A8669" t="s">
        <v>7791</v>
      </c>
      <c r="B8669" t="s">
        <v>4074</v>
      </c>
      <c r="C8669" t="s">
        <v>4075</v>
      </c>
      <c r="D8669" t="str">
        <f>HYPERLINK("http://service.sap.com/sap/support/notes/1621362","1621362")</f>
        <v>1621362</v>
      </c>
      <c r="E8669">
        <v>1</v>
      </c>
      <c r="F8669" t="s">
        <v>7693</v>
      </c>
    </row>
    <row r="8670" spans="1:6" x14ac:dyDescent="0.25">
      <c r="A8670" t="s">
        <v>7791</v>
      </c>
      <c r="B8670" t="s">
        <v>4074</v>
      </c>
      <c r="C8670" t="s">
        <v>4075</v>
      </c>
      <c r="D8670" t="str">
        <f>HYPERLINK("http://service.sap.com/sap/support/notes/1624729","1624729")</f>
        <v>1624729</v>
      </c>
      <c r="E8670">
        <v>2</v>
      </c>
      <c r="F8670" t="s">
        <v>7694</v>
      </c>
    </row>
    <row r="8671" spans="1:6" x14ac:dyDescent="0.25">
      <c r="A8671" t="s">
        <v>7791</v>
      </c>
      <c r="B8671" t="s">
        <v>4074</v>
      </c>
      <c r="C8671" t="s">
        <v>4075</v>
      </c>
      <c r="D8671" t="str">
        <f>HYPERLINK("http://service.sap.com/sap/support/notes/1626111","1626111")</f>
        <v>1626111</v>
      </c>
      <c r="E8671">
        <v>1</v>
      </c>
      <c r="F8671" t="s">
        <v>7695</v>
      </c>
    </row>
    <row r="8672" spans="1:6" x14ac:dyDescent="0.25">
      <c r="A8672" t="s">
        <v>7791</v>
      </c>
      <c r="B8672" t="s">
        <v>4074</v>
      </c>
      <c r="C8672" t="s">
        <v>4075</v>
      </c>
      <c r="D8672" t="str">
        <f>HYPERLINK("http://service.sap.com/sap/support/notes/1626281","1626281")</f>
        <v>1626281</v>
      </c>
      <c r="E8672">
        <v>2</v>
      </c>
      <c r="F8672" t="s">
        <v>7696</v>
      </c>
    </row>
    <row r="8673" spans="1:6" x14ac:dyDescent="0.25">
      <c r="A8673" t="s">
        <v>7791</v>
      </c>
      <c r="B8673" t="s">
        <v>4074</v>
      </c>
      <c r="C8673" t="s">
        <v>4075</v>
      </c>
      <c r="D8673" t="str">
        <f>HYPERLINK("http://service.sap.com/sap/support/notes/1626341","1626341")</f>
        <v>1626341</v>
      </c>
      <c r="E8673">
        <v>1</v>
      </c>
      <c r="F8673" t="s">
        <v>7697</v>
      </c>
    </row>
    <row r="8674" spans="1:6" x14ac:dyDescent="0.25">
      <c r="A8674" t="s">
        <v>7791</v>
      </c>
      <c r="B8674" t="s">
        <v>4074</v>
      </c>
      <c r="C8674" t="s">
        <v>4075</v>
      </c>
      <c r="D8674" t="str">
        <f>HYPERLINK("http://service.sap.com/sap/support/notes/1627432","1627432")</f>
        <v>1627432</v>
      </c>
      <c r="E8674">
        <v>2</v>
      </c>
      <c r="F8674" t="s">
        <v>7698</v>
      </c>
    </row>
    <row r="8675" spans="1:6" x14ac:dyDescent="0.25">
      <c r="A8675" t="s">
        <v>7791</v>
      </c>
      <c r="B8675" t="s">
        <v>4074</v>
      </c>
      <c r="C8675" t="s">
        <v>4075</v>
      </c>
      <c r="D8675" t="str">
        <f>HYPERLINK("http://service.sap.com/sap/support/notes/1629876","1629876")</f>
        <v>1629876</v>
      </c>
      <c r="E8675">
        <v>1</v>
      </c>
      <c r="F8675" t="s">
        <v>7699</v>
      </c>
    </row>
    <row r="8676" spans="1:6" x14ac:dyDescent="0.25">
      <c r="A8676" t="s">
        <v>7791</v>
      </c>
      <c r="B8676" t="s">
        <v>4074</v>
      </c>
      <c r="C8676" t="s">
        <v>4075</v>
      </c>
      <c r="D8676" t="str">
        <f>HYPERLINK("http://service.sap.com/sap/support/notes/1630015","1630015")</f>
        <v>1630015</v>
      </c>
      <c r="E8676">
        <v>1</v>
      </c>
      <c r="F8676" t="s">
        <v>7700</v>
      </c>
    </row>
    <row r="8677" spans="1:6" x14ac:dyDescent="0.25">
      <c r="A8677" t="s">
        <v>7791</v>
      </c>
      <c r="B8677" t="s">
        <v>4074</v>
      </c>
      <c r="C8677" t="s">
        <v>4075</v>
      </c>
      <c r="D8677" t="str">
        <f>HYPERLINK("http://service.sap.com/sap/support/notes/1630441","1630441")</f>
        <v>1630441</v>
      </c>
      <c r="E8677">
        <v>1</v>
      </c>
      <c r="F8677" t="s">
        <v>7701</v>
      </c>
    </row>
    <row r="8678" spans="1:6" x14ac:dyDescent="0.25">
      <c r="A8678" t="s">
        <v>7791</v>
      </c>
      <c r="B8678" t="s">
        <v>4074</v>
      </c>
      <c r="C8678" t="s">
        <v>4075</v>
      </c>
      <c r="D8678" t="str">
        <f>HYPERLINK("http://service.sap.com/sap/support/notes/1630565","1630565")</f>
        <v>1630565</v>
      </c>
      <c r="E8678">
        <v>1</v>
      </c>
      <c r="F8678" t="s">
        <v>7702</v>
      </c>
    </row>
    <row r="8679" spans="1:6" x14ac:dyDescent="0.25">
      <c r="A8679" t="s">
        <v>7791</v>
      </c>
      <c r="B8679" t="s">
        <v>4074</v>
      </c>
      <c r="C8679" t="s">
        <v>4075</v>
      </c>
      <c r="D8679" t="str">
        <f>HYPERLINK("http://service.sap.com/sap/support/notes/1631019","1631019")</f>
        <v>1631019</v>
      </c>
      <c r="E8679">
        <v>1</v>
      </c>
      <c r="F8679" t="s">
        <v>7703</v>
      </c>
    </row>
    <row r="8680" spans="1:6" x14ac:dyDescent="0.25">
      <c r="A8680" t="s">
        <v>7791</v>
      </c>
      <c r="B8680" t="s">
        <v>4074</v>
      </c>
      <c r="C8680" t="s">
        <v>4075</v>
      </c>
      <c r="D8680" t="str">
        <f>HYPERLINK("http://service.sap.com/sap/support/notes/1631026","1631026")</f>
        <v>1631026</v>
      </c>
      <c r="E8680">
        <v>1</v>
      </c>
      <c r="F8680" t="s">
        <v>7704</v>
      </c>
    </row>
    <row r="8681" spans="1:6" x14ac:dyDescent="0.25">
      <c r="A8681" t="s">
        <v>7791</v>
      </c>
      <c r="B8681" t="s">
        <v>4074</v>
      </c>
      <c r="C8681" t="s">
        <v>4075</v>
      </c>
      <c r="D8681" t="str">
        <f>HYPERLINK("http://service.sap.com/sap/support/notes/1631598","1631598")</f>
        <v>1631598</v>
      </c>
      <c r="E8681">
        <v>1</v>
      </c>
      <c r="F8681" t="s">
        <v>7705</v>
      </c>
    </row>
    <row r="8682" spans="1:6" x14ac:dyDescent="0.25">
      <c r="A8682" t="s">
        <v>7791</v>
      </c>
      <c r="B8682" t="s">
        <v>4074</v>
      </c>
      <c r="C8682" t="s">
        <v>4075</v>
      </c>
      <c r="D8682" t="str">
        <f>HYPERLINK("http://service.sap.com/sap/support/notes/1633014","1633014")</f>
        <v>1633014</v>
      </c>
      <c r="E8682">
        <v>3</v>
      </c>
      <c r="F8682" t="s">
        <v>7706</v>
      </c>
    </row>
    <row r="8683" spans="1:6" x14ac:dyDescent="0.25">
      <c r="A8683" t="s">
        <v>7791</v>
      </c>
      <c r="B8683" t="s">
        <v>4081</v>
      </c>
      <c r="C8683" t="s">
        <v>4082</v>
      </c>
      <c r="D8683" t="str">
        <f>HYPERLINK("http://service.sap.com/sap/support/notes/1621330","1621330")</f>
        <v>1621330</v>
      </c>
      <c r="E8683">
        <v>3</v>
      </c>
      <c r="F8683" t="s">
        <v>4355</v>
      </c>
    </row>
    <row r="8684" spans="1:6" x14ac:dyDescent="0.25">
      <c r="A8684" t="s">
        <v>7791</v>
      </c>
      <c r="B8684" t="s">
        <v>4081</v>
      </c>
      <c r="C8684" t="s">
        <v>4082</v>
      </c>
      <c r="D8684" t="str">
        <f>HYPERLINK("http://service.sap.com/sap/support/notes/1621546","1621546")</f>
        <v>1621546</v>
      </c>
      <c r="E8684">
        <v>2</v>
      </c>
      <c r="F8684" t="s">
        <v>7707</v>
      </c>
    </row>
    <row r="8685" spans="1:6" x14ac:dyDescent="0.25">
      <c r="A8685" t="s">
        <v>7791</v>
      </c>
      <c r="B8685" t="s">
        <v>4081</v>
      </c>
      <c r="C8685" t="s">
        <v>4082</v>
      </c>
      <c r="D8685" t="str">
        <f>HYPERLINK("http://service.sap.com/sap/support/notes/1623593","1623593")</f>
        <v>1623593</v>
      </c>
      <c r="E8685">
        <v>2</v>
      </c>
      <c r="F8685" t="s">
        <v>7708</v>
      </c>
    </row>
    <row r="8686" spans="1:6" x14ac:dyDescent="0.25">
      <c r="A8686" t="s">
        <v>7791</v>
      </c>
      <c r="B8686" t="s">
        <v>4081</v>
      </c>
      <c r="C8686" t="s">
        <v>4082</v>
      </c>
      <c r="D8686" t="str">
        <f>HYPERLINK("http://service.sap.com/sap/support/notes/1627150","1627150")</f>
        <v>1627150</v>
      </c>
      <c r="E8686">
        <v>2</v>
      </c>
      <c r="F8686" t="s">
        <v>7709</v>
      </c>
    </row>
    <row r="8687" spans="1:6" x14ac:dyDescent="0.25">
      <c r="A8687" t="s">
        <v>7791</v>
      </c>
      <c r="B8687" t="s">
        <v>4081</v>
      </c>
      <c r="C8687" t="s">
        <v>4082</v>
      </c>
      <c r="D8687" t="str">
        <f>HYPERLINK("http://service.sap.com/sap/support/notes/1627171","1627171")</f>
        <v>1627171</v>
      </c>
      <c r="E8687">
        <v>1</v>
      </c>
      <c r="F8687" t="s">
        <v>7710</v>
      </c>
    </row>
    <row r="8688" spans="1:6" x14ac:dyDescent="0.25">
      <c r="A8688" t="s">
        <v>7791</v>
      </c>
      <c r="B8688" t="s">
        <v>4081</v>
      </c>
      <c r="C8688" t="s">
        <v>4082</v>
      </c>
      <c r="D8688" t="str">
        <f>HYPERLINK("http://service.sap.com/sap/support/notes/1627647","1627647")</f>
        <v>1627647</v>
      </c>
      <c r="E8688">
        <v>2</v>
      </c>
      <c r="F8688" t="s">
        <v>7711</v>
      </c>
    </row>
    <row r="8689" spans="1:6" x14ac:dyDescent="0.25">
      <c r="A8689" t="s">
        <v>7791</v>
      </c>
      <c r="B8689" t="s">
        <v>4081</v>
      </c>
      <c r="C8689" t="s">
        <v>4082</v>
      </c>
      <c r="D8689" t="str">
        <f>HYPERLINK("http://service.sap.com/sap/support/notes/1630124","1630124")</f>
        <v>1630124</v>
      </c>
      <c r="E8689">
        <v>1</v>
      </c>
      <c r="F8689" t="s">
        <v>7712</v>
      </c>
    </row>
    <row r="8690" spans="1:6" x14ac:dyDescent="0.25">
      <c r="A8690" t="s">
        <v>7791</v>
      </c>
      <c r="B8690" t="s">
        <v>4085</v>
      </c>
      <c r="C8690" t="s">
        <v>4086</v>
      </c>
      <c r="D8690" t="str">
        <f>HYPERLINK("http://service.sap.com/sap/support/notes/1600019","1600019")</f>
        <v>1600019</v>
      </c>
      <c r="E8690">
        <v>2</v>
      </c>
      <c r="F8690" t="s">
        <v>4087</v>
      </c>
    </row>
    <row r="8691" spans="1:6" x14ac:dyDescent="0.25">
      <c r="A8691" t="s">
        <v>7791</v>
      </c>
      <c r="B8691" t="s">
        <v>27</v>
      </c>
      <c r="C8691" t="s">
        <v>13</v>
      </c>
    </row>
    <row r="8692" spans="1:6" x14ac:dyDescent="0.25">
      <c r="A8692" t="s">
        <v>7791</v>
      </c>
      <c r="B8692" t="s">
        <v>4091</v>
      </c>
      <c r="C8692" t="s">
        <v>4092</v>
      </c>
      <c r="D8692" t="str">
        <f>HYPERLINK("http://service.sap.com/sap/support/notes/1617944","1617944")</f>
        <v>1617944</v>
      </c>
      <c r="E8692">
        <v>2</v>
      </c>
      <c r="F8692" t="s">
        <v>7713</v>
      </c>
    </row>
    <row r="8693" spans="1:6" x14ac:dyDescent="0.25">
      <c r="A8693" t="s">
        <v>7791</v>
      </c>
      <c r="B8693" t="s">
        <v>4091</v>
      </c>
      <c r="C8693" t="s">
        <v>4092</v>
      </c>
      <c r="D8693" t="str">
        <f>HYPERLINK("http://service.sap.com/sap/support/notes/1622089","1622089")</f>
        <v>1622089</v>
      </c>
      <c r="E8693">
        <v>2</v>
      </c>
      <c r="F8693" t="s">
        <v>7714</v>
      </c>
    </row>
    <row r="8694" spans="1:6" x14ac:dyDescent="0.25">
      <c r="A8694" t="s">
        <v>7791</v>
      </c>
      <c r="B8694" t="s">
        <v>4091</v>
      </c>
      <c r="C8694" t="s">
        <v>4092</v>
      </c>
      <c r="D8694" t="str">
        <f>HYPERLINK("http://service.sap.com/sap/support/notes/1625111","1625111")</f>
        <v>1625111</v>
      </c>
      <c r="E8694">
        <v>1</v>
      </c>
      <c r="F8694" t="s">
        <v>7715</v>
      </c>
    </row>
    <row r="8695" spans="1:6" x14ac:dyDescent="0.25">
      <c r="A8695" t="s">
        <v>7791</v>
      </c>
      <c r="B8695" t="s">
        <v>4091</v>
      </c>
      <c r="C8695" t="s">
        <v>4092</v>
      </c>
      <c r="D8695" t="str">
        <f>HYPERLINK("http://service.sap.com/sap/support/notes/1631302","1631302")</f>
        <v>1631302</v>
      </c>
      <c r="E8695">
        <v>2</v>
      </c>
      <c r="F8695" t="s">
        <v>7716</v>
      </c>
    </row>
    <row r="8696" spans="1:6" x14ac:dyDescent="0.25">
      <c r="A8696" t="s">
        <v>7791</v>
      </c>
      <c r="B8696" t="s">
        <v>2161</v>
      </c>
      <c r="C8696" t="s">
        <v>2162</v>
      </c>
      <c r="D8696" t="str">
        <f>HYPERLINK("http://service.sap.com/sap/support/notes/1622225","1622225")</f>
        <v>1622225</v>
      </c>
      <c r="E8696">
        <v>2</v>
      </c>
      <c r="F8696" t="s">
        <v>7717</v>
      </c>
    </row>
    <row r="8697" spans="1:6" x14ac:dyDescent="0.25">
      <c r="A8697" t="s">
        <v>7791</v>
      </c>
      <c r="B8697" t="s">
        <v>2161</v>
      </c>
      <c r="C8697" t="s">
        <v>2162</v>
      </c>
      <c r="D8697" t="str">
        <f>HYPERLINK("http://service.sap.com/sap/support/notes/1623790","1623790")</f>
        <v>1623790</v>
      </c>
      <c r="E8697">
        <v>3</v>
      </c>
      <c r="F8697" t="s">
        <v>7718</v>
      </c>
    </row>
    <row r="8698" spans="1:6" x14ac:dyDescent="0.25">
      <c r="A8698" t="s">
        <v>7791</v>
      </c>
      <c r="B8698" t="s">
        <v>2161</v>
      </c>
      <c r="C8698" t="s">
        <v>2162</v>
      </c>
      <c r="D8698" t="str">
        <f>HYPERLINK("http://service.sap.com/sap/support/notes/1627467","1627467")</f>
        <v>1627467</v>
      </c>
      <c r="E8698">
        <v>3</v>
      </c>
      <c r="F8698" t="s">
        <v>7719</v>
      </c>
    </row>
    <row r="8699" spans="1:6" x14ac:dyDescent="0.25">
      <c r="A8699" t="s">
        <v>7791</v>
      </c>
      <c r="B8699" t="s">
        <v>4105</v>
      </c>
      <c r="C8699" t="s">
        <v>4106</v>
      </c>
      <c r="D8699" t="str">
        <f>HYPERLINK("http://service.sap.com/sap/support/notes/1626324","1626324")</f>
        <v>1626324</v>
      </c>
      <c r="E8699">
        <v>1</v>
      </c>
      <c r="F8699" t="s">
        <v>7720</v>
      </c>
    </row>
    <row r="8700" spans="1:6" x14ac:dyDescent="0.25">
      <c r="A8700" t="s">
        <v>7791</v>
      </c>
      <c r="B8700" t="s">
        <v>4105</v>
      </c>
      <c r="C8700" t="s">
        <v>4106</v>
      </c>
      <c r="D8700" t="str">
        <f>HYPERLINK("http://service.sap.com/sap/support/notes/1626992","1626992")</f>
        <v>1626992</v>
      </c>
      <c r="E8700">
        <v>1</v>
      </c>
      <c r="F8700" t="s">
        <v>7721</v>
      </c>
    </row>
    <row r="8701" spans="1:6" x14ac:dyDescent="0.25">
      <c r="A8701" t="s">
        <v>7791</v>
      </c>
      <c r="B8701" t="s">
        <v>4105</v>
      </c>
      <c r="C8701" t="s">
        <v>4106</v>
      </c>
      <c r="D8701" t="str">
        <f>HYPERLINK("http://service.sap.com/sap/support/notes/1628010","1628010")</f>
        <v>1628010</v>
      </c>
      <c r="E8701">
        <v>1</v>
      </c>
      <c r="F8701" t="s">
        <v>7722</v>
      </c>
    </row>
    <row r="8702" spans="1:6" x14ac:dyDescent="0.25">
      <c r="A8702" t="s">
        <v>7791</v>
      </c>
      <c r="B8702" t="s">
        <v>4105</v>
      </c>
      <c r="C8702" t="s">
        <v>4106</v>
      </c>
      <c r="D8702" t="str">
        <f>HYPERLINK("http://service.sap.com/sap/support/notes/1630373","1630373")</f>
        <v>1630373</v>
      </c>
      <c r="E8702">
        <v>1</v>
      </c>
      <c r="F8702" t="s">
        <v>7723</v>
      </c>
    </row>
    <row r="8703" spans="1:6" x14ac:dyDescent="0.25">
      <c r="A8703" t="s">
        <v>7791</v>
      </c>
      <c r="B8703" t="s">
        <v>4260</v>
      </c>
      <c r="C8703" t="s">
        <v>4261</v>
      </c>
      <c r="D8703" t="str">
        <f>HYPERLINK("http://service.sap.com/sap/support/notes/1614743","1614743")</f>
        <v>1614743</v>
      </c>
      <c r="E8703">
        <v>3</v>
      </c>
      <c r="F8703" t="s">
        <v>7724</v>
      </c>
    </row>
    <row r="8704" spans="1:6" x14ac:dyDescent="0.25">
      <c r="A8704" t="s">
        <v>7791</v>
      </c>
      <c r="B8704" t="s">
        <v>4260</v>
      </c>
      <c r="C8704" t="s">
        <v>4261</v>
      </c>
      <c r="D8704" t="str">
        <f>HYPERLINK("http://service.sap.com/sap/support/notes/1629018","1629018")</f>
        <v>1629018</v>
      </c>
      <c r="E8704">
        <v>2</v>
      </c>
      <c r="F8704" t="s">
        <v>7725</v>
      </c>
    </row>
    <row r="8705" spans="1:6" x14ac:dyDescent="0.25">
      <c r="A8705" t="s">
        <v>7791</v>
      </c>
      <c r="B8705" t="s">
        <v>4260</v>
      </c>
      <c r="C8705" t="s">
        <v>4261</v>
      </c>
      <c r="D8705" t="str">
        <f>HYPERLINK("http://service.sap.com/sap/support/notes/1629077","1629077")</f>
        <v>1629077</v>
      </c>
      <c r="E8705">
        <v>1</v>
      </c>
      <c r="F8705" t="s">
        <v>7726</v>
      </c>
    </row>
    <row r="8706" spans="1:6" x14ac:dyDescent="0.25">
      <c r="A8706" t="s">
        <v>7791</v>
      </c>
      <c r="B8706" t="s">
        <v>4112</v>
      </c>
      <c r="C8706" t="s">
        <v>4113</v>
      </c>
      <c r="D8706" t="str">
        <f>HYPERLINK("http://service.sap.com/sap/support/notes/1631160","1631160")</f>
        <v>1631160</v>
      </c>
      <c r="E8706">
        <v>1</v>
      </c>
      <c r="F8706" t="s">
        <v>7727</v>
      </c>
    </row>
    <row r="8707" spans="1:6" x14ac:dyDescent="0.25">
      <c r="A8707" t="s">
        <v>7791</v>
      </c>
      <c r="B8707" t="s">
        <v>4112</v>
      </c>
      <c r="C8707" t="s">
        <v>4113</v>
      </c>
      <c r="D8707" t="str">
        <f>HYPERLINK("http://service.sap.com/sap/support/notes/1634348","1634348")</f>
        <v>1634348</v>
      </c>
      <c r="E8707">
        <v>2</v>
      </c>
      <c r="F8707" t="s">
        <v>7728</v>
      </c>
    </row>
    <row r="8708" spans="1:6" x14ac:dyDescent="0.25">
      <c r="A8708" t="s">
        <v>7791</v>
      </c>
      <c r="B8708" t="s">
        <v>38</v>
      </c>
      <c r="C8708" t="s">
        <v>39</v>
      </c>
    </row>
    <row r="8709" spans="1:6" x14ac:dyDescent="0.25">
      <c r="A8709" t="s">
        <v>7791</v>
      </c>
      <c r="B8709" t="s">
        <v>44</v>
      </c>
      <c r="C8709" t="s">
        <v>45</v>
      </c>
      <c r="D8709" t="str">
        <f>HYPERLINK("http://service.sap.com/sap/support/notes/1616266","1616266")</f>
        <v>1616266</v>
      </c>
      <c r="E8709">
        <v>2</v>
      </c>
      <c r="F8709" t="s">
        <v>7729</v>
      </c>
    </row>
    <row r="8710" spans="1:6" x14ac:dyDescent="0.25">
      <c r="A8710" t="s">
        <v>7791</v>
      </c>
      <c r="B8710" t="s">
        <v>44</v>
      </c>
      <c r="C8710" t="s">
        <v>45</v>
      </c>
      <c r="D8710" t="str">
        <f>HYPERLINK("http://service.sap.com/sap/support/notes/1625246","1625246")</f>
        <v>1625246</v>
      </c>
      <c r="E8710">
        <v>1</v>
      </c>
      <c r="F8710" t="s">
        <v>7730</v>
      </c>
    </row>
    <row r="8711" spans="1:6" x14ac:dyDescent="0.25">
      <c r="A8711" t="s">
        <v>7791</v>
      </c>
      <c r="B8711" t="s">
        <v>48</v>
      </c>
      <c r="C8711" t="s">
        <v>49</v>
      </c>
      <c r="D8711" t="str">
        <f>HYPERLINK("http://service.sap.com/sap/support/notes/1587545","1587545")</f>
        <v>1587545</v>
      </c>
      <c r="E8711">
        <v>4</v>
      </c>
      <c r="F8711" t="s">
        <v>4117</v>
      </c>
    </row>
    <row r="8712" spans="1:6" x14ac:dyDescent="0.25">
      <c r="A8712" t="s">
        <v>7791</v>
      </c>
      <c r="B8712" t="s">
        <v>57</v>
      </c>
      <c r="C8712" t="s">
        <v>58</v>
      </c>
    </row>
    <row r="8713" spans="1:6" x14ac:dyDescent="0.25">
      <c r="A8713" t="s">
        <v>7791</v>
      </c>
      <c r="B8713" t="s">
        <v>59</v>
      </c>
      <c r="C8713" t="s">
        <v>60</v>
      </c>
      <c r="D8713" t="str">
        <f>HYPERLINK("http://service.sap.com/sap/support/notes/1622396","1622396")</f>
        <v>1622396</v>
      </c>
      <c r="E8713">
        <v>1</v>
      </c>
      <c r="F8713" t="s">
        <v>7731</v>
      </c>
    </row>
    <row r="8714" spans="1:6" x14ac:dyDescent="0.25">
      <c r="A8714" t="s">
        <v>7791</v>
      </c>
      <c r="B8714" t="s">
        <v>59</v>
      </c>
      <c r="C8714" t="s">
        <v>60</v>
      </c>
      <c r="D8714" t="str">
        <f>HYPERLINK("http://service.sap.com/sap/support/notes/1632031","1632031")</f>
        <v>1632031</v>
      </c>
      <c r="E8714">
        <v>1</v>
      </c>
      <c r="F8714" t="s">
        <v>7732</v>
      </c>
    </row>
    <row r="8715" spans="1:6" x14ac:dyDescent="0.25">
      <c r="A8715" t="s">
        <v>7791</v>
      </c>
      <c r="B8715" t="s">
        <v>694</v>
      </c>
      <c r="C8715" t="s">
        <v>695</v>
      </c>
      <c r="D8715" t="str">
        <f>HYPERLINK("http://service.sap.com/sap/support/notes/1486524","1486524")</f>
        <v>1486524</v>
      </c>
      <c r="E8715">
        <v>1</v>
      </c>
      <c r="F8715" t="s">
        <v>7733</v>
      </c>
    </row>
    <row r="8716" spans="1:6" x14ac:dyDescent="0.25">
      <c r="A8716" t="s">
        <v>7791</v>
      </c>
      <c r="B8716" t="s">
        <v>79</v>
      </c>
      <c r="C8716" t="s">
        <v>80</v>
      </c>
      <c r="D8716" t="str">
        <f>HYPERLINK("http://service.sap.com/sap/support/notes/1631938","1631938")</f>
        <v>1631938</v>
      </c>
      <c r="E8716">
        <v>1</v>
      </c>
      <c r="F8716" t="s">
        <v>7734</v>
      </c>
    </row>
    <row r="8717" spans="1:6" x14ac:dyDescent="0.25">
      <c r="A8717" t="s">
        <v>7791</v>
      </c>
      <c r="B8717" t="s">
        <v>7735</v>
      </c>
      <c r="C8717" t="s">
        <v>7736</v>
      </c>
      <c r="D8717" t="str">
        <f>HYPERLINK("http://service.sap.com/sap/support/notes/1629816","1629816")</f>
        <v>1629816</v>
      </c>
      <c r="E8717">
        <v>1</v>
      </c>
      <c r="F8717" t="s">
        <v>7737</v>
      </c>
    </row>
    <row r="8718" spans="1:6" x14ac:dyDescent="0.25">
      <c r="A8718" t="s">
        <v>7791</v>
      </c>
      <c r="B8718" t="s">
        <v>86</v>
      </c>
      <c r="C8718" t="s">
        <v>87</v>
      </c>
      <c r="D8718" t="str">
        <f>HYPERLINK("http://service.sap.com/sap/support/notes/1624204","1624204")</f>
        <v>1624204</v>
      </c>
      <c r="E8718">
        <v>1</v>
      </c>
      <c r="F8718" t="s">
        <v>7738</v>
      </c>
    </row>
    <row r="8719" spans="1:6" x14ac:dyDescent="0.25">
      <c r="A8719" t="s">
        <v>7791</v>
      </c>
      <c r="B8719" t="s">
        <v>704</v>
      </c>
      <c r="C8719" t="s">
        <v>412</v>
      </c>
      <c r="D8719" t="str">
        <f>HYPERLINK("http://service.sap.com/sap/support/notes/1628574","1628574")</f>
        <v>1628574</v>
      </c>
      <c r="E8719">
        <v>1</v>
      </c>
      <c r="F8719" t="s">
        <v>7739</v>
      </c>
    </row>
    <row r="8720" spans="1:6" x14ac:dyDescent="0.25">
      <c r="A8720" t="s">
        <v>7791</v>
      </c>
      <c r="B8720" t="s">
        <v>1461</v>
      </c>
      <c r="C8720" t="s">
        <v>441</v>
      </c>
      <c r="D8720" t="str">
        <f>HYPERLINK("http://service.sap.com/sap/support/notes/1625908","1625908")</f>
        <v>1625908</v>
      </c>
      <c r="E8720">
        <v>2</v>
      </c>
      <c r="F8720" t="s">
        <v>7740</v>
      </c>
    </row>
    <row r="8721" spans="1:6" x14ac:dyDescent="0.25">
      <c r="A8721" t="s">
        <v>7791</v>
      </c>
      <c r="B8721" t="s">
        <v>92</v>
      </c>
      <c r="C8721" t="s">
        <v>93</v>
      </c>
      <c r="D8721" t="str">
        <f>HYPERLINK("http://service.sap.com/sap/support/notes/1626686","1626686")</f>
        <v>1626686</v>
      </c>
      <c r="E8721">
        <v>1</v>
      </c>
      <c r="F8721" t="s">
        <v>7741</v>
      </c>
    </row>
    <row r="8722" spans="1:6" x14ac:dyDescent="0.25">
      <c r="A8722" t="s">
        <v>7791</v>
      </c>
      <c r="B8722" t="s">
        <v>7742</v>
      </c>
      <c r="C8722" t="s">
        <v>529</v>
      </c>
      <c r="D8722" t="str">
        <f>HYPERLINK("http://service.sap.com/sap/support/notes/1504165","1504165")</f>
        <v>1504165</v>
      </c>
      <c r="E8722">
        <v>3</v>
      </c>
      <c r="F8722" t="s">
        <v>7743</v>
      </c>
    </row>
    <row r="8723" spans="1:6" x14ac:dyDescent="0.25">
      <c r="A8723" t="s">
        <v>7791</v>
      </c>
      <c r="B8723" t="s">
        <v>7742</v>
      </c>
      <c r="C8723" t="s">
        <v>529</v>
      </c>
      <c r="D8723" t="str">
        <f>HYPERLINK("http://service.sap.com/sap/support/notes/1620321","1620321")</f>
        <v>1620321</v>
      </c>
      <c r="E8723">
        <v>2</v>
      </c>
      <c r="F8723" t="s">
        <v>7744</v>
      </c>
    </row>
    <row r="8724" spans="1:6" x14ac:dyDescent="0.25">
      <c r="A8724" t="s">
        <v>7791</v>
      </c>
      <c r="B8724" t="s">
        <v>790</v>
      </c>
      <c r="C8724" t="s">
        <v>4125</v>
      </c>
    </row>
    <row r="8725" spans="1:6" x14ac:dyDescent="0.25">
      <c r="A8725" t="s">
        <v>7791</v>
      </c>
      <c r="B8725" t="s">
        <v>791</v>
      </c>
      <c r="C8725" t="s">
        <v>4126</v>
      </c>
      <c r="D8725" t="str">
        <f>HYPERLINK("http://service.sap.com/sap/support/notes/1594574","1594574")</f>
        <v>1594574</v>
      </c>
      <c r="E8725">
        <v>2</v>
      </c>
      <c r="F8725" t="s">
        <v>4128</v>
      </c>
    </row>
    <row r="8726" spans="1:6" x14ac:dyDescent="0.25">
      <c r="A8726" t="s">
        <v>7791</v>
      </c>
      <c r="B8726" t="s">
        <v>791</v>
      </c>
      <c r="C8726" t="s">
        <v>4126</v>
      </c>
      <c r="D8726" t="str">
        <f>HYPERLINK("http://service.sap.com/sap/support/notes/1619784","1619784")</f>
        <v>1619784</v>
      </c>
      <c r="E8726">
        <v>2</v>
      </c>
      <c r="F8726" t="s">
        <v>7745</v>
      </c>
    </row>
    <row r="8727" spans="1:6" x14ac:dyDescent="0.25">
      <c r="A8727" t="s">
        <v>7791</v>
      </c>
      <c r="B8727" t="s">
        <v>791</v>
      </c>
      <c r="C8727" t="s">
        <v>4126</v>
      </c>
      <c r="D8727" t="str">
        <f>HYPERLINK("http://service.sap.com/sap/support/notes/1621838","1621838")</f>
        <v>1621838</v>
      </c>
      <c r="E8727">
        <v>3</v>
      </c>
      <c r="F8727" t="s">
        <v>7746</v>
      </c>
    </row>
    <row r="8728" spans="1:6" x14ac:dyDescent="0.25">
      <c r="A8728" t="s">
        <v>7791</v>
      </c>
      <c r="B8728" t="s">
        <v>791</v>
      </c>
      <c r="C8728" t="s">
        <v>4126</v>
      </c>
      <c r="D8728" t="str">
        <f>HYPERLINK("http://service.sap.com/sap/support/notes/1621973","1621973")</f>
        <v>1621973</v>
      </c>
      <c r="E8728">
        <v>2</v>
      </c>
      <c r="F8728" t="s">
        <v>7747</v>
      </c>
    </row>
    <row r="8729" spans="1:6" x14ac:dyDescent="0.25">
      <c r="A8729" t="s">
        <v>7791</v>
      </c>
      <c r="B8729" t="s">
        <v>791</v>
      </c>
      <c r="C8729" t="s">
        <v>4126</v>
      </c>
      <c r="D8729" t="str">
        <f>HYPERLINK("http://service.sap.com/sap/support/notes/1631170","1631170")</f>
        <v>1631170</v>
      </c>
      <c r="E8729">
        <v>1</v>
      </c>
      <c r="F8729" t="s">
        <v>7748</v>
      </c>
    </row>
    <row r="8730" spans="1:6" x14ac:dyDescent="0.25">
      <c r="A8730" t="s">
        <v>7791</v>
      </c>
      <c r="B8730" t="s">
        <v>791</v>
      </c>
      <c r="C8730" t="s">
        <v>4126</v>
      </c>
      <c r="D8730" t="str">
        <f>HYPERLINK("http://service.sap.com/sap/support/notes/1632078","1632078")</f>
        <v>1632078</v>
      </c>
      <c r="E8730">
        <v>1</v>
      </c>
      <c r="F8730" t="s">
        <v>7749</v>
      </c>
    </row>
    <row r="8731" spans="1:6" x14ac:dyDescent="0.25">
      <c r="A8731" t="s">
        <v>7791</v>
      </c>
      <c r="B8731" t="s">
        <v>810</v>
      </c>
      <c r="C8731" t="s">
        <v>4131</v>
      </c>
    </row>
    <row r="8732" spans="1:6" x14ac:dyDescent="0.25">
      <c r="A8732" t="s">
        <v>7791</v>
      </c>
      <c r="B8732" t="s">
        <v>4135</v>
      </c>
      <c r="C8732" t="s">
        <v>4136</v>
      </c>
      <c r="D8732" t="str">
        <f>HYPERLINK("http://service.sap.com/sap/support/notes/1553524","1553524")</f>
        <v>1553524</v>
      </c>
      <c r="E8732">
        <v>2</v>
      </c>
      <c r="F8732" t="s">
        <v>7750</v>
      </c>
    </row>
    <row r="8733" spans="1:6" x14ac:dyDescent="0.25">
      <c r="A8733" t="s">
        <v>7791</v>
      </c>
      <c r="B8733" t="s">
        <v>4135</v>
      </c>
      <c r="C8733" t="s">
        <v>4136</v>
      </c>
      <c r="D8733" t="str">
        <f>HYPERLINK("http://service.sap.com/sap/support/notes/1624111","1624111")</f>
        <v>1624111</v>
      </c>
      <c r="E8733">
        <v>2</v>
      </c>
      <c r="F8733" t="s">
        <v>7751</v>
      </c>
    </row>
    <row r="8734" spans="1:6" x14ac:dyDescent="0.25">
      <c r="A8734" t="s">
        <v>7791</v>
      </c>
      <c r="B8734" t="s">
        <v>4144</v>
      </c>
      <c r="C8734" t="s">
        <v>4145</v>
      </c>
      <c r="D8734" t="str">
        <f>HYPERLINK("http://service.sap.com/sap/support/notes/1609890","1609890")</f>
        <v>1609890</v>
      </c>
      <c r="E8734">
        <v>1</v>
      </c>
      <c r="F8734" t="s">
        <v>7752</v>
      </c>
    </row>
    <row r="8735" spans="1:6" x14ac:dyDescent="0.25">
      <c r="A8735" t="s">
        <v>7791</v>
      </c>
      <c r="B8735" t="s">
        <v>4144</v>
      </c>
      <c r="C8735" t="s">
        <v>4145</v>
      </c>
      <c r="D8735" t="str">
        <f>HYPERLINK("http://service.sap.com/sap/support/notes/1623977","1623977")</f>
        <v>1623977</v>
      </c>
      <c r="E8735">
        <v>2</v>
      </c>
      <c r="F8735" t="s">
        <v>7753</v>
      </c>
    </row>
    <row r="8736" spans="1:6" x14ac:dyDescent="0.25">
      <c r="A8736" t="s">
        <v>7791</v>
      </c>
      <c r="B8736" t="s">
        <v>4144</v>
      </c>
      <c r="C8736" t="s">
        <v>4145</v>
      </c>
      <c r="D8736" t="str">
        <f>HYPERLINK("http://service.sap.com/sap/support/notes/1626792","1626792")</f>
        <v>1626792</v>
      </c>
      <c r="E8736">
        <v>1</v>
      </c>
      <c r="F8736" t="s">
        <v>7754</v>
      </c>
    </row>
    <row r="8737" spans="1:6" x14ac:dyDescent="0.25">
      <c r="A8737" t="s">
        <v>7791</v>
      </c>
      <c r="B8737" t="s">
        <v>4144</v>
      </c>
      <c r="C8737" t="s">
        <v>4145</v>
      </c>
      <c r="D8737" t="str">
        <f>HYPERLINK("http://service.sap.com/sap/support/notes/1630070","1630070")</f>
        <v>1630070</v>
      </c>
      <c r="E8737">
        <v>1</v>
      </c>
      <c r="F8737" t="s">
        <v>7755</v>
      </c>
    </row>
    <row r="8738" spans="1:6" x14ac:dyDescent="0.25">
      <c r="A8738" t="s">
        <v>7791</v>
      </c>
      <c r="B8738" t="s">
        <v>4144</v>
      </c>
      <c r="C8738" t="s">
        <v>4145</v>
      </c>
      <c r="D8738" t="str">
        <f>HYPERLINK("http://service.sap.com/sap/support/notes/1630889","1630889")</f>
        <v>1630889</v>
      </c>
      <c r="E8738">
        <v>2</v>
      </c>
      <c r="F8738" t="s">
        <v>7756</v>
      </c>
    </row>
    <row r="8739" spans="1:6" x14ac:dyDescent="0.25">
      <c r="A8739" t="s">
        <v>7791</v>
      </c>
      <c r="B8739" t="s">
        <v>4144</v>
      </c>
      <c r="C8739" t="s">
        <v>4145</v>
      </c>
      <c r="D8739" t="str">
        <f>HYPERLINK("http://service.sap.com/sap/support/notes/1633530","1633530")</f>
        <v>1633530</v>
      </c>
      <c r="E8739">
        <v>2</v>
      </c>
      <c r="F8739" t="s">
        <v>7757</v>
      </c>
    </row>
    <row r="8740" spans="1:6" x14ac:dyDescent="0.25">
      <c r="A8740" t="s">
        <v>7791</v>
      </c>
      <c r="B8740" t="s">
        <v>4144</v>
      </c>
      <c r="C8740" t="s">
        <v>4145</v>
      </c>
      <c r="D8740" t="str">
        <f>HYPERLINK("http://service.sap.com/sap/support/notes/1635033","1635033")</f>
        <v>1635033</v>
      </c>
      <c r="E8740">
        <v>1</v>
      </c>
      <c r="F8740" t="s">
        <v>7758</v>
      </c>
    </row>
    <row r="8741" spans="1:6" x14ac:dyDescent="0.25">
      <c r="A8741" t="s">
        <v>7791</v>
      </c>
      <c r="B8741" t="s">
        <v>126</v>
      </c>
      <c r="C8741" t="s">
        <v>127</v>
      </c>
    </row>
    <row r="8742" spans="1:6" x14ac:dyDescent="0.25">
      <c r="A8742" t="s">
        <v>7791</v>
      </c>
      <c r="B8742" t="s">
        <v>824</v>
      </c>
      <c r="C8742" t="s">
        <v>1777</v>
      </c>
    </row>
    <row r="8743" spans="1:6" x14ac:dyDescent="0.25">
      <c r="A8743" t="s">
        <v>7791</v>
      </c>
      <c r="B8743" t="s">
        <v>825</v>
      </c>
      <c r="C8743" t="s">
        <v>1778</v>
      </c>
      <c r="D8743" t="str">
        <f>HYPERLINK("http://service.sap.com/sap/support/notes/1612185","1612185")</f>
        <v>1612185</v>
      </c>
      <c r="E8743">
        <v>3</v>
      </c>
      <c r="F8743" t="s">
        <v>7759</v>
      </c>
    </row>
    <row r="8744" spans="1:6" x14ac:dyDescent="0.25">
      <c r="A8744" t="s">
        <v>7791</v>
      </c>
      <c r="B8744" t="s">
        <v>825</v>
      </c>
      <c r="C8744" t="s">
        <v>1778</v>
      </c>
      <c r="D8744" t="str">
        <f>HYPERLINK("http://service.sap.com/sap/support/notes/1615191","1615191")</f>
        <v>1615191</v>
      </c>
      <c r="E8744">
        <v>1</v>
      </c>
      <c r="F8744" t="s">
        <v>7760</v>
      </c>
    </row>
    <row r="8745" spans="1:6" x14ac:dyDescent="0.25">
      <c r="A8745" t="s">
        <v>7791</v>
      </c>
      <c r="B8745" t="s">
        <v>825</v>
      </c>
      <c r="C8745" t="s">
        <v>1778</v>
      </c>
      <c r="D8745" t="str">
        <f>HYPERLINK("http://service.sap.com/sap/support/notes/1620456","1620456")</f>
        <v>1620456</v>
      </c>
      <c r="E8745">
        <v>1</v>
      </c>
      <c r="F8745" t="s">
        <v>7761</v>
      </c>
    </row>
    <row r="8746" spans="1:6" x14ac:dyDescent="0.25">
      <c r="A8746" t="s">
        <v>7791</v>
      </c>
      <c r="B8746" t="s">
        <v>825</v>
      </c>
      <c r="C8746" t="s">
        <v>1778</v>
      </c>
      <c r="D8746" t="str">
        <f>HYPERLINK("http://service.sap.com/sap/support/notes/1622316","1622316")</f>
        <v>1622316</v>
      </c>
      <c r="E8746">
        <v>1</v>
      </c>
      <c r="F8746" t="s">
        <v>7762</v>
      </c>
    </row>
    <row r="8747" spans="1:6" x14ac:dyDescent="0.25">
      <c r="A8747" t="s">
        <v>7791</v>
      </c>
      <c r="B8747" t="s">
        <v>825</v>
      </c>
      <c r="C8747" t="s">
        <v>1778</v>
      </c>
      <c r="D8747" t="str">
        <f>HYPERLINK("http://service.sap.com/sap/support/notes/1622576","1622576")</f>
        <v>1622576</v>
      </c>
      <c r="E8747">
        <v>1</v>
      </c>
      <c r="F8747" t="s">
        <v>7763</v>
      </c>
    </row>
    <row r="8748" spans="1:6" x14ac:dyDescent="0.25">
      <c r="A8748" t="s">
        <v>7791</v>
      </c>
      <c r="B8748" t="s">
        <v>825</v>
      </c>
      <c r="C8748" t="s">
        <v>1778</v>
      </c>
      <c r="D8748" t="str">
        <f>HYPERLINK("http://service.sap.com/sap/support/notes/1627918","1627918")</f>
        <v>1627918</v>
      </c>
      <c r="E8748">
        <v>1</v>
      </c>
      <c r="F8748" t="s">
        <v>7764</v>
      </c>
    </row>
    <row r="8749" spans="1:6" x14ac:dyDescent="0.25">
      <c r="A8749" t="s">
        <v>7791</v>
      </c>
      <c r="B8749" t="s">
        <v>825</v>
      </c>
      <c r="C8749" t="s">
        <v>1778</v>
      </c>
      <c r="D8749" t="str">
        <f>HYPERLINK("http://service.sap.com/sap/support/notes/1630837","1630837")</f>
        <v>1630837</v>
      </c>
      <c r="E8749">
        <v>3</v>
      </c>
      <c r="F8749" t="s">
        <v>7765</v>
      </c>
    </row>
    <row r="8750" spans="1:6" x14ac:dyDescent="0.25">
      <c r="A8750" t="s">
        <v>7791</v>
      </c>
      <c r="B8750" t="s">
        <v>826</v>
      </c>
      <c r="C8750" t="s">
        <v>1773</v>
      </c>
      <c r="D8750" t="str">
        <f>HYPERLINK("http://service.sap.com/sap/support/notes/1165020","1165020")</f>
        <v>1165020</v>
      </c>
      <c r="E8750">
        <v>4</v>
      </c>
      <c r="F8750" t="s">
        <v>7766</v>
      </c>
    </row>
    <row r="8751" spans="1:6" x14ac:dyDescent="0.25">
      <c r="A8751" t="s">
        <v>7791</v>
      </c>
      <c r="B8751" t="s">
        <v>131</v>
      </c>
      <c r="C8751" t="s">
        <v>132</v>
      </c>
    </row>
    <row r="8752" spans="1:6" x14ac:dyDescent="0.25">
      <c r="A8752" t="s">
        <v>7791</v>
      </c>
      <c r="B8752" t="s">
        <v>155</v>
      </c>
      <c r="C8752" t="s">
        <v>156</v>
      </c>
      <c r="D8752" t="str">
        <f>HYPERLINK("http://service.sap.com/sap/support/notes/1620519","1620519")</f>
        <v>1620519</v>
      </c>
      <c r="E8752">
        <v>2</v>
      </c>
      <c r="F8752" t="s">
        <v>7767</v>
      </c>
    </row>
    <row r="8753" spans="1:6" x14ac:dyDescent="0.25">
      <c r="A8753" t="s">
        <v>7791</v>
      </c>
      <c r="B8753" t="s">
        <v>168</v>
      </c>
      <c r="C8753" t="s">
        <v>169</v>
      </c>
      <c r="D8753" t="str">
        <f>HYPERLINK("http://service.sap.com/sap/support/notes/1589399","1589399")</f>
        <v>1589399</v>
      </c>
      <c r="E8753">
        <v>1</v>
      </c>
      <c r="F8753" t="s">
        <v>7768</v>
      </c>
    </row>
    <row r="8754" spans="1:6" x14ac:dyDescent="0.25">
      <c r="A8754" t="s">
        <v>7791</v>
      </c>
      <c r="B8754" t="s">
        <v>191</v>
      </c>
      <c r="C8754" t="s">
        <v>192</v>
      </c>
      <c r="D8754" t="str">
        <f>HYPERLINK("http://service.sap.com/sap/support/notes/1060819","1060819")</f>
        <v>1060819</v>
      </c>
      <c r="E8754">
        <v>1</v>
      </c>
      <c r="F8754" t="s">
        <v>193</v>
      </c>
    </row>
    <row r="8755" spans="1:6" x14ac:dyDescent="0.25">
      <c r="A8755" t="s">
        <v>7791</v>
      </c>
      <c r="B8755" t="s">
        <v>191</v>
      </c>
      <c r="C8755" t="s">
        <v>192</v>
      </c>
      <c r="D8755" t="str">
        <f>HYPERLINK("http://service.sap.com/sap/support/notes/1569981","1569981")</f>
        <v>1569981</v>
      </c>
      <c r="E8755">
        <v>1</v>
      </c>
      <c r="F8755" t="s">
        <v>4456</v>
      </c>
    </row>
    <row r="8756" spans="1:6" x14ac:dyDescent="0.25">
      <c r="A8756" t="s">
        <v>7791</v>
      </c>
      <c r="B8756" t="s">
        <v>201</v>
      </c>
      <c r="C8756" t="s">
        <v>202</v>
      </c>
    </row>
    <row r="8757" spans="1:6" x14ac:dyDescent="0.25">
      <c r="A8757" t="s">
        <v>7791</v>
      </c>
      <c r="B8757" t="s">
        <v>7769</v>
      </c>
      <c r="C8757" t="s">
        <v>7770</v>
      </c>
      <c r="D8757" t="str">
        <f>HYPERLINK("http://service.sap.com/sap/support/notes/1603487","1603487")</f>
        <v>1603487</v>
      </c>
      <c r="E8757">
        <v>2</v>
      </c>
      <c r="F8757" t="s">
        <v>7771</v>
      </c>
    </row>
    <row r="8758" spans="1:6" x14ac:dyDescent="0.25">
      <c r="A8758" t="s">
        <v>7791</v>
      </c>
      <c r="B8758" t="s">
        <v>964</v>
      </c>
      <c r="C8758" t="s">
        <v>299</v>
      </c>
      <c r="D8758" t="str">
        <f>HYPERLINK("http://service.sap.com/sap/support/notes/1603914","1603914")</f>
        <v>1603914</v>
      </c>
      <c r="E8758">
        <v>1</v>
      </c>
      <c r="F8758" t="s">
        <v>7772</v>
      </c>
    </row>
    <row r="8759" spans="1:6" x14ac:dyDescent="0.25">
      <c r="A8759" t="s">
        <v>7791</v>
      </c>
      <c r="B8759" t="s">
        <v>226</v>
      </c>
      <c r="C8759" t="s">
        <v>52</v>
      </c>
    </row>
    <row r="8760" spans="1:6" x14ac:dyDescent="0.25">
      <c r="A8760" t="s">
        <v>7791</v>
      </c>
      <c r="B8760" t="s">
        <v>235</v>
      </c>
      <c r="C8760" t="s">
        <v>236</v>
      </c>
    </row>
    <row r="8761" spans="1:6" x14ac:dyDescent="0.25">
      <c r="A8761" t="s">
        <v>7791</v>
      </c>
      <c r="B8761" t="s">
        <v>237</v>
      </c>
      <c r="C8761" t="s">
        <v>238</v>
      </c>
      <c r="D8761" t="str">
        <f>HYPERLINK("http://service.sap.com/sap/support/notes/1624487","1624487")</f>
        <v>1624487</v>
      </c>
      <c r="E8761">
        <v>2</v>
      </c>
      <c r="F8761" t="s">
        <v>7773</v>
      </c>
    </row>
    <row r="8762" spans="1:6" x14ac:dyDescent="0.25">
      <c r="A8762" t="s">
        <v>7791</v>
      </c>
      <c r="B8762" t="s">
        <v>246</v>
      </c>
      <c r="C8762" t="s">
        <v>247</v>
      </c>
      <c r="D8762" t="str">
        <f>HYPERLINK("http://service.sap.com/sap/support/notes/1607225","1607225")</f>
        <v>1607225</v>
      </c>
      <c r="E8762">
        <v>2</v>
      </c>
      <c r="F8762" t="s">
        <v>7774</v>
      </c>
    </row>
    <row r="8763" spans="1:6" x14ac:dyDescent="0.25">
      <c r="A8763" t="s">
        <v>7791</v>
      </c>
      <c r="B8763" t="s">
        <v>304</v>
      </c>
      <c r="C8763" t="s">
        <v>305</v>
      </c>
      <c r="D8763" t="str">
        <f>HYPERLINK("http://service.sap.com/sap/support/notes/1569031","1569031")</f>
        <v>1569031</v>
      </c>
      <c r="E8763">
        <v>1</v>
      </c>
      <c r="F8763" t="s">
        <v>7775</v>
      </c>
    </row>
    <row r="8764" spans="1:6" x14ac:dyDescent="0.25">
      <c r="A8764" t="s">
        <v>7791</v>
      </c>
      <c r="B8764" t="s">
        <v>363</v>
      </c>
      <c r="C8764" t="s">
        <v>74</v>
      </c>
      <c r="D8764" t="str">
        <f>HYPERLINK("http://service.sap.com/sap/support/notes/1617082","1617082")</f>
        <v>1617082</v>
      </c>
      <c r="E8764">
        <v>2</v>
      </c>
      <c r="F8764" t="s">
        <v>7776</v>
      </c>
    </row>
    <row r="8765" spans="1:6" x14ac:dyDescent="0.25">
      <c r="A8765" t="s">
        <v>7791</v>
      </c>
      <c r="B8765" t="s">
        <v>363</v>
      </c>
      <c r="C8765" t="s">
        <v>74</v>
      </c>
      <c r="D8765" t="str">
        <f>HYPERLINK("http://service.sap.com/sap/support/notes/1625696","1625696")</f>
        <v>1625696</v>
      </c>
      <c r="E8765">
        <v>2</v>
      </c>
      <c r="F8765" t="s">
        <v>7777</v>
      </c>
    </row>
    <row r="8766" spans="1:6" x14ac:dyDescent="0.25">
      <c r="A8766" t="s">
        <v>7791</v>
      </c>
      <c r="B8766" t="s">
        <v>440</v>
      </c>
      <c r="C8766" t="s">
        <v>441</v>
      </c>
      <c r="D8766" t="str">
        <f>HYPERLINK("http://service.sap.com/sap/support/notes/1060820","1060820")</f>
        <v>1060820</v>
      </c>
      <c r="E8766">
        <v>1</v>
      </c>
      <c r="F8766" t="s">
        <v>2104</v>
      </c>
    </row>
    <row r="8767" spans="1:6" x14ac:dyDescent="0.25">
      <c r="A8767" t="s">
        <v>7791</v>
      </c>
      <c r="B8767" t="s">
        <v>460</v>
      </c>
      <c r="C8767" t="s">
        <v>461</v>
      </c>
      <c r="D8767" t="str">
        <f>HYPERLINK("http://service.sap.com/sap/support/notes/1630086","1630086")</f>
        <v>1630086</v>
      </c>
      <c r="E8767">
        <v>3</v>
      </c>
      <c r="F8767" t="s">
        <v>7778</v>
      </c>
    </row>
    <row r="8768" spans="1:6" x14ac:dyDescent="0.25">
      <c r="A8768" t="s">
        <v>7791</v>
      </c>
      <c r="B8768" t="s">
        <v>460</v>
      </c>
      <c r="C8768" t="s">
        <v>461</v>
      </c>
      <c r="D8768" t="str">
        <f>HYPERLINK("http://service.sap.com/sap/support/notes/1630087","1630087")</f>
        <v>1630087</v>
      </c>
      <c r="E8768">
        <v>2</v>
      </c>
      <c r="F8768" t="s">
        <v>7779</v>
      </c>
    </row>
    <row r="8769" spans="1:6" x14ac:dyDescent="0.25">
      <c r="A8769" t="s">
        <v>7791</v>
      </c>
      <c r="B8769" t="s">
        <v>460</v>
      </c>
      <c r="C8769" t="s">
        <v>461</v>
      </c>
      <c r="D8769" t="str">
        <f>HYPERLINK("http://service.sap.com/sap/support/notes/1632383","1632383")</f>
        <v>1632383</v>
      </c>
      <c r="E8769">
        <v>2</v>
      </c>
      <c r="F8769" t="s">
        <v>7780</v>
      </c>
    </row>
    <row r="8770" spans="1:6" x14ac:dyDescent="0.25">
      <c r="A8770" t="s">
        <v>7791</v>
      </c>
      <c r="B8770" t="s">
        <v>472</v>
      </c>
      <c r="C8770" t="s">
        <v>473</v>
      </c>
    </row>
    <row r="8771" spans="1:6" x14ac:dyDescent="0.25">
      <c r="A8771" t="s">
        <v>7791</v>
      </c>
      <c r="B8771" t="s">
        <v>476</v>
      </c>
      <c r="C8771" t="s">
        <v>477</v>
      </c>
      <c r="D8771" t="str">
        <f>HYPERLINK("http://service.sap.com/sap/support/notes/1604364","1604364")</f>
        <v>1604364</v>
      </c>
      <c r="E8771">
        <v>2</v>
      </c>
      <c r="F8771" t="s">
        <v>7781</v>
      </c>
    </row>
    <row r="8772" spans="1:6" x14ac:dyDescent="0.25">
      <c r="A8772" t="s">
        <v>7791</v>
      </c>
      <c r="B8772" t="s">
        <v>499</v>
      </c>
      <c r="C8772" t="s">
        <v>108</v>
      </c>
    </row>
    <row r="8773" spans="1:6" x14ac:dyDescent="0.25">
      <c r="A8773" t="s">
        <v>7791</v>
      </c>
      <c r="B8773" t="s">
        <v>505</v>
      </c>
      <c r="C8773" t="s">
        <v>299</v>
      </c>
      <c r="D8773" t="str">
        <f>HYPERLINK("http://service.sap.com/sap/support/notes/1622419","1622419")</f>
        <v>1622419</v>
      </c>
      <c r="E8773">
        <v>1</v>
      </c>
      <c r="F8773" t="s">
        <v>7782</v>
      </c>
    </row>
    <row r="8774" spans="1:6" x14ac:dyDescent="0.25">
      <c r="A8774" t="s">
        <v>7791</v>
      </c>
      <c r="B8774" t="s">
        <v>508</v>
      </c>
      <c r="C8774" t="s">
        <v>509</v>
      </c>
      <c r="D8774" t="str">
        <f>HYPERLINK("http://service.sap.com/sap/support/notes/1633358","1633358")</f>
        <v>1633358</v>
      </c>
      <c r="E8774">
        <v>1</v>
      </c>
      <c r="F8774" t="s">
        <v>7783</v>
      </c>
    </row>
    <row r="8775" spans="1:6" x14ac:dyDescent="0.25">
      <c r="A8775" t="s">
        <v>7791</v>
      </c>
      <c r="B8775" t="s">
        <v>543</v>
      </c>
      <c r="C8775" t="s">
        <v>544</v>
      </c>
    </row>
    <row r="8776" spans="1:6" x14ac:dyDescent="0.25">
      <c r="A8776" t="s">
        <v>7791</v>
      </c>
      <c r="B8776" t="s">
        <v>545</v>
      </c>
      <c r="C8776" t="s">
        <v>546</v>
      </c>
    </row>
    <row r="8777" spans="1:6" x14ac:dyDescent="0.25">
      <c r="A8777" t="s">
        <v>7791</v>
      </c>
      <c r="B8777" t="s">
        <v>7784</v>
      </c>
      <c r="C8777" t="s">
        <v>7785</v>
      </c>
    </row>
    <row r="8778" spans="1:6" x14ac:dyDescent="0.25">
      <c r="A8778" t="s">
        <v>7791</v>
      </c>
      <c r="B8778" t="s">
        <v>7786</v>
      </c>
      <c r="C8778" t="s">
        <v>6274</v>
      </c>
      <c r="D8778" t="str">
        <f>HYPERLINK("http://service.sap.com/sap/support/notes/1631135","1631135")</f>
        <v>1631135</v>
      </c>
      <c r="E8778">
        <v>1</v>
      </c>
      <c r="F8778" t="s">
        <v>7787</v>
      </c>
    </row>
    <row r="8779" spans="1:6" x14ac:dyDescent="0.25">
      <c r="A8779" t="s">
        <v>7791</v>
      </c>
      <c r="B8779" t="s">
        <v>7786</v>
      </c>
      <c r="C8779" t="s">
        <v>6274</v>
      </c>
      <c r="D8779" t="str">
        <f>HYPERLINK("http://service.sap.com/sap/support/notes/1632021","1632021")</f>
        <v>1632021</v>
      </c>
      <c r="E8779">
        <v>2</v>
      </c>
      <c r="F8779" t="s">
        <v>7788</v>
      </c>
    </row>
    <row r="8780" spans="1:6" x14ac:dyDescent="0.25">
      <c r="A8780" t="s">
        <v>7791</v>
      </c>
      <c r="B8780" t="s">
        <v>6271</v>
      </c>
      <c r="C8780" t="s">
        <v>6272</v>
      </c>
    </row>
    <row r="8781" spans="1:6" x14ac:dyDescent="0.25">
      <c r="A8781" t="s">
        <v>7791</v>
      </c>
      <c r="B8781" t="s">
        <v>6273</v>
      </c>
      <c r="C8781" t="s">
        <v>6274</v>
      </c>
      <c r="D8781" t="str">
        <f>HYPERLINK("http://service.sap.com/sap/support/notes/1627228","1627228")</f>
        <v>1627228</v>
      </c>
      <c r="E8781">
        <v>1</v>
      </c>
      <c r="F8781" t="s">
        <v>7789</v>
      </c>
    </row>
    <row r="8782" spans="1:6" x14ac:dyDescent="0.25">
      <c r="A8782" t="s">
        <v>7791</v>
      </c>
      <c r="B8782" t="s">
        <v>2560</v>
      </c>
      <c r="C8782" t="s">
        <v>2561</v>
      </c>
    </row>
    <row r="8783" spans="1:6" x14ac:dyDescent="0.25">
      <c r="A8783" t="s">
        <v>7791</v>
      </c>
      <c r="B8783" t="s">
        <v>6540</v>
      </c>
      <c r="C8783" t="s">
        <v>6541</v>
      </c>
      <c r="D8783" t="str">
        <f>HYPERLINK("http://service.sap.com/sap/support/notes/1628661","1628661")</f>
        <v>1628661</v>
      </c>
      <c r="E8783">
        <v>2</v>
      </c>
      <c r="F8783" t="s">
        <v>7790</v>
      </c>
    </row>
  </sheetData>
  <autoFilter ref="A1:F439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SAPKE60428-40,60501-17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gmcgrath</dc:creator>
  <cp:lastModifiedBy>gmcgrath</cp:lastModifiedBy>
  <dcterms:created xsi:type="dcterms:W3CDTF">2011-09-27T18:42:57Z</dcterms:created>
  <dcterms:modified xsi:type="dcterms:W3CDTF">2011-10-14T18:15:14Z</dcterms:modified>
</cp:coreProperties>
</file>