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05" yWindow="45" windowWidth="18600" windowHeight="11190"/>
  </bookViews>
  <sheets>
    <sheet name=" " sheetId="1" r:id="rId1"/>
  </sheets>
  <definedNames>
    <definedName name="_xlnm._FilterDatabase" localSheetId="0" hidden="1">' '!$A$1:$A$8028</definedName>
  </definedNames>
  <calcPr calcId="144525"/>
</workbook>
</file>

<file path=xl/calcChain.xml><?xml version="1.0" encoding="utf-8"?>
<calcChain xmlns="http://schemas.openxmlformats.org/spreadsheetml/2006/main">
  <c r="D5605" i="1" l="1"/>
  <c r="D5619" i="1" l="1"/>
  <c r="D5615" i="1"/>
  <c r="D5614" i="1"/>
  <c r="D5613" i="1"/>
  <c r="D5612" i="1"/>
  <c r="D5611" i="1"/>
  <c r="D5610" i="1"/>
  <c r="D5609" i="1"/>
  <c r="D5608" i="1"/>
  <c r="D5607" i="1"/>
  <c r="D5606" i="1"/>
  <c r="D5604" i="1"/>
  <c r="D5603" i="1"/>
  <c r="D5601" i="1"/>
  <c r="D5600" i="1"/>
  <c r="D5599" i="1"/>
  <c r="D5598" i="1"/>
  <c r="D5597" i="1"/>
  <c r="D5596" i="1"/>
  <c r="D5595" i="1"/>
  <c r="D5594" i="1"/>
  <c r="D5593" i="1"/>
  <c r="D5592" i="1"/>
  <c r="D5591" i="1"/>
  <c r="D5590" i="1"/>
  <c r="D5589" i="1"/>
  <c r="D5588" i="1"/>
  <c r="D5587" i="1"/>
  <c r="D5586" i="1"/>
  <c r="D5585" i="1"/>
  <c r="D5584" i="1"/>
  <c r="D5583" i="1"/>
  <c r="D5582" i="1"/>
  <c r="D5581" i="1"/>
  <c r="D5580" i="1"/>
  <c r="D5579" i="1"/>
  <c r="D5578" i="1"/>
  <c r="D5577" i="1"/>
  <c r="D5576" i="1"/>
  <c r="D5575" i="1"/>
  <c r="D5574" i="1"/>
  <c r="D5573" i="1"/>
  <c r="D5572" i="1"/>
  <c r="D5571" i="1"/>
  <c r="D5570" i="1"/>
  <c r="D5569" i="1"/>
  <c r="D5568" i="1"/>
  <c r="D5567" i="1"/>
  <c r="D5566" i="1"/>
  <c r="D5565" i="1"/>
  <c r="D5564" i="1"/>
  <c r="D5563" i="1"/>
  <c r="D5562" i="1"/>
  <c r="D5561" i="1"/>
  <c r="D5560" i="1"/>
  <c r="D5559" i="1"/>
  <c r="D5558" i="1"/>
  <c r="D5557" i="1"/>
  <c r="D5556" i="1"/>
  <c r="D5555" i="1"/>
  <c r="D5554" i="1"/>
  <c r="D5553" i="1"/>
  <c r="D5552" i="1"/>
  <c r="D5551" i="1"/>
  <c r="D5550" i="1"/>
  <c r="D5549" i="1"/>
  <c r="D5548" i="1"/>
  <c r="D5547" i="1"/>
  <c r="D5546" i="1"/>
  <c r="D5545" i="1"/>
  <c r="D5544" i="1"/>
  <c r="D5543" i="1"/>
  <c r="D5542" i="1"/>
  <c r="D5541" i="1"/>
  <c r="D5540" i="1"/>
  <c r="D5539" i="1"/>
  <c r="D5538" i="1"/>
  <c r="D5537" i="1"/>
  <c r="D5536" i="1"/>
  <c r="D5535" i="1"/>
  <c r="D5534" i="1"/>
  <c r="D5533" i="1"/>
  <c r="D5532" i="1"/>
  <c r="D5531" i="1"/>
  <c r="D5530" i="1"/>
  <c r="D5529" i="1"/>
  <c r="D5528" i="1"/>
  <c r="D5527" i="1"/>
  <c r="D5526" i="1"/>
  <c r="D5525" i="1"/>
  <c r="D5524" i="1"/>
  <c r="D5523" i="1"/>
  <c r="D5521" i="1"/>
  <c r="D5520" i="1"/>
  <c r="D5519" i="1"/>
  <c r="D5518" i="1"/>
  <c r="D5517" i="1"/>
  <c r="D5516" i="1"/>
  <c r="D5515" i="1"/>
  <c r="D5514" i="1"/>
  <c r="D5513" i="1"/>
  <c r="D5512" i="1"/>
  <c r="D5511" i="1"/>
  <c r="D5510" i="1"/>
  <c r="D5509" i="1"/>
  <c r="D5508" i="1"/>
  <c r="D5507" i="1"/>
  <c r="D5506" i="1"/>
  <c r="D5505" i="1"/>
  <c r="D5504" i="1"/>
  <c r="D5503" i="1"/>
  <c r="D5502" i="1"/>
  <c r="D5501" i="1"/>
  <c r="D5500" i="1"/>
  <c r="D5499" i="1"/>
  <c r="D5498" i="1"/>
  <c r="D5497" i="1"/>
  <c r="D5496" i="1"/>
  <c r="D5495" i="1"/>
  <c r="D5494" i="1"/>
  <c r="D5493" i="1"/>
  <c r="D5492" i="1"/>
  <c r="D5491" i="1"/>
  <c r="D5490" i="1"/>
  <c r="D5489" i="1"/>
  <c r="D5488" i="1"/>
  <c r="D5487" i="1"/>
  <c r="D5486" i="1"/>
  <c r="D5485" i="1"/>
  <c r="D5484" i="1"/>
  <c r="D5483" i="1"/>
  <c r="D5482" i="1"/>
  <c r="D5481" i="1"/>
  <c r="D5480" i="1"/>
  <c r="D5479" i="1"/>
  <c r="D5478" i="1"/>
  <c r="D5477" i="1"/>
  <c r="D5476" i="1"/>
  <c r="D5475" i="1"/>
  <c r="D5474" i="1"/>
  <c r="D5473" i="1"/>
  <c r="D5472" i="1"/>
  <c r="D5471" i="1"/>
  <c r="D5469" i="1"/>
  <c r="D5468" i="1"/>
  <c r="D5467" i="1"/>
  <c r="D5465" i="1"/>
  <c r="D5463" i="1"/>
  <c r="D5462" i="1"/>
  <c r="D5461" i="1"/>
  <c r="D5460" i="1"/>
  <c r="D5459" i="1"/>
  <c r="D5458" i="1"/>
  <c r="D5457" i="1"/>
  <c r="D5456" i="1"/>
  <c r="D5455" i="1"/>
  <c r="D5454" i="1"/>
  <c r="D5453" i="1"/>
  <c r="D5452" i="1"/>
  <c r="D5451" i="1"/>
  <c r="D5450" i="1"/>
  <c r="D5449" i="1"/>
  <c r="D5448" i="1"/>
  <c r="D5447" i="1"/>
  <c r="D5446" i="1"/>
  <c r="D5445" i="1"/>
  <c r="D5444" i="1"/>
  <c r="D5443" i="1"/>
  <c r="D5442" i="1"/>
  <c r="D5441" i="1"/>
  <c r="D5440" i="1"/>
  <c r="D5439" i="1"/>
  <c r="D5438" i="1"/>
  <c r="D5437" i="1"/>
  <c r="D5436" i="1"/>
  <c r="D5435" i="1"/>
  <c r="D5434" i="1"/>
  <c r="D5433" i="1"/>
  <c r="D5432" i="1"/>
  <c r="D5431" i="1"/>
  <c r="D5430" i="1"/>
  <c r="D5429" i="1"/>
  <c r="D5428" i="1"/>
  <c r="D5427" i="1"/>
  <c r="D5426" i="1"/>
  <c r="D5425" i="1"/>
  <c r="D5424" i="1"/>
  <c r="D5423" i="1"/>
  <c r="D5422" i="1"/>
  <c r="D5421" i="1"/>
  <c r="D5420" i="1"/>
  <c r="D5419" i="1"/>
  <c r="D5418" i="1"/>
  <c r="D5417" i="1"/>
  <c r="D5416" i="1"/>
  <c r="D5415" i="1"/>
  <c r="D5414" i="1"/>
  <c r="D5412" i="1"/>
  <c r="D5411" i="1"/>
  <c r="D5410" i="1"/>
  <c r="D5409" i="1"/>
  <c r="D5408" i="1"/>
  <c r="D5407" i="1"/>
  <c r="D5406" i="1"/>
  <c r="D5405" i="1"/>
  <c r="D5404" i="1"/>
  <c r="D5403" i="1"/>
  <c r="D5402" i="1"/>
  <c r="D5401" i="1"/>
  <c r="D5400" i="1"/>
  <c r="D5399" i="1"/>
  <c r="D5398" i="1"/>
  <c r="D5397" i="1"/>
  <c r="D5396" i="1"/>
  <c r="D5395" i="1"/>
  <c r="D5394" i="1"/>
  <c r="D5393" i="1"/>
  <c r="D5392" i="1"/>
  <c r="D5391" i="1"/>
  <c r="D5390" i="1"/>
  <c r="D5389" i="1"/>
  <c r="D5388" i="1"/>
  <c r="D5387" i="1"/>
  <c r="D5386" i="1"/>
  <c r="D5385" i="1"/>
  <c r="D5384" i="1"/>
  <c r="D5382" i="1"/>
  <c r="D5381" i="1"/>
  <c r="D5380" i="1"/>
  <c r="D5379" i="1"/>
  <c r="D5378" i="1"/>
  <c r="D5377" i="1"/>
  <c r="D5376" i="1"/>
  <c r="D5375" i="1"/>
  <c r="D5374" i="1"/>
  <c r="D5372" i="1"/>
  <c r="D5371" i="1"/>
  <c r="D5370" i="1"/>
  <c r="D5369" i="1"/>
  <c r="D5368" i="1"/>
  <c r="D5366" i="1"/>
  <c r="D5365" i="1"/>
  <c r="D5364" i="1"/>
  <c r="D5363" i="1"/>
  <c r="D5362" i="1"/>
  <c r="D5361" i="1"/>
  <c r="D5360" i="1"/>
  <c r="D5359" i="1"/>
  <c r="D5358" i="1"/>
  <c r="D5357" i="1"/>
  <c r="D5356" i="1"/>
  <c r="D5355" i="1"/>
  <c r="D5354" i="1"/>
  <c r="D5353" i="1"/>
  <c r="D5352" i="1"/>
  <c r="D5351" i="1"/>
  <c r="D5350" i="1"/>
  <c r="D5349" i="1"/>
  <c r="D5348" i="1"/>
  <c r="D5347" i="1"/>
  <c r="D5346" i="1"/>
  <c r="D5345" i="1"/>
  <c r="D5344" i="1"/>
  <c r="D5343" i="1"/>
  <c r="D5342" i="1"/>
  <c r="D5341" i="1"/>
  <c r="D5340" i="1"/>
  <c r="D5339" i="1"/>
  <c r="D5338" i="1"/>
  <c r="D5337" i="1"/>
  <c r="D5336" i="1"/>
  <c r="D5335" i="1"/>
  <c r="D5334" i="1"/>
  <c r="D5333" i="1"/>
  <c r="D5332" i="1"/>
  <c r="D5331" i="1"/>
  <c r="D5330" i="1"/>
  <c r="D5329" i="1"/>
  <c r="D5328" i="1"/>
  <c r="D5327" i="1"/>
  <c r="D5326" i="1"/>
  <c r="D5325" i="1"/>
  <c r="D5324" i="1"/>
  <c r="D5323" i="1"/>
  <c r="D5322" i="1"/>
  <c r="D5321" i="1"/>
  <c r="D5320" i="1"/>
  <c r="D5319" i="1"/>
  <c r="D5318" i="1"/>
  <c r="D5317" i="1"/>
  <c r="D5316" i="1"/>
  <c r="D5315" i="1"/>
  <c r="D5314" i="1"/>
  <c r="D5313" i="1"/>
  <c r="D5312" i="1"/>
  <c r="D5311" i="1"/>
  <c r="D5310" i="1"/>
  <c r="D5309" i="1"/>
  <c r="D5308" i="1"/>
  <c r="D5307" i="1"/>
  <c r="D5306" i="1"/>
  <c r="D5305" i="1"/>
  <c r="D5304" i="1"/>
  <c r="D5303" i="1"/>
  <c r="D5302" i="1"/>
  <c r="D5301" i="1"/>
  <c r="D5300" i="1"/>
  <c r="D5299" i="1"/>
  <c r="D5298" i="1"/>
  <c r="D5297" i="1"/>
  <c r="D5296" i="1"/>
  <c r="D5295" i="1"/>
  <c r="D5294" i="1"/>
  <c r="D5293" i="1"/>
  <c r="D5292" i="1"/>
  <c r="D5291" i="1"/>
  <c r="D5290" i="1"/>
  <c r="D5289" i="1"/>
  <c r="D5288" i="1"/>
  <c r="D5287" i="1"/>
  <c r="D5286" i="1"/>
  <c r="D5284" i="1"/>
  <c r="D5283" i="1"/>
  <c r="D5282" i="1"/>
  <c r="D5281" i="1"/>
  <c r="D5279" i="1"/>
  <c r="D5278" i="1"/>
  <c r="D5277" i="1"/>
  <c r="D5274" i="1"/>
  <c r="D5271" i="1"/>
  <c r="D5270" i="1"/>
  <c r="D5268" i="1"/>
  <c r="D5267" i="1"/>
  <c r="D5266" i="1"/>
  <c r="D5265" i="1"/>
  <c r="D5264" i="1"/>
  <c r="D5263" i="1"/>
  <c r="D5262" i="1"/>
  <c r="D5261" i="1"/>
  <c r="D5260" i="1"/>
  <c r="D5259" i="1"/>
  <c r="D5258" i="1"/>
  <c r="D5257" i="1"/>
  <c r="D5256" i="1"/>
  <c r="D5255" i="1"/>
  <c r="D5254" i="1"/>
  <c r="D5253" i="1"/>
  <c r="D5252" i="1"/>
  <c r="D5251" i="1"/>
  <c r="D5250" i="1"/>
  <c r="D5249" i="1"/>
  <c r="D5248" i="1"/>
  <c r="D5247" i="1"/>
  <c r="D5246" i="1"/>
  <c r="D5245" i="1"/>
  <c r="D5244" i="1"/>
  <c r="D5243" i="1"/>
  <c r="D5242" i="1"/>
  <c r="D5241" i="1"/>
  <c r="D5240" i="1"/>
  <c r="D5239" i="1"/>
  <c r="D5238" i="1"/>
  <c r="D5237" i="1"/>
  <c r="D5236" i="1"/>
  <c r="D5235" i="1"/>
  <c r="D5234" i="1"/>
  <c r="D5233" i="1"/>
  <c r="D5232" i="1"/>
  <c r="D5231" i="1"/>
  <c r="D5230" i="1"/>
  <c r="D5229" i="1"/>
  <c r="D5228" i="1"/>
  <c r="D5225" i="1"/>
  <c r="D5221" i="1"/>
  <c r="D5217" i="1"/>
  <c r="D8217" i="1"/>
  <c r="D8216" i="1"/>
  <c r="D8214" i="1"/>
  <c r="D8212" i="1"/>
  <c r="D8208" i="1"/>
  <c r="D8206" i="1"/>
  <c r="D8205" i="1"/>
  <c r="D8204" i="1"/>
  <c r="D8203" i="1"/>
  <c r="D8202" i="1"/>
  <c r="D8201" i="1"/>
  <c r="D8200" i="1"/>
  <c r="D8199" i="1"/>
  <c r="D8198" i="1"/>
  <c r="D8197" i="1"/>
  <c r="D8196" i="1"/>
  <c r="D8194" i="1"/>
  <c r="D8193" i="1"/>
  <c r="D8192" i="1"/>
  <c r="D8191" i="1"/>
  <c r="D8190" i="1"/>
  <c r="D8189" i="1"/>
  <c r="D8188" i="1"/>
  <c r="D8187" i="1"/>
  <c r="D8186" i="1"/>
  <c r="D8185" i="1"/>
  <c r="D8184" i="1"/>
  <c r="D8183" i="1"/>
  <c r="D8182" i="1"/>
  <c r="D8181" i="1"/>
  <c r="D8180" i="1"/>
  <c r="D8179" i="1"/>
  <c r="D8178" i="1"/>
  <c r="D8176" i="1"/>
  <c r="D8175" i="1"/>
  <c r="D8174" i="1"/>
  <c r="D8173" i="1"/>
  <c r="D8172" i="1"/>
  <c r="D8171" i="1"/>
  <c r="D8170" i="1"/>
  <c r="D8169" i="1"/>
  <c r="D8168" i="1"/>
  <c r="D8167" i="1"/>
  <c r="D8166" i="1"/>
  <c r="D8165" i="1"/>
  <c r="D8164" i="1"/>
  <c r="D8163" i="1"/>
  <c r="D8162" i="1"/>
  <c r="D8161" i="1"/>
  <c r="D8160" i="1"/>
  <c r="D8159" i="1"/>
  <c r="D8158" i="1"/>
  <c r="D8157" i="1"/>
  <c r="D8156" i="1"/>
  <c r="D8153" i="1"/>
  <c r="D8152" i="1"/>
  <c r="D8151" i="1"/>
  <c r="D8150" i="1"/>
  <c r="D8149" i="1"/>
  <c r="D8148" i="1"/>
  <c r="D8147" i="1"/>
  <c r="D8146" i="1"/>
  <c r="D8145" i="1"/>
  <c r="D8144" i="1"/>
  <c r="D8143" i="1"/>
  <c r="D8142" i="1"/>
  <c r="D8141" i="1"/>
  <c r="D8140" i="1"/>
  <c r="D8139" i="1"/>
  <c r="D8138" i="1"/>
  <c r="D8137" i="1"/>
  <c r="D8136" i="1"/>
  <c r="D8134" i="1"/>
  <c r="D8133" i="1"/>
  <c r="D8132" i="1"/>
  <c r="D8131" i="1"/>
  <c r="D8130" i="1"/>
  <c r="D8129" i="1"/>
  <c r="D8127" i="1"/>
  <c r="D8126" i="1"/>
  <c r="D8125" i="1"/>
  <c r="D8124" i="1"/>
  <c r="D8123" i="1"/>
  <c r="D8122" i="1"/>
  <c r="D8121" i="1"/>
  <c r="D8120" i="1"/>
  <c r="D8119" i="1"/>
  <c r="D8118" i="1"/>
  <c r="D8117" i="1"/>
  <c r="D8116" i="1"/>
  <c r="D8115" i="1"/>
  <c r="D8114" i="1"/>
  <c r="D8113" i="1"/>
  <c r="D8112" i="1"/>
  <c r="D8110" i="1"/>
  <c r="D8109" i="1"/>
  <c r="D8108" i="1"/>
  <c r="D8106" i="1"/>
  <c r="D8105" i="1"/>
  <c r="D8104" i="1"/>
  <c r="D8103" i="1"/>
  <c r="D8100" i="1"/>
  <c r="D8099" i="1"/>
  <c r="D8098" i="1"/>
  <c r="D8097" i="1"/>
  <c r="D8096" i="1"/>
  <c r="D8095" i="1"/>
  <c r="D8094" i="1"/>
  <c r="D8093" i="1"/>
  <c r="D8092" i="1"/>
  <c r="D8089" i="1"/>
  <c r="D8088" i="1"/>
  <c r="D8087" i="1"/>
  <c r="D8086" i="1"/>
  <c r="D8085" i="1"/>
  <c r="D8084" i="1"/>
  <c r="D8083" i="1"/>
  <c r="D8082" i="1"/>
  <c r="D8081" i="1"/>
  <c r="D8080" i="1"/>
  <c r="D8079" i="1"/>
  <c r="D8078" i="1"/>
  <c r="D8077" i="1"/>
  <c r="D8076" i="1"/>
  <c r="D8075" i="1"/>
  <c r="D8074" i="1"/>
  <c r="D8073" i="1"/>
  <c r="D8072" i="1"/>
  <c r="D8071" i="1"/>
  <c r="D8070" i="1"/>
  <c r="D8069" i="1"/>
  <c r="D8068" i="1"/>
  <c r="D8067" i="1"/>
  <c r="D8066" i="1"/>
  <c r="D8065" i="1"/>
  <c r="D8064" i="1"/>
  <c r="D8063" i="1"/>
  <c r="D8062" i="1"/>
  <c r="D8061" i="1"/>
  <c r="D8060" i="1"/>
  <c r="D8059" i="1"/>
  <c r="D8058" i="1"/>
  <c r="D8057" i="1"/>
  <c r="D8056" i="1"/>
  <c r="D8055" i="1"/>
  <c r="D8054" i="1"/>
  <c r="D8053" i="1"/>
  <c r="D8052" i="1"/>
  <c r="D8051" i="1"/>
  <c r="D8050" i="1"/>
  <c r="D8049" i="1"/>
  <c r="D8048" i="1"/>
  <c r="D8047" i="1"/>
  <c r="D8046" i="1"/>
  <c r="D8045" i="1"/>
  <c r="D8044" i="1"/>
  <c r="D8043" i="1"/>
  <c r="D8042" i="1"/>
  <c r="D8041" i="1"/>
  <c r="D8040" i="1"/>
  <c r="D8039" i="1"/>
  <c r="D8037" i="1"/>
  <c r="D8033" i="1"/>
  <c r="D8032" i="1"/>
  <c r="D8031" i="1"/>
  <c r="D963" i="1" l="1"/>
  <c r="D8027" i="1" l="1"/>
  <c r="D8026" i="1"/>
  <c r="D8025" i="1"/>
  <c r="D8024" i="1"/>
  <c r="D8023" i="1"/>
  <c r="D8022" i="1"/>
  <c r="D8021" i="1"/>
  <c r="D8020" i="1"/>
  <c r="D8019" i="1"/>
  <c r="D8018" i="1"/>
  <c r="D8017" i="1"/>
  <c r="D8016" i="1"/>
  <c r="D8015" i="1"/>
  <c r="D8014" i="1"/>
  <c r="D8013" i="1"/>
  <c r="D8011" i="1"/>
  <c r="D8010" i="1"/>
  <c r="D8009" i="1"/>
  <c r="D8008" i="1"/>
  <c r="D8007" i="1"/>
  <c r="D8006" i="1"/>
  <c r="D8005" i="1"/>
  <c r="D8004" i="1"/>
  <c r="D8003" i="1"/>
  <c r="D8002" i="1"/>
  <c r="D8001" i="1"/>
  <c r="D8000" i="1"/>
  <c r="D7999" i="1"/>
  <c r="D7998" i="1"/>
  <c r="D7997" i="1"/>
  <c r="D7996" i="1"/>
  <c r="D7995" i="1"/>
  <c r="D7994" i="1"/>
  <c r="D7993" i="1"/>
  <c r="D7992" i="1"/>
  <c r="D7991" i="1"/>
  <c r="D7989" i="1"/>
  <c r="D7986" i="1"/>
  <c r="D7985" i="1"/>
  <c r="D7984" i="1"/>
  <c r="D7983" i="1"/>
  <c r="D7982" i="1"/>
  <c r="D7981" i="1"/>
  <c r="D7980" i="1"/>
  <c r="D7979" i="1"/>
  <c r="D7978" i="1"/>
  <c r="D7977" i="1"/>
  <c r="D7976" i="1"/>
  <c r="D7975" i="1"/>
  <c r="D7974" i="1"/>
  <c r="D7973" i="1"/>
  <c r="D7972" i="1"/>
  <c r="D7971" i="1"/>
  <c r="D7970" i="1"/>
  <c r="D7969" i="1"/>
  <c r="D7968" i="1"/>
  <c r="D7966" i="1"/>
  <c r="D7965" i="1"/>
  <c r="D7964" i="1"/>
  <c r="D7963" i="1"/>
  <c r="D7962" i="1"/>
  <c r="D7961" i="1"/>
  <c r="D7960" i="1"/>
  <c r="D7959" i="1"/>
  <c r="D7957" i="1"/>
  <c r="D7956" i="1"/>
  <c r="D7955" i="1"/>
  <c r="D7954" i="1"/>
  <c r="D7953" i="1"/>
  <c r="D7952" i="1"/>
  <c r="D7951" i="1"/>
  <c r="D7950" i="1"/>
  <c r="D7949" i="1"/>
  <c r="D7948" i="1"/>
  <c r="D7947" i="1"/>
  <c r="D7946" i="1"/>
  <c r="D7945" i="1"/>
  <c r="D7944" i="1"/>
  <c r="D7943" i="1"/>
  <c r="D7942" i="1"/>
  <c r="D7940" i="1"/>
  <c r="D7939" i="1"/>
  <c r="D7938" i="1"/>
  <c r="D7935" i="1"/>
  <c r="D7934" i="1"/>
  <c r="D7933" i="1"/>
  <c r="D7932" i="1"/>
  <c r="D7931" i="1"/>
  <c r="D7930" i="1"/>
  <c r="D7928" i="1"/>
  <c r="D7926" i="1"/>
  <c r="D7925" i="1"/>
  <c r="D7924" i="1"/>
  <c r="D7923" i="1"/>
  <c r="D7922" i="1"/>
  <c r="D7921" i="1"/>
  <c r="D7920" i="1"/>
  <c r="D7919" i="1"/>
  <c r="D7918" i="1"/>
  <c r="D7917" i="1"/>
  <c r="D7916" i="1"/>
  <c r="D7915" i="1"/>
  <c r="D7914" i="1"/>
  <c r="D7913" i="1"/>
  <c r="D7912" i="1"/>
  <c r="D7911" i="1"/>
  <c r="D7910" i="1"/>
  <c r="D7909" i="1"/>
  <c r="D7908" i="1"/>
  <c r="D7907" i="1"/>
  <c r="D7906" i="1"/>
  <c r="D7905" i="1"/>
  <c r="D7902" i="1"/>
  <c r="D7901" i="1"/>
  <c r="D7897" i="1"/>
  <c r="D7896" i="1"/>
  <c r="D7895" i="1"/>
  <c r="D7894" i="1"/>
  <c r="D7893" i="1"/>
  <c r="D7892" i="1"/>
  <c r="D7891" i="1"/>
  <c r="D7890" i="1"/>
  <c r="D7889" i="1"/>
  <c r="D7888" i="1"/>
  <c r="D7887" i="1"/>
  <c r="D7886" i="1"/>
  <c r="D7885" i="1"/>
  <c r="D7884" i="1"/>
  <c r="D7881" i="1"/>
  <c r="D7880" i="1"/>
  <c r="D7879" i="1"/>
  <c r="D7876" i="1"/>
  <c r="D7874" i="1"/>
  <c r="D7870" i="1"/>
  <c r="D7869" i="1"/>
  <c r="D7868" i="1"/>
  <c r="D7866" i="1"/>
  <c r="D7865" i="1"/>
  <c r="D7864" i="1"/>
  <c r="D7863" i="1"/>
  <c r="D7862" i="1"/>
  <c r="D7861" i="1"/>
  <c r="D7860" i="1"/>
  <c r="D7859" i="1"/>
  <c r="D7858" i="1"/>
  <c r="D7857" i="1"/>
  <c r="D7856" i="1"/>
  <c r="D7854" i="1"/>
  <c r="D7853" i="1"/>
  <c r="D7850" i="1"/>
  <c r="D7849" i="1"/>
  <c r="D7848" i="1"/>
  <c r="D7847" i="1"/>
  <c r="D7846" i="1"/>
  <c r="D7845" i="1"/>
  <c r="D7844" i="1"/>
  <c r="D7843" i="1"/>
  <c r="D7842" i="1"/>
  <c r="D7841" i="1"/>
  <c r="D7840" i="1"/>
  <c r="D7839" i="1"/>
  <c r="D7838" i="1"/>
  <c r="D7837" i="1"/>
  <c r="D7836" i="1"/>
  <c r="D7835" i="1"/>
  <c r="D7834" i="1"/>
  <c r="D7832" i="1"/>
  <c r="D7831" i="1"/>
  <c r="D7830" i="1"/>
  <c r="D7829" i="1"/>
  <c r="D7828" i="1"/>
  <c r="D7825" i="1"/>
  <c r="D7824" i="1"/>
  <c r="D7823" i="1"/>
  <c r="D7822" i="1"/>
  <c r="D7821" i="1"/>
  <c r="D7820" i="1"/>
  <c r="D7819" i="1"/>
  <c r="D7818" i="1"/>
  <c r="D7817" i="1"/>
  <c r="D7816" i="1"/>
  <c r="D7815" i="1"/>
  <c r="D7814" i="1"/>
  <c r="D7813" i="1"/>
  <c r="D7812" i="1"/>
  <c r="D7811" i="1"/>
  <c r="D7810" i="1"/>
  <c r="D7809" i="1"/>
  <c r="D7808" i="1"/>
  <c r="D7807" i="1"/>
  <c r="D7806" i="1"/>
  <c r="D7804" i="1"/>
  <c r="D7803" i="1"/>
  <c r="D7802" i="1"/>
  <c r="D7801" i="1"/>
  <c r="D7800" i="1"/>
  <c r="D7799" i="1"/>
  <c r="D7797" i="1"/>
  <c r="D7796" i="1"/>
  <c r="D7795" i="1"/>
  <c r="D7794" i="1"/>
  <c r="D7793" i="1"/>
  <c r="D7792" i="1"/>
  <c r="D7791" i="1"/>
  <c r="D7790" i="1"/>
  <c r="D7789" i="1"/>
  <c r="D7788" i="1"/>
  <c r="D7787" i="1"/>
  <c r="D7786" i="1"/>
  <c r="D7785" i="1"/>
  <c r="D7784" i="1"/>
  <c r="D7783" i="1"/>
  <c r="D7782" i="1"/>
  <c r="D7780" i="1"/>
  <c r="D7779" i="1"/>
  <c r="D7778" i="1"/>
  <c r="D7777" i="1"/>
  <c r="D7776" i="1"/>
  <c r="D7775" i="1"/>
  <c r="D7774" i="1"/>
  <c r="D7772" i="1"/>
  <c r="D7771" i="1"/>
  <c r="D7770" i="1"/>
  <c r="D7769" i="1"/>
  <c r="D7768" i="1"/>
  <c r="D7767" i="1"/>
  <c r="D7766" i="1"/>
  <c r="D7765" i="1"/>
  <c r="D7764" i="1"/>
  <c r="D7763" i="1"/>
  <c r="D7761" i="1"/>
  <c r="D7760" i="1"/>
  <c r="D7759" i="1"/>
  <c r="D7758" i="1"/>
  <c r="D7757" i="1"/>
  <c r="D7756" i="1"/>
  <c r="D7755" i="1"/>
  <c r="D7754" i="1"/>
  <c r="D7753" i="1"/>
  <c r="D7752" i="1"/>
  <c r="D7751" i="1"/>
  <c r="D7750" i="1"/>
  <c r="D7749" i="1"/>
  <c r="D7748" i="1"/>
  <c r="D7747" i="1"/>
  <c r="D7746" i="1"/>
  <c r="D7745" i="1"/>
  <c r="D7744" i="1"/>
  <c r="D7743" i="1"/>
  <c r="D7742" i="1"/>
  <c r="D7741" i="1"/>
  <c r="D7740" i="1"/>
  <c r="D7739" i="1"/>
  <c r="D7738" i="1"/>
  <c r="D7737" i="1"/>
  <c r="D7736" i="1"/>
  <c r="D7735" i="1"/>
  <c r="D7734" i="1"/>
  <c r="D7733" i="1"/>
  <c r="D7732" i="1"/>
  <c r="D7731" i="1"/>
  <c r="D7730" i="1"/>
  <c r="D7729" i="1"/>
  <c r="D7728" i="1"/>
  <c r="D7727" i="1"/>
  <c r="D7726" i="1"/>
  <c r="D7725" i="1"/>
  <c r="D7724" i="1"/>
  <c r="D7723" i="1"/>
  <c r="D7722" i="1"/>
  <c r="D7721" i="1"/>
  <c r="D7720" i="1"/>
  <c r="D7719" i="1"/>
  <c r="D7718" i="1"/>
  <c r="D7717" i="1"/>
  <c r="D7716" i="1"/>
  <c r="D7715" i="1"/>
  <c r="D7714" i="1"/>
  <c r="D7713" i="1"/>
  <c r="D7712" i="1"/>
  <c r="D7711" i="1"/>
  <c r="D7710" i="1"/>
  <c r="D7709" i="1"/>
  <c r="D7708" i="1"/>
  <c r="D7707" i="1"/>
  <c r="D7706" i="1"/>
  <c r="D7705" i="1"/>
  <c r="D7704" i="1"/>
  <c r="D7703" i="1"/>
  <c r="D7702" i="1"/>
  <c r="D7701" i="1"/>
  <c r="D7700" i="1"/>
  <c r="D7699" i="1"/>
  <c r="D7698" i="1"/>
  <c r="D7696" i="1"/>
  <c r="D7694" i="1"/>
  <c r="D7693" i="1"/>
  <c r="D7691" i="1"/>
  <c r="D7688" i="1"/>
  <c r="D7687" i="1"/>
  <c r="D7685" i="1"/>
  <c r="D7683" i="1"/>
  <c r="D7679" i="1"/>
  <c r="D7677" i="1"/>
  <c r="D7676" i="1"/>
  <c r="D7675" i="1"/>
  <c r="D7674" i="1"/>
  <c r="D7673" i="1"/>
  <c r="D7672" i="1"/>
  <c r="D7671" i="1"/>
  <c r="D7670" i="1"/>
  <c r="D7669" i="1"/>
  <c r="D7668" i="1"/>
  <c r="D7667" i="1"/>
  <c r="D7666" i="1"/>
  <c r="D7665" i="1"/>
  <c r="D7664" i="1"/>
  <c r="D7663" i="1"/>
  <c r="D7662" i="1"/>
  <c r="D7661" i="1"/>
  <c r="D7660" i="1"/>
  <c r="D7659" i="1"/>
  <c r="D7658" i="1"/>
  <c r="D7657" i="1"/>
  <c r="D7656" i="1"/>
  <c r="D7655" i="1"/>
  <c r="D7654" i="1"/>
  <c r="D7653" i="1"/>
  <c r="D7652" i="1"/>
  <c r="D7651" i="1"/>
  <c r="D7650" i="1"/>
  <c r="D7649" i="1"/>
  <c r="D7648" i="1"/>
  <c r="D7647" i="1"/>
  <c r="D7646" i="1"/>
  <c r="D7645" i="1"/>
  <c r="D7644" i="1"/>
  <c r="D7643" i="1"/>
  <c r="D7642" i="1"/>
  <c r="D7641" i="1"/>
  <c r="D7640" i="1"/>
  <c r="D7639" i="1"/>
  <c r="D7638" i="1"/>
  <c r="D7637" i="1"/>
  <c r="D7636" i="1"/>
  <c r="D7635" i="1"/>
  <c r="D7634" i="1"/>
  <c r="D7633" i="1"/>
  <c r="D7632" i="1"/>
  <c r="D7630" i="1"/>
  <c r="D7629" i="1"/>
  <c r="D7626" i="1"/>
  <c r="D7625" i="1"/>
  <c r="D7624" i="1"/>
  <c r="D7623" i="1"/>
  <c r="D7622" i="1"/>
  <c r="D7621" i="1"/>
  <c r="D7620" i="1"/>
  <c r="D7619" i="1"/>
  <c r="D7617" i="1"/>
  <c r="D7616" i="1"/>
  <c r="D7615" i="1"/>
  <c r="D7614" i="1"/>
  <c r="D7613" i="1"/>
  <c r="D7612" i="1"/>
  <c r="D7610" i="1"/>
  <c r="D7609" i="1"/>
  <c r="D7607" i="1"/>
  <c r="D7606" i="1"/>
  <c r="D7605" i="1"/>
  <c r="D7604" i="1"/>
  <c r="D7603" i="1"/>
  <c r="D7602" i="1"/>
  <c r="D7601" i="1"/>
  <c r="D7600" i="1"/>
  <c r="D7599" i="1"/>
  <c r="D7598" i="1"/>
  <c r="D7597" i="1"/>
  <c r="D7595" i="1"/>
  <c r="D7594" i="1"/>
  <c r="D7592" i="1"/>
  <c r="D7591" i="1"/>
  <c r="D7590" i="1"/>
  <c r="D7589" i="1"/>
  <c r="D7588" i="1"/>
  <c r="D7587" i="1"/>
  <c r="D7586" i="1"/>
  <c r="D7585" i="1"/>
  <c r="D7584" i="1"/>
  <c r="D7583" i="1"/>
  <c r="D7582" i="1"/>
  <c r="D7581" i="1"/>
  <c r="D7580" i="1"/>
  <c r="D7576" i="1"/>
  <c r="D7575" i="1"/>
  <c r="D7574" i="1"/>
  <c r="D7573" i="1"/>
  <c r="D7572" i="1"/>
  <c r="D7571" i="1"/>
  <c r="D7570" i="1"/>
  <c r="D7569" i="1"/>
  <c r="D7568" i="1"/>
  <c r="D7567" i="1"/>
  <c r="D7566" i="1"/>
  <c r="D7565" i="1"/>
  <c r="D7564" i="1"/>
  <c r="D7563" i="1"/>
  <c r="D7562" i="1"/>
  <c r="D7561" i="1"/>
  <c r="D7560" i="1"/>
  <c r="D7559" i="1"/>
  <c r="D7558" i="1"/>
  <c r="D7557" i="1"/>
  <c r="D7556" i="1"/>
  <c r="D7555" i="1"/>
  <c r="D7554" i="1"/>
  <c r="D7553" i="1"/>
  <c r="D7552" i="1"/>
  <c r="D7551" i="1"/>
  <c r="D7550" i="1"/>
  <c r="D7549" i="1"/>
  <c r="D7548" i="1"/>
  <c r="D7547" i="1"/>
  <c r="D7546" i="1"/>
  <c r="D7545" i="1"/>
  <c r="D7544" i="1"/>
  <c r="D7543" i="1"/>
  <c r="D7542" i="1"/>
  <c r="D7541" i="1"/>
  <c r="D7540" i="1"/>
  <c r="D7539" i="1"/>
  <c r="D7538" i="1"/>
  <c r="D7537" i="1"/>
  <c r="D7536" i="1"/>
  <c r="D7535" i="1"/>
  <c r="D7534" i="1"/>
  <c r="D7532" i="1"/>
  <c r="D7528" i="1"/>
  <c r="D7527" i="1"/>
  <c r="D7525" i="1"/>
  <c r="D7524" i="1"/>
  <c r="D7522" i="1"/>
  <c r="D7520" i="1"/>
  <c r="D7516" i="1"/>
  <c r="D7515" i="1"/>
  <c r="D7514" i="1"/>
  <c r="D7513" i="1"/>
  <c r="D7512" i="1"/>
  <c r="D7511" i="1"/>
  <c r="D7510" i="1"/>
  <c r="D7508" i="1"/>
  <c r="D7506" i="1"/>
  <c r="D7505" i="1"/>
  <c r="D7503" i="1"/>
  <c r="D7502" i="1"/>
  <c r="D7501" i="1"/>
  <c r="D7500" i="1"/>
  <c r="D7499" i="1"/>
  <c r="D7498" i="1"/>
  <c r="D7497" i="1"/>
  <c r="D7494" i="1"/>
  <c r="D7493" i="1"/>
  <c r="D7492" i="1"/>
  <c r="D7491" i="1"/>
  <c r="D7490" i="1"/>
  <c r="D7489" i="1"/>
  <c r="D7488" i="1"/>
  <c r="D7487" i="1"/>
  <c r="D7486" i="1"/>
  <c r="D7485" i="1"/>
  <c r="D7484" i="1"/>
  <c r="D7483" i="1"/>
  <c r="D7482" i="1"/>
  <c r="D7481" i="1"/>
  <c r="D7480" i="1"/>
  <c r="D7479" i="1"/>
  <c r="D7478" i="1"/>
  <c r="D7477" i="1"/>
  <c r="D7476" i="1"/>
  <c r="D7474" i="1"/>
  <c r="D7473" i="1"/>
  <c r="D7472" i="1"/>
  <c r="D7471" i="1"/>
  <c r="D7470" i="1"/>
  <c r="D7469" i="1"/>
  <c r="D7468" i="1"/>
  <c r="D7467" i="1"/>
  <c r="D7466" i="1"/>
  <c r="D7465" i="1"/>
  <c r="D7464" i="1"/>
  <c r="D7463" i="1"/>
  <c r="D7460" i="1"/>
  <c r="D7459" i="1"/>
  <c r="D7457" i="1"/>
  <c r="D7456" i="1"/>
  <c r="D7455" i="1"/>
  <c r="D7453" i="1"/>
  <c r="D7451" i="1"/>
  <c r="D7450" i="1"/>
  <c r="D7449" i="1"/>
  <c r="D7448" i="1"/>
  <c r="D7447" i="1"/>
  <c r="D7446" i="1"/>
  <c r="D7445" i="1"/>
  <c r="D7444" i="1"/>
  <c r="D7443" i="1"/>
  <c r="D7442" i="1"/>
  <c r="D7440" i="1"/>
  <c r="D7439" i="1"/>
  <c r="D7438" i="1"/>
  <c r="D7436" i="1"/>
  <c r="D7435" i="1"/>
  <c r="D7434" i="1"/>
  <c r="D7433" i="1"/>
  <c r="D7432" i="1"/>
  <c r="D7431" i="1"/>
  <c r="D7430" i="1"/>
  <c r="D7429" i="1"/>
  <c r="D7428" i="1"/>
  <c r="D7427" i="1"/>
  <c r="D7426" i="1"/>
  <c r="D7425" i="1"/>
  <c r="D7424" i="1"/>
  <c r="D7423" i="1"/>
  <c r="D7422" i="1"/>
  <c r="D7421" i="1"/>
  <c r="D7420" i="1"/>
  <c r="D7419" i="1"/>
  <c r="D7417" i="1"/>
  <c r="D7416" i="1"/>
  <c r="D7415" i="1"/>
  <c r="D7414" i="1"/>
  <c r="D7413" i="1"/>
  <c r="D7412" i="1"/>
  <c r="D7411" i="1"/>
  <c r="D7410" i="1"/>
  <c r="D7408" i="1"/>
  <c r="D7407" i="1"/>
  <c r="D7406" i="1"/>
  <c r="D7405" i="1"/>
  <c r="D7404" i="1"/>
  <c r="D7402" i="1"/>
  <c r="D7401" i="1"/>
  <c r="D7399" i="1"/>
  <c r="D7398" i="1"/>
  <c r="D7397" i="1"/>
  <c r="D7396" i="1"/>
  <c r="D7395" i="1"/>
  <c r="D7394" i="1"/>
  <c r="D7393" i="1"/>
  <c r="D7392" i="1"/>
  <c r="D7391" i="1"/>
  <c r="D7390" i="1"/>
  <c r="D7389" i="1"/>
  <c r="D7388" i="1"/>
  <c r="D7387" i="1"/>
  <c r="D7386" i="1"/>
  <c r="D7385" i="1"/>
  <c r="D7384" i="1"/>
  <c r="D7383" i="1"/>
  <c r="D7382" i="1"/>
  <c r="D7381" i="1"/>
  <c r="D7380" i="1"/>
  <c r="D7379" i="1"/>
  <c r="D7378" i="1"/>
  <c r="D7377" i="1"/>
  <c r="D7376" i="1"/>
  <c r="D7375" i="1"/>
  <c r="D7374" i="1"/>
  <c r="D7373" i="1"/>
  <c r="D7372" i="1"/>
  <c r="D7371" i="1"/>
  <c r="D7370" i="1"/>
  <c r="D7369" i="1"/>
  <c r="D7368" i="1"/>
  <c r="D7367" i="1"/>
  <c r="D7366" i="1"/>
  <c r="D7365" i="1"/>
  <c r="D7364" i="1"/>
  <c r="D7363" i="1"/>
  <c r="D7362" i="1"/>
  <c r="D7360" i="1"/>
  <c r="D7357" i="1"/>
  <c r="D7354" i="1" l="1"/>
  <c r="D7352" i="1"/>
  <c r="D7350" i="1"/>
  <c r="D7349" i="1"/>
  <c r="D7347" i="1"/>
  <c r="D7346" i="1"/>
  <c r="D7342" i="1"/>
  <c r="D7340" i="1"/>
  <c r="D7339" i="1"/>
  <c r="D7338" i="1"/>
  <c r="D7337" i="1"/>
  <c r="D7336" i="1"/>
  <c r="D7335" i="1"/>
  <c r="D7334" i="1"/>
  <c r="D7333" i="1"/>
  <c r="D7332" i="1"/>
  <c r="D7331" i="1"/>
  <c r="D7330" i="1"/>
  <c r="D7329" i="1"/>
  <c r="D7328" i="1"/>
  <c r="D7327" i="1"/>
  <c r="D7324" i="1"/>
  <c r="D7322" i="1"/>
  <c r="D7321" i="1"/>
  <c r="D7320" i="1"/>
  <c r="D7319" i="1"/>
  <c r="D7318" i="1"/>
  <c r="D7317" i="1"/>
  <c r="D7316" i="1"/>
  <c r="D7315" i="1"/>
  <c r="D7314" i="1"/>
  <c r="D7313" i="1"/>
  <c r="D7312" i="1"/>
  <c r="D7311" i="1"/>
  <c r="D7310" i="1"/>
  <c r="D7309" i="1"/>
  <c r="D7308" i="1"/>
  <c r="D7307" i="1"/>
  <c r="D7306" i="1"/>
  <c r="D7305" i="1"/>
  <c r="D7304" i="1"/>
  <c r="D7303" i="1"/>
  <c r="D7302" i="1"/>
  <c r="D7300" i="1"/>
  <c r="D7299" i="1"/>
  <c r="D7298" i="1"/>
  <c r="D7297" i="1"/>
  <c r="D7296" i="1"/>
  <c r="D7295" i="1"/>
  <c r="D7294" i="1"/>
  <c r="D7293" i="1"/>
  <c r="D7292" i="1"/>
  <c r="D7291" i="1"/>
  <c r="D7290" i="1"/>
  <c r="D7289" i="1"/>
  <c r="D7288" i="1"/>
  <c r="D7287" i="1"/>
  <c r="D7286" i="1"/>
  <c r="D7285" i="1"/>
  <c r="D7284" i="1"/>
  <c r="D7283" i="1"/>
  <c r="D7282" i="1"/>
  <c r="D7281" i="1"/>
  <c r="D7280" i="1"/>
  <c r="D7279" i="1"/>
  <c r="D7278" i="1"/>
  <c r="D7277" i="1"/>
  <c r="D7276" i="1"/>
  <c r="D7275" i="1"/>
  <c r="D7274" i="1"/>
  <c r="D7273" i="1"/>
  <c r="D7272" i="1"/>
  <c r="D7271" i="1"/>
  <c r="D7270" i="1"/>
  <c r="D7269" i="1"/>
  <c r="D7266" i="1"/>
  <c r="D7264" i="1"/>
  <c r="D7263" i="1"/>
  <c r="D7262" i="1"/>
  <c r="D7261" i="1"/>
  <c r="D7260" i="1"/>
  <c r="D7259" i="1"/>
  <c r="D7258" i="1"/>
  <c r="D7257" i="1"/>
  <c r="D7256" i="1"/>
  <c r="D7255" i="1"/>
  <c r="D7254" i="1"/>
  <c r="D7253" i="1"/>
  <c r="D7251" i="1"/>
  <c r="D7249" i="1"/>
  <c r="D7248" i="1"/>
  <c r="D7247" i="1"/>
  <c r="D7246" i="1"/>
  <c r="D7245" i="1"/>
  <c r="D7244" i="1"/>
  <c r="D7243" i="1"/>
  <c r="D7242" i="1"/>
  <c r="D7241" i="1"/>
  <c r="D7240" i="1"/>
  <c r="D7239" i="1"/>
  <c r="D7238" i="1"/>
  <c r="D7237" i="1"/>
  <c r="D7236" i="1"/>
  <c r="D7235" i="1"/>
  <c r="D7234" i="1"/>
  <c r="D7232" i="1"/>
  <c r="D7231" i="1"/>
  <c r="D7230" i="1"/>
  <c r="D7229" i="1"/>
  <c r="D7228" i="1"/>
  <c r="D7227" i="1"/>
  <c r="D7226" i="1"/>
  <c r="D7225" i="1"/>
  <c r="D7223" i="1"/>
  <c r="D7221" i="1"/>
  <c r="D7220" i="1"/>
  <c r="D7219" i="1"/>
  <c r="D7218" i="1"/>
  <c r="D7217" i="1"/>
  <c r="D7216" i="1"/>
  <c r="D7214" i="1"/>
  <c r="D7213" i="1"/>
  <c r="D7212" i="1"/>
  <c r="D7211" i="1"/>
  <c r="D7210" i="1"/>
  <c r="D7209" i="1"/>
  <c r="D7208" i="1"/>
  <c r="D7207" i="1"/>
  <c r="D7206" i="1"/>
  <c r="D7205" i="1"/>
  <c r="D7204" i="1"/>
  <c r="D7203" i="1"/>
  <c r="D7202" i="1"/>
  <c r="D7201" i="1"/>
  <c r="D7200" i="1"/>
  <c r="D7198" i="1"/>
  <c r="D7197" i="1"/>
  <c r="D7195" i="1"/>
  <c r="D7194" i="1"/>
  <c r="D7193" i="1"/>
  <c r="D7192" i="1"/>
  <c r="D7191" i="1"/>
  <c r="D7190" i="1"/>
  <c r="D7189" i="1"/>
  <c r="D7188" i="1"/>
  <c r="D7187" i="1"/>
  <c r="D7186" i="1"/>
  <c r="D7185" i="1"/>
  <c r="D7184" i="1"/>
  <c r="D7183" i="1"/>
  <c r="D7182" i="1"/>
  <c r="D7181" i="1"/>
  <c r="D7179" i="1"/>
  <c r="D7178" i="1"/>
  <c r="D7177" i="1"/>
  <c r="D7176" i="1"/>
  <c r="D7175" i="1"/>
  <c r="D7174" i="1"/>
  <c r="D7173" i="1"/>
  <c r="D7172" i="1"/>
  <c r="D7171" i="1"/>
  <c r="D7170" i="1"/>
  <c r="D7169" i="1"/>
  <c r="D7168" i="1"/>
  <c r="D7167" i="1"/>
  <c r="D7166" i="1"/>
  <c r="D7165" i="1"/>
  <c r="D7164" i="1"/>
  <c r="D7162" i="1"/>
  <c r="D7160" i="1"/>
  <c r="D7159" i="1"/>
  <c r="D7158" i="1"/>
  <c r="D7157" i="1"/>
  <c r="D7156" i="1"/>
  <c r="D7155" i="1"/>
  <c r="D7153" i="1"/>
  <c r="D7152" i="1"/>
  <c r="D7151" i="1"/>
  <c r="D7150" i="1"/>
  <c r="D7149" i="1"/>
  <c r="D7148" i="1"/>
  <c r="D7147" i="1"/>
  <c r="D7146" i="1"/>
  <c r="D7145" i="1"/>
  <c r="D7144" i="1"/>
  <c r="D7143" i="1"/>
  <c r="D7142" i="1"/>
  <c r="D7141" i="1"/>
  <c r="D7140" i="1"/>
  <c r="D7139" i="1"/>
  <c r="D7138" i="1"/>
  <c r="D7137" i="1"/>
  <c r="D7136" i="1"/>
  <c r="D7135" i="1"/>
  <c r="D7134" i="1"/>
  <c r="D7133" i="1"/>
  <c r="D7132" i="1"/>
  <c r="D7131" i="1"/>
  <c r="D7130" i="1"/>
  <c r="D7129" i="1"/>
  <c r="D7128" i="1"/>
  <c r="D7127" i="1"/>
  <c r="D7126" i="1"/>
  <c r="D7125" i="1"/>
  <c r="D7124" i="1"/>
  <c r="D7123" i="1"/>
  <c r="D7122" i="1"/>
  <c r="D7121" i="1"/>
  <c r="D7120" i="1"/>
  <c r="D7119" i="1"/>
  <c r="D7118" i="1"/>
  <c r="D7117" i="1"/>
  <c r="D7116" i="1"/>
  <c r="D7115" i="1"/>
  <c r="D7114" i="1"/>
  <c r="D7113" i="1"/>
  <c r="D7112" i="1"/>
  <c r="D7111" i="1"/>
  <c r="D7110" i="1"/>
  <c r="D7109" i="1"/>
  <c r="D7108" i="1"/>
  <c r="D7107" i="1"/>
  <c r="D7106" i="1"/>
  <c r="D7105" i="1"/>
  <c r="D7104" i="1"/>
  <c r="D7103" i="1"/>
  <c r="D7102" i="1"/>
  <c r="D7101" i="1"/>
  <c r="D7100" i="1"/>
  <c r="D7099" i="1"/>
  <c r="D7098" i="1"/>
  <c r="D7097" i="1"/>
  <c r="D7096" i="1"/>
  <c r="D7095" i="1"/>
  <c r="D7094" i="1"/>
  <c r="D7093" i="1"/>
  <c r="D7092" i="1"/>
  <c r="D7091" i="1"/>
  <c r="D7090" i="1"/>
  <c r="D7089" i="1"/>
  <c r="D7088" i="1"/>
  <c r="D7087" i="1"/>
  <c r="D7085" i="1"/>
  <c r="D7082" i="1"/>
  <c r="D7081" i="1"/>
  <c r="D7079" i="1"/>
  <c r="D7076" i="1"/>
  <c r="D7075" i="1"/>
  <c r="D7073" i="1"/>
  <c r="D7071" i="1"/>
  <c r="D7067" i="1"/>
  <c r="D7066" i="1"/>
  <c r="D7064" i="1"/>
  <c r="D7063" i="1"/>
  <c r="D7061" i="1"/>
  <c r="D7060" i="1"/>
  <c r="D7058" i="1"/>
  <c r="D7057" i="1"/>
  <c r="D7056" i="1"/>
  <c r="D7055" i="1"/>
  <c r="D7054" i="1"/>
  <c r="D7053" i="1"/>
  <c r="D7052" i="1"/>
  <c r="D7051" i="1"/>
  <c r="D7050" i="1"/>
  <c r="D7049" i="1"/>
  <c r="D7048" i="1"/>
  <c r="D7047" i="1"/>
  <c r="D7046" i="1"/>
  <c r="D7045" i="1"/>
  <c r="D7044" i="1"/>
  <c r="D7043" i="1"/>
  <c r="D7042" i="1"/>
  <c r="D7041" i="1"/>
  <c r="D7040" i="1"/>
  <c r="D7039" i="1"/>
  <c r="D7038" i="1"/>
  <c r="D7037" i="1"/>
  <c r="D7036" i="1"/>
  <c r="D7035" i="1"/>
  <c r="D7034" i="1"/>
  <c r="D7033" i="1"/>
  <c r="D7032" i="1"/>
  <c r="D7031" i="1"/>
  <c r="D7030" i="1"/>
  <c r="D7028" i="1"/>
  <c r="D7027" i="1"/>
  <c r="D7026" i="1"/>
  <c r="D7025" i="1"/>
  <c r="D7024" i="1"/>
  <c r="D7021" i="1"/>
  <c r="D7019" i="1"/>
  <c r="D7017" i="1"/>
  <c r="D7016" i="1"/>
  <c r="D7015" i="1"/>
  <c r="D7014" i="1"/>
  <c r="D7013" i="1"/>
  <c r="D7012" i="1"/>
  <c r="D7011" i="1"/>
  <c r="D7010" i="1"/>
  <c r="D7009" i="1"/>
  <c r="D7008" i="1"/>
  <c r="D7007" i="1"/>
  <c r="D7006" i="1"/>
  <c r="D7005" i="1"/>
  <c r="D7004" i="1"/>
  <c r="D7003" i="1"/>
  <c r="D7002" i="1"/>
  <c r="D7001" i="1"/>
  <c r="D7000" i="1"/>
  <c r="D6999" i="1"/>
  <c r="D6998" i="1"/>
  <c r="D6997" i="1"/>
  <c r="D6994" i="1"/>
  <c r="D6993" i="1"/>
  <c r="D6992" i="1"/>
  <c r="D6991" i="1"/>
  <c r="D6990" i="1"/>
  <c r="D6989" i="1"/>
  <c r="D6988" i="1"/>
  <c r="D6987" i="1"/>
  <c r="D6986" i="1"/>
  <c r="D6984" i="1"/>
  <c r="D6983" i="1"/>
  <c r="D6982" i="1"/>
  <c r="D6981" i="1"/>
  <c r="D6980" i="1"/>
  <c r="D6979" i="1"/>
  <c r="D6978" i="1"/>
  <c r="D6977" i="1"/>
  <c r="D6976" i="1"/>
  <c r="D6975" i="1"/>
  <c r="D6974" i="1"/>
  <c r="D6972" i="1"/>
  <c r="D6971" i="1"/>
  <c r="D6970" i="1"/>
  <c r="D6969" i="1"/>
  <c r="D6968" i="1"/>
  <c r="D6967" i="1"/>
  <c r="D6965" i="1"/>
  <c r="D6964" i="1"/>
  <c r="D6963" i="1"/>
  <c r="D6962" i="1"/>
  <c r="D6961" i="1"/>
  <c r="D6960" i="1"/>
  <c r="D6959" i="1"/>
  <c r="D6958" i="1"/>
  <c r="D6957" i="1"/>
  <c r="D6956" i="1"/>
  <c r="D6955" i="1"/>
  <c r="D6954" i="1"/>
  <c r="D6953" i="1"/>
  <c r="D6952" i="1"/>
  <c r="D6951" i="1"/>
  <c r="D6949" i="1"/>
  <c r="D6948" i="1"/>
  <c r="D6947" i="1"/>
  <c r="D6946" i="1"/>
  <c r="D6945" i="1"/>
  <c r="D6944" i="1"/>
  <c r="D6943" i="1"/>
  <c r="D6942" i="1"/>
  <c r="D6941" i="1"/>
  <c r="D6940" i="1"/>
  <c r="D6939" i="1"/>
  <c r="D6938" i="1"/>
  <c r="D6937" i="1"/>
  <c r="D6936" i="1"/>
  <c r="D6935" i="1"/>
  <c r="D6934" i="1"/>
  <c r="D6933" i="1"/>
  <c r="D6932" i="1"/>
  <c r="D6931" i="1"/>
  <c r="D6930" i="1"/>
  <c r="D6929" i="1"/>
  <c r="D6928" i="1"/>
  <c r="D6927" i="1"/>
  <c r="D6926" i="1"/>
  <c r="D6925" i="1"/>
  <c r="D6924" i="1"/>
  <c r="D6923" i="1"/>
  <c r="D6922" i="1"/>
  <c r="D6921" i="1"/>
  <c r="D6920" i="1"/>
  <c r="D6919" i="1"/>
  <c r="D6918" i="1"/>
  <c r="D6917" i="1"/>
  <c r="D6916" i="1"/>
  <c r="D6915" i="1"/>
  <c r="D6914" i="1"/>
  <c r="D6913" i="1"/>
  <c r="D6912" i="1"/>
  <c r="D6911" i="1"/>
  <c r="D6910" i="1"/>
  <c r="D6909" i="1"/>
  <c r="D6908" i="1"/>
  <c r="D6907" i="1"/>
  <c r="D6906" i="1"/>
  <c r="D6905" i="1"/>
  <c r="D6904" i="1"/>
  <c r="D6903" i="1"/>
  <c r="D6902" i="1"/>
  <c r="D6901" i="1"/>
  <c r="D6900" i="1"/>
  <c r="D6899" i="1"/>
  <c r="D6898" i="1"/>
  <c r="D6897" i="1"/>
  <c r="D6896" i="1"/>
  <c r="D6894" i="1"/>
  <c r="D6893" i="1"/>
  <c r="D6892" i="1"/>
  <c r="D6888" i="1"/>
  <c r="D6887" i="1"/>
  <c r="D6886" i="1"/>
  <c r="D6882" i="1"/>
  <c r="D6878" i="1" l="1"/>
  <c r="D6876" i="1"/>
  <c r="D6875" i="1"/>
  <c r="D6874" i="1"/>
  <c r="D6872" i="1"/>
  <c r="D6868" i="1"/>
  <c r="D6867" i="1"/>
  <c r="D6866" i="1"/>
  <c r="D6863" i="1"/>
  <c r="D6862" i="1"/>
  <c r="D6861" i="1"/>
  <c r="D6860" i="1"/>
  <c r="D6859" i="1"/>
  <c r="D6858" i="1"/>
  <c r="D6857" i="1"/>
  <c r="D6856" i="1"/>
  <c r="D6855" i="1"/>
  <c r="D6854" i="1"/>
  <c r="D6853" i="1"/>
  <c r="D6852" i="1"/>
  <c r="D6851" i="1"/>
  <c r="D6850" i="1"/>
  <c r="D6849" i="1"/>
  <c r="D6848" i="1"/>
  <c r="D6847" i="1"/>
  <c r="D6845" i="1"/>
  <c r="D6842" i="1"/>
  <c r="D6840" i="1"/>
  <c r="D6839" i="1"/>
  <c r="D6838" i="1"/>
  <c r="D6837" i="1"/>
  <c r="D6836" i="1"/>
  <c r="D6835" i="1"/>
  <c r="D6834" i="1"/>
  <c r="D6833" i="1"/>
  <c r="D6832" i="1"/>
  <c r="D6831" i="1"/>
  <c r="D6830" i="1"/>
  <c r="D6829" i="1"/>
  <c r="D6828" i="1"/>
  <c r="D6827" i="1"/>
  <c r="D6826" i="1"/>
  <c r="D6825" i="1"/>
  <c r="D6824" i="1"/>
  <c r="D6822" i="1"/>
  <c r="D6820" i="1"/>
  <c r="D6819" i="1"/>
  <c r="D6818" i="1"/>
  <c r="D6817" i="1"/>
  <c r="D6816" i="1"/>
  <c r="D6815" i="1"/>
  <c r="D6814" i="1"/>
  <c r="D6813" i="1"/>
  <c r="D6812" i="1"/>
  <c r="D6811" i="1"/>
  <c r="D6810" i="1"/>
  <c r="D6809" i="1"/>
  <c r="D6808" i="1"/>
  <c r="D6807" i="1"/>
  <c r="D6806" i="1"/>
  <c r="D6805" i="1"/>
  <c r="D6804" i="1"/>
  <c r="D6803" i="1"/>
  <c r="D6801" i="1"/>
  <c r="D6800" i="1"/>
  <c r="D6799" i="1"/>
  <c r="D6797" i="1"/>
  <c r="D6794" i="1"/>
  <c r="D6793" i="1"/>
  <c r="D6792" i="1"/>
  <c r="D6791" i="1"/>
  <c r="D6790" i="1"/>
  <c r="D6789" i="1"/>
  <c r="D6788" i="1"/>
  <c r="D6787" i="1"/>
  <c r="D6786" i="1"/>
  <c r="D6785" i="1"/>
  <c r="D6784" i="1"/>
  <c r="D6783" i="1"/>
  <c r="D6782" i="1"/>
  <c r="D6780" i="1"/>
  <c r="D6779" i="1"/>
  <c r="D6778" i="1"/>
  <c r="D6777" i="1"/>
  <c r="D6775" i="1"/>
  <c r="D6774" i="1"/>
  <c r="D6773" i="1"/>
  <c r="D6772" i="1"/>
  <c r="D6771" i="1"/>
  <c r="D6770" i="1"/>
  <c r="D6769" i="1"/>
  <c r="D6768" i="1"/>
  <c r="D6767" i="1"/>
  <c r="D6766" i="1"/>
  <c r="D6764" i="1"/>
  <c r="D6763" i="1"/>
  <c r="D6762" i="1"/>
  <c r="D6761" i="1"/>
  <c r="D6760" i="1"/>
  <c r="D6759" i="1"/>
  <c r="D6758" i="1"/>
  <c r="D6757" i="1"/>
  <c r="D6756" i="1"/>
  <c r="D6755" i="1"/>
  <c r="D6754" i="1"/>
  <c r="D6753" i="1"/>
  <c r="D6752" i="1"/>
  <c r="D6751" i="1"/>
  <c r="D6750" i="1"/>
  <c r="D6749" i="1"/>
  <c r="D6748" i="1"/>
  <c r="D6747" i="1"/>
  <c r="D6746" i="1"/>
  <c r="D6745" i="1"/>
  <c r="D6744" i="1"/>
  <c r="D6743" i="1"/>
  <c r="D6742" i="1"/>
  <c r="D6741" i="1"/>
  <c r="D6740" i="1"/>
  <c r="D6739" i="1"/>
  <c r="D6738" i="1"/>
  <c r="D6737" i="1"/>
  <c r="D6736" i="1"/>
  <c r="D6735" i="1"/>
  <c r="D6734" i="1"/>
  <c r="D6733" i="1"/>
  <c r="D6732" i="1"/>
  <c r="D6731" i="1"/>
  <c r="D6730" i="1"/>
  <c r="D6729" i="1"/>
  <c r="D6728" i="1"/>
  <c r="D6727" i="1"/>
  <c r="D6726" i="1"/>
  <c r="D6725" i="1"/>
  <c r="D6724" i="1"/>
  <c r="D6723" i="1"/>
  <c r="D6722" i="1"/>
  <c r="D6721" i="1"/>
  <c r="D6720" i="1"/>
  <c r="D6719" i="1"/>
  <c r="D6718" i="1"/>
  <c r="D6717" i="1"/>
  <c r="D6716" i="1"/>
  <c r="D6715" i="1"/>
  <c r="D6714" i="1"/>
  <c r="D6713" i="1"/>
  <c r="D6712" i="1"/>
  <c r="D6711" i="1"/>
  <c r="D6710" i="1"/>
  <c r="D6709" i="1"/>
  <c r="D6708" i="1"/>
  <c r="D6706" i="1"/>
  <c r="D6705" i="1"/>
  <c r="D6704" i="1"/>
  <c r="D6703" i="1"/>
  <c r="D6699" i="1"/>
  <c r="D6698" i="1"/>
  <c r="D6695" i="1"/>
  <c r="D6692" i="1" l="1"/>
  <c r="D6690" i="1"/>
  <c r="D6689" i="1"/>
  <c r="D6688" i="1"/>
  <c r="D6686" i="1"/>
  <c r="D6685" i="1"/>
  <c r="D6681" i="1"/>
  <c r="D6678" i="1"/>
  <c r="D6677" i="1"/>
  <c r="D6675" i="1"/>
  <c r="D6673" i="1"/>
  <c r="D6672" i="1"/>
  <c r="D6671" i="1"/>
  <c r="D6670" i="1"/>
  <c r="D6669" i="1"/>
  <c r="D6668" i="1"/>
  <c r="D6667" i="1"/>
  <c r="D6666" i="1"/>
  <c r="D6665" i="1"/>
  <c r="D6664" i="1"/>
  <c r="D6662" i="1"/>
  <c r="D6661" i="1"/>
  <c r="D6660" i="1"/>
  <c r="D6657" i="1"/>
  <c r="D6655" i="1"/>
  <c r="D6654" i="1"/>
  <c r="D6653" i="1"/>
  <c r="D6652" i="1"/>
  <c r="D6651" i="1"/>
  <c r="D6647" i="1"/>
  <c r="D6646" i="1"/>
  <c r="D6645" i="1"/>
  <c r="D6644" i="1"/>
  <c r="D6643" i="1"/>
  <c r="D6642" i="1"/>
  <c r="D6641" i="1"/>
  <c r="D6640" i="1"/>
  <c r="D6639" i="1"/>
  <c r="D6637" i="1"/>
  <c r="D6636" i="1"/>
  <c r="D6634" i="1"/>
  <c r="D6633" i="1"/>
  <c r="D6632" i="1"/>
  <c r="D6631" i="1"/>
  <c r="D6630" i="1"/>
  <c r="D6629" i="1"/>
  <c r="D6628" i="1"/>
  <c r="D6627" i="1"/>
  <c r="D6626" i="1"/>
  <c r="D6625" i="1"/>
  <c r="D6624" i="1"/>
  <c r="D6623" i="1"/>
  <c r="D6622" i="1"/>
  <c r="D6621" i="1"/>
  <c r="D6620" i="1"/>
  <c r="D6619" i="1"/>
  <c r="D6618" i="1"/>
  <c r="D6616" i="1"/>
  <c r="D6615" i="1"/>
  <c r="D6613" i="1"/>
  <c r="D6612" i="1"/>
  <c r="D6611" i="1"/>
  <c r="D6610" i="1"/>
  <c r="D6609" i="1"/>
  <c r="D6608" i="1"/>
  <c r="D6606" i="1"/>
  <c r="D6605" i="1"/>
  <c r="D6604" i="1"/>
  <c r="D6603" i="1"/>
  <c r="D6602" i="1"/>
  <c r="D6601" i="1"/>
  <c r="D6599" i="1"/>
  <c r="D6598" i="1"/>
  <c r="D6597" i="1"/>
  <c r="D6596" i="1"/>
  <c r="D6595" i="1"/>
  <c r="D6594" i="1"/>
  <c r="D6593" i="1"/>
  <c r="D6592" i="1"/>
  <c r="D6591" i="1"/>
  <c r="D6589" i="1"/>
  <c r="D6588" i="1"/>
  <c r="D6587" i="1"/>
  <c r="D6586" i="1"/>
  <c r="D6585" i="1"/>
  <c r="D6584" i="1"/>
  <c r="D6583" i="1"/>
  <c r="D6582" i="1"/>
  <c r="D6581" i="1"/>
  <c r="D6580" i="1"/>
  <c r="D6579" i="1"/>
  <c r="D6578" i="1"/>
  <c r="D6577" i="1"/>
  <c r="D6576" i="1"/>
  <c r="D6575" i="1"/>
  <c r="D6574" i="1"/>
  <c r="D6573" i="1"/>
  <c r="D6572" i="1"/>
  <c r="D6571" i="1"/>
  <c r="D6570" i="1"/>
  <c r="D6569" i="1"/>
  <c r="D6568" i="1"/>
  <c r="D6567" i="1"/>
  <c r="D6566" i="1"/>
  <c r="D6565" i="1"/>
  <c r="D6564" i="1"/>
  <c r="D6563" i="1"/>
  <c r="D6562" i="1"/>
  <c r="D6561" i="1"/>
  <c r="D6560" i="1"/>
  <c r="D6559" i="1"/>
  <c r="D6558" i="1"/>
  <c r="D6557" i="1"/>
  <c r="D6556" i="1"/>
  <c r="D6555" i="1"/>
  <c r="D6554" i="1"/>
  <c r="D6553" i="1"/>
  <c r="D6552" i="1"/>
  <c r="D6551" i="1"/>
  <c r="D6550" i="1"/>
  <c r="D6549" i="1"/>
  <c r="D6548" i="1"/>
  <c r="D6547" i="1"/>
  <c r="D6546" i="1"/>
  <c r="D6544" i="1"/>
  <c r="D6543" i="1"/>
  <c r="D6539" i="1"/>
  <c r="D6536" i="1"/>
  <c r="D6535" i="1"/>
  <c r="D6532" i="1" l="1"/>
  <c r="D6531" i="1"/>
  <c r="D6529" i="1"/>
  <c r="D6527" i="1"/>
  <c r="D6526" i="1"/>
  <c r="D6525" i="1"/>
  <c r="D6524" i="1"/>
  <c r="D6523" i="1"/>
  <c r="D6522" i="1"/>
  <c r="D6521" i="1"/>
  <c r="D6517" i="1"/>
  <c r="D6516" i="1"/>
  <c r="D6515" i="1"/>
  <c r="D6513" i="1"/>
  <c r="D6511" i="1"/>
  <c r="D6510" i="1"/>
  <c r="D6509" i="1"/>
  <c r="D6508" i="1"/>
  <c r="D6507" i="1"/>
  <c r="D6506" i="1"/>
  <c r="D6504" i="1"/>
  <c r="D6501" i="1"/>
  <c r="D6500" i="1"/>
  <c r="D6499" i="1"/>
  <c r="D6498" i="1"/>
  <c r="D6497" i="1"/>
  <c r="D6496" i="1"/>
  <c r="D6494" i="1"/>
  <c r="D6493" i="1"/>
  <c r="D6489" i="1"/>
  <c r="D6488" i="1"/>
  <c r="D6487" i="1"/>
  <c r="D6486" i="1"/>
  <c r="D6485" i="1"/>
  <c r="D6484" i="1"/>
  <c r="D6483" i="1"/>
  <c r="D6482" i="1"/>
  <c r="D6481" i="1"/>
  <c r="D6480" i="1"/>
  <c r="D6479" i="1"/>
  <c r="D6478" i="1"/>
  <c r="D6477" i="1"/>
  <c r="D6476" i="1"/>
  <c r="D6475" i="1"/>
  <c r="D6472" i="1"/>
  <c r="D6471" i="1"/>
  <c r="D6470" i="1"/>
  <c r="D6469" i="1"/>
  <c r="D6468" i="1"/>
  <c r="D6467" i="1"/>
  <c r="D6466" i="1"/>
  <c r="D6465" i="1"/>
  <c r="D6464" i="1"/>
  <c r="D6463" i="1"/>
  <c r="D6462" i="1"/>
  <c r="D6461" i="1"/>
  <c r="D6460" i="1"/>
  <c r="D6459" i="1"/>
  <c r="D6458" i="1"/>
  <c r="D6457" i="1"/>
  <c r="D6456" i="1"/>
  <c r="D6455" i="1"/>
  <c r="D6453" i="1"/>
  <c r="D6452" i="1"/>
  <c r="D6451" i="1"/>
  <c r="D6450" i="1"/>
  <c r="D6449" i="1"/>
  <c r="D6448" i="1"/>
  <c r="D6446" i="1"/>
  <c r="D6445" i="1"/>
  <c r="D6444" i="1"/>
  <c r="D6443" i="1"/>
  <c r="D6442" i="1"/>
  <c r="D6440" i="1"/>
  <c r="D6439" i="1"/>
  <c r="D6438" i="1"/>
  <c r="D6436" i="1"/>
  <c r="D6435" i="1"/>
  <c r="D6433" i="1"/>
  <c r="D6432" i="1"/>
  <c r="D6431" i="1"/>
  <c r="D6430" i="1"/>
  <c r="D6429" i="1"/>
  <c r="D6428" i="1"/>
  <c r="D6427" i="1"/>
  <c r="D6426" i="1"/>
  <c r="D6424" i="1"/>
  <c r="D6423" i="1"/>
  <c r="D6422" i="1"/>
  <c r="D6421" i="1"/>
  <c r="D6420" i="1"/>
  <c r="D6419" i="1"/>
  <c r="D6418" i="1"/>
  <c r="D6416" i="1"/>
  <c r="D6415" i="1"/>
  <c r="D6414" i="1"/>
  <c r="D6413" i="1"/>
  <c r="D6412" i="1"/>
  <c r="D6411" i="1"/>
  <c r="D6410" i="1"/>
  <c r="D6409" i="1"/>
  <c r="D6408" i="1"/>
  <c r="D6407" i="1"/>
  <c r="D6406" i="1"/>
  <c r="D6405" i="1"/>
  <c r="D6404" i="1"/>
  <c r="D6403" i="1"/>
  <c r="D6402" i="1"/>
  <c r="D6401" i="1"/>
  <c r="D6400" i="1"/>
  <c r="D6399" i="1"/>
  <c r="D6398" i="1"/>
  <c r="D6397" i="1"/>
  <c r="D6396" i="1"/>
  <c r="D6395" i="1"/>
  <c r="D6394" i="1"/>
  <c r="D6393" i="1"/>
  <c r="D6392" i="1"/>
  <c r="D6391" i="1"/>
  <c r="D6390" i="1"/>
  <c r="D6389" i="1"/>
  <c r="D6388" i="1"/>
  <c r="D6387" i="1"/>
  <c r="D6386" i="1"/>
  <c r="D6385" i="1"/>
  <c r="D6384" i="1"/>
  <c r="D6383" i="1"/>
  <c r="D6382" i="1"/>
  <c r="D6381" i="1"/>
  <c r="D6380" i="1"/>
  <c r="D6379" i="1"/>
  <c r="D6378" i="1"/>
  <c r="D6377" i="1"/>
  <c r="D6376" i="1"/>
  <c r="D6375" i="1"/>
  <c r="D6374" i="1"/>
  <c r="D6373" i="1"/>
  <c r="D6372" i="1"/>
  <c r="D6371" i="1"/>
  <c r="D6370" i="1"/>
  <c r="D6369" i="1"/>
  <c r="D6368" i="1"/>
  <c r="D6367" i="1"/>
  <c r="D6366" i="1"/>
  <c r="D6365" i="1"/>
  <c r="D6364" i="1"/>
  <c r="D6363" i="1"/>
  <c r="D6362" i="1"/>
  <c r="D6361" i="1"/>
  <c r="D6360" i="1"/>
  <c r="D6359" i="1"/>
  <c r="D6358" i="1"/>
  <c r="D6357" i="1"/>
  <c r="D6356" i="1"/>
  <c r="D6355" i="1"/>
  <c r="D6354" i="1"/>
  <c r="D6353" i="1"/>
  <c r="D6352" i="1"/>
  <c r="D6351" i="1"/>
  <c r="D6350" i="1"/>
  <c r="D6349" i="1"/>
  <c r="D6348" i="1"/>
  <c r="D6347" i="1"/>
  <c r="D6346" i="1"/>
  <c r="D6345" i="1"/>
  <c r="D6344" i="1"/>
  <c r="D6343" i="1"/>
  <c r="D6342" i="1"/>
  <c r="D6340" i="1"/>
  <c r="D6339" i="1"/>
  <c r="D6338" i="1"/>
  <c r="D6334" i="1"/>
  <c r="D6331" i="1"/>
  <c r="D6328" i="1" l="1"/>
  <c r="D6326" i="1"/>
  <c r="D6325" i="1"/>
  <c r="D6324" i="1"/>
  <c r="D6323" i="1"/>
  <c r="D6320" i="1"/>
  <c r="D6319" i="1"/>
  <c r="D6316" i="1"/>
  <c r="D6315" i="1"/>
  <c r="D6312" i="1" l="1"/>
  <c r="D6310" i="1"/>
  <c r="D6309" i="1"/>
  <c r="D6307" i="1"/>
  <c r="D6306" i="1"/>
  <c r="D6305" i="1"/>
  <c r="D6304" i="1"/>
  <c r="D6300" i="1"/>
  <c r="D6299" i="1"/>
  <c r="D6298" i="1"/>
  <c r="D6297" i="1"/>
  <c r="D6296" i="1"/>
  <c r="D6295" i="1"/>
  <c r="D6294" i="1"/>
  <c r="D6292" i="1"/>
  <c r="D6291" i="1"/>
  <c r="D6289" i="1"/>
  <c r="D6288" i="1"/>
  <c r="D6286" i="1"/>
  <c r="D6285" i="1"/>
  <c r="D6284" i="1"/>
  <c r="D6283" i="1"/>
  <c r="D6282" i="1"/>
  <c r="D6281" i="1"/>
  <c r="D6280" i="1"/>
  <c r="D6279" i="1"/>
  <c r="D6278" i="1"/>
  <c r="D6277" i="1"/>
  <c r="D6276" i="1"/>
  <c r="D6275" i="1"/>
  <c r="D6273" i="1"/>
  <c r="D6272" i="1"/>
  <c r="D6271" i="1"/>
  <c r="D6270" i="1"/>
  <c r="D6269" i="1"/>
  <c r="D6266" i="1"/>
  <c r="D6264" i="1"/>
  <c r="D6263" i="1"/>
  <c r="D6262" i="1"/>
  <c r="D6260" i="1"/>
  <c r="D6259" i="1"/>
  <c r="D6258" i="1"/>
  <c r="D6257" i="1"/>
  <c r="D6256" i="1"/>
  <c r="D6255" i="1"/>
  <c r="D6254" i="1"/>
  <c r="D6253" i="1"/>
  <c r="D6252" i="1"/>
  <c r="D6251" i="1"/>
  <c r="D6250" i="1"/>
  <c r="D6249" i="1"/>
  <c r="D6248" i="1"/>
  <c r="D6247" i="1"/>
  <c r="D6246" i="1"/>
  <c r="D6245" i="1"/>
  <c r="D6244" i="1"/>
  <c r="D6243" i="1"/>
  <c r="D6242" i="1"/>
  <c r="D6241" i="1"/>
  <c r="D6240" i="1"/>
  <c r="D6236" i="1"/>
  <c r="D6235" i="1"/>
  <c r="D6234" i="1"/>
  <c r="D6233" i="1"/>
  <c r="D6232" i="1"/>
  <c r="D6231" i="1"/>
  <c r="D6230" i="1"/>
  <c r="D6229" i="1"/>
  <c r="D6228" i="1"/>
  <c r="D6227" i="1"/>
  <c r="D6224" i="1"/>
  <c r="D6223" i="1"/>
  <c r="D6222" i="1"/>
  <c r="D6221" i="1"/>
  <c r="D6220" i="1"/>
  <c r="D6219" i="1"/>
  <c r="D6218" i="1"/>
  <c r="D6217" i="1"/>
  <c r="D6216" i="1"/>
  <c r="D6215" i="1"/>
  <c r="D6214" i="1"/>
  <c r="D6213" i="1"/>
  <c r="D6212" i="1"/>
  <c r="D6211" i="1"/>
  <c r="D6210" i="1"/>
  <c r="D6209" i="1"/>
  <c r="D6208" i="1"/>
  <c r="D6207" i="1"/>
  <c r="D6206" i="1"/>
  <c r="D6205" i="1"/>
  <c r="D6203" i="1"/>
  <c r="D6202" i="1"/>
  <c r="D6201" i="1"/>
  <c r="D6200" i="1"/>
  <c r="D6199" i="1"/>
  <c r="D6198" i="1"/>
  <c r="D6197" i="1"/>
  <c r="D6195" i="1"/>
  <c r="D6193" i="1"/>
  <c r="D6192" i="1"/>
  <c r="D6191" i="1"/>
  <c r="D6190" i="1"/>
  <c r="D6189" i="1"/>
  <c r="D6188" i="1"/>
  <c r="D6187" i="1"/>
  <c r="D6186" i="1"/>
  <c r="D6185" i="1"/>
  <c r="D6184" i="1"/>
  <c r="D6183" i="1"/>
  <c r="D6182" i="1"/>
  <c r="D6181" i="1"/>
  <c r="D6180" i="1"/>
  <c r="D6179" i="1"/>
  <c r="D6178" i="1"/>
  <c r="D6177" i="1"/>
  <c r="D6176" i="1"/>
  <c r="D6175" i="1"/>
  <c r="D6174" i="1"/>
  <c r="D6173" i="1"/>
  <c r="D6171" i="1"/>
  <c r="D6170" i="1"/>
  <c r="D6169" i="1"/>
  <c r="D6168" i="1"/>
  <c r="D6167" i="1"/>
  <c r="D6165" i="1"/>
  <c r="D6164" i="1"/>
  <c r="D6163" i="1"/>
  <c r="D6162" i="1"/>
  <c r="D6161" i="1"/>
  <c r="D6160" i="1"/>
  <c r="D6159" i="1"/>
  <c r="D6158" i="1"/>
  <c r="D6157" i="1"/>
  <c r="D6156" i="1"/>
  <c r="D6155" i="1"/>
  <c r="D6154" i="1"/>
  <c r="D6153" i="1"/>
  <c r="D6152" i="1"/>
  <c r="D6151" i="1"/>
  <c r="D6150" i="1"/>
  <c r="D6149" i="1"/>
  <c r="D6148" i="1"/>
  <c r="D6146" i="1"/>
  <c r="D6145" i="1"/>
  <c r="D6144" i="1"/>
  <c r="D6143" i="1"/>
  <c r="D6142" i="1"/>
  <c r="D6141" i="1"/>
  <c r="D6140" i="1"/>
  <c r="D6139" i="1"/>
  <c r="D6138" i="1"/>
  <c r="D6137" i="1"/>
  <c r="D6136" i="1"/>
  <c r="D6135" i="1"/>
  <c r="D6134" i="1"/>
  <c r="D6133" i="1"/>
  <c r="D6132" i="1"/>
  <c r="D6131" i="1"/>
  <c r="D6130" i="1"/>
  <c r="D6129" i="1"/>
  <c r="D6128" i="1"/>
  <c r="D6127" i="1"/>
  <c r="D6126" i="1"/>
  <c r="D6125" i="1"/>
  <c r="D6124" i="1"/>
  <c r="D6123" i="1"/>
  <c r="D6122" i="1"/>
  <c r="D6121" i="1"/>
  <c r="D6120" i="1"/>
  <c r="D6119" i="1"/>
  <c r="D6118" i="1"/>
  <c r="D6117" i="1"/>
  <c r="D6116" i="1"/>
  <c r="D6115" i="1"/>
  <c r="D6114" i="1"/>
  <c r="D6113" i="1"/>
  <c r="D6112" i="1"/>
  <c r="D6111" i="1"/>
  <c r="D6110" i="1"/>
  <c r="D6109" i="1"/>
  <c r="D6108" i="1"/>
  <c r="D6107" i="1"/>
  <c r="D6106" i="1"/>
  <c r="D6105" i="1"/>
  <c r="D6104" i="1"/>
  <c r="D6103" i="1"/>
  <c r="D6102" i="1"/>
  <c r="D6101" i="1"/>
  <c r="D6100" i="1"/>
  <c r="D6099" i="1"/>
  <c r="D6098" i="1"/>
  <c r="D6097" i="1"/>
  <c r="D6096" i="1"/>
  <c r="D6095" i="1"/>
  <c r="D6094" i="1"/>
  <c r="D6093" i="1"/>
  <c r="D6092" i="1"/>
  <c r="D6091" i="1"/>
  <c r="D6090" i="1"/>
  <c r="D6089" i="1"/>
  <c r="D6088" i="1"/>
  <c r="D6086" i="1"/>
  <c r="D6085" i="1"/>
  <c r="D6081" i="1"/>
  <c r="D6080" i="1"/>
  <c r="D6079" i="1"/>
  <c r="D6078" i="1"/>
  <c r="D6077" i="1"/>
  <c r="D6076" i="1"/>
  <c r="D6075" i="1"/>
  <c r="D6074" i="1"/>
  <c r="D6073" i="1"/>
  <c r="D6070" i="1"/>
  <c r="D6067" i="1"/>
  <c r="D6064" i="1" l="1"/>
  <c r="D6060" i="1"/>
  <c r="D6059" i="1"/>
  <c r="D6058" i="1"/>
  <c r="D6056" i="1"/>
  <c r="D6055" i="1"/>
  <c r="D6054" i="1"/>
  <c r="D6052" i="1"/>
  <c r="D6051" i="1"/>
  <c r="D6050" i="1"/>
  <c r="D6048" i="1"/>
  <c r="D6047" i="1"/>
  <c r="D6046" i="1"/>
  <c r="D6045" i="1"/>
  <c r="D6044" i="1"/>
  <c r="D6043" i="1"/>
  <c r="D6042" i="1"/>
  <c r="D6041" i="1"/>
  <c r="D6040" i="1"/>
  <c r="D6039" i="1"/>
  <c r="D6036" i="1"/>
  <c r="D6034" i="1"/>
  <c r="D6033" i="1"/>
  <c r="D6032" i="1"/>
  <c r="D6029" i="1"/>
  <c r="D6028" i="1"/>
  <c r="D6027" i="1"/>
  <c r="D6026" i="1"/>
  <c r="D6025" i="1"/>
  <c r="D6024" i="1"/>
  <c r="D6023" i="1"/>
  <c r="D6022" i="1"/>
  <c r="D6021" i="1"/>
  <c r="D6020" i="1"/>
  <c r="D6019" i="1"/>
  <c r="D6017" i="1"/>
  <c r="D6016" i="1"/>
  <c r="D6015" i="1"/>
  <c r="D6013" i="1"/>
  <c r="D6012" i="1"/>
  <c r="D6011" i="1"/>
  <c r="D6010" i="1"/>
  <c r="D6009" i="1"/>
  <c r="D6008" i="1"/>
  <c r="D6007" i="1"/>
  <c r="D6006" i="1"/>
  <c r="D6005" i="1"/>
  <c r="D6003" i="1"/>
  <c r="D6002" i="1"/>
  <c r="D6001" i="1"/>
  <c r="D6000" i="1"/>
  <c r="D5999" i="1"/>
  <c r="D5998" i="1"/>
  <c r="D5997" i="1"/>
  <c r="D5996" i="1"/>
  <c r="D5994" i="1"/>
  <c r="D5993" i="1"/>
  <c r="D5992" i="1"/>
  <c r="D5990" i="1"/>
  <c r="D5989" i="1"/>
  <c r="D5988" i="1"/>
  <c r="D5987" i="1"/>
  <c r="D5986" i="1"/>
  <c r="D5985" i="1"/>
  <c r="D5984" i="1"/>
  <c r="D5983" i="1"/>
  <c r="D5982" i="1"/>
  <c r="D5981" i="1"/>
  <c r="D5980" i="1"/>
  <c r="D5979" i="1"/>
  <c r="D5978" i="1"/>
  <c r="D5977" i="1"/>
  <c r="D5976" i="1"/>
  <c r="D5975" i="1"/>
  <c r="D5974" i="1"/>
  <c r="D5972" i="1"/>
  <c r="D5971" i="1"/>
  <c r="D5970" i="1"/>
  <c r="D5969" i="1"/>
  <c r="D5968" i="1"/>
  <c r="D5967" i="1"/>
  <c r="D5966" i="1"/>
  <c r="D5965" i="1"/>
  <c r="D5964" i="1"/>
  <c r="D5963" i="1"/>
  <c r="D5962" i="1"/>
  <c r="D5961" i="1"/>
  <c r="D5960" i="1"/>
  <c r="D5959" i="1"/>
  <c r="D5958" i="1"/>
  <c r="D5957" i="1"/>
  <c r="D5956" i="1"/>
  <c r="D5955" i="1"/>
  <c r="D5954" i="1"/>
  <c r="D5953" i="1"/>
  <c r="D5952" i="1"/>
  <c r="D5951" i="1"/>
  <c r="D5950" i="1"/>
  <c r="D5949" i="1"/>
  <c r="D5948" i="1"/>
  <c r="D5947" i="1"/>
  <c r="D5946" i="1"/>
  <c r="D5945" i="1"/>
  <c r="D5944" i="1"/>
  <c r="D5943" i="1"/>
  <c r="D5942" i="1"/>
  <c r="D5941" i="1"/>
  <c r="D5940" i="1"/>
  <c r="D5939" i="1"/>
  <c r="D5938" i="1"/>
  <c r="D5937" i="1"/>
  <c r="D5936" i="1"/>
  <c r="D5935" i="1"/>
  <c r="D5934" i="1"/>
  <c r="D5933" i="1"/>
  <c r="D5932" i="1"/>
  <c r="D5931" i="1"/>
  <c r="D5930" i="1"/>
  <c r="D5929" i="1"/>
  <c r="D5928" i="1"/>
  <c r="D5927" i="1"/>
  <c r="D5926" i="1"/>
  <c r="D5925" i="1"/>
  <c r="D5924" i="1"/>
  <c r="D5923" i="1"/>
  <c r="D5922" i="1"/>
  <c r="D5921" i="1"/>
  <c r="D5920" i="1"/>
  <c r="D5919" i="1"/>
  <c r="D5918" i="1"/>
  <c r="D5917" i="1"/>
  <c r="D5916" i="1"/>
  <c r="D5915" i="1"/>
  <c r="D5914" i="1"/>
  <c r="D5913" i="1"/>
  <c r="D5912" i="1"/>
  <c r="D5910" i="1"/>
  <c r="D5909" i="1"/>
  <c r="D5908" i="1"/>
  <c r="D5907" i="1"/>
  <c r="D5903" i="1"/>
  <c r="D5900" i="1" l="1"/>
  <c r="D5898" i="1"/>
  <c r="D5896" i="1"/>
  <c r="D5894" i="1"/>
  <c r="D5893" i="1"/>
  <c r="D5889" i="1"/>
  <c r="D5888" i="1"/>
  <c r="D5886" i="1"/>
  <c r="D5885" i="1"/>
  <c r="D5884" i="1"/>
  <c r="D5882" i="1"/>
  <c r="D5880" i="1"/>
  <c r="D5879" i="1"/>
  <c r="D5878" i="1"/>
  <c r="D5877" i="1"/>
  <c r="D5876" i="1"/>
  <c r="D5875" i="1"/>
  <c r="D5874" i="1"/>
  <c r="D5871" i="1"/>
  <c r="D5870" i="1"/>
  <c r="D5868" i="1"/>
  <c r="D5867" i="1"/>
  <c r="D5865" i="1"/>
  <c r="D5864" i="1"/>
  <c r="D5863" i="1"/>
  <c r="D5862" i="1"/>
  <c r="D5859" i="1"/>
  <c r="D5857" i="1"/>
  <c r="D5856" i="1"/>
  <c r="D5855" i="1"/>
  <c r="D5854" i="1"/>
  <c r="D5853" i="1"/>
  <c r="D5852" i="1"/>
  <c r="D5851" i="1"/>
  <c r="D5848" i="1"/>
  <c r="D5847" i="1"/>
  <c r="D5846" i="1"/>
  <c r="D5845" i="1"/>
  <c r="D5844" i="1"/>
  <c r="D5843" i="1"/>
  <c r="D5842" i="1"/>
  <c r="D5840" i="1"/>
  <c r="D5839" i="1"/>
  <c r="D5838" i="1"/>
  <c r="D5837" i="1"/>
  <c r="D5835" i="1"/>
  <c r="D5834" i="1"/>
  <c r="D5833" i="1"/>
  <c r="D5832" i="1"/>
  <c r="D5831" i="1"/>
  <c r="D5830" i="1"/>
  <c r="D5829" i="1"/>
  <c r="D5828" i="1"/>
  <c r="D5826" i="1"/>
  <c r="D5825" i="1"/>
  <c r="D5823" i="1"/>
  <c r="D5822" i="1"/>
  <c r="D5820" i="1"/>
  <c r="D5819" i="1"/>
  <c r="D5818" i="1"/>
  <c r="D5817" i="1"/>
  <c r="D5816" i="1"/>
  <c r="D5815" i="1"/>
  <c r="D5814" i="1"/>
  <c r="D5813" i="1"/>
  <c r="D5812" i="1"/>
  <c r="D5811" i="1"/>
  <c r="D5810" i="1"/>
  <c r="D5809" i="1"/>
  <c r="D5808" i="1"/>
  <c r="D5807" i="1"/>
  <c r="D5806" i="1"/>
  <c r="D5805" i="1"/>
  <c r="D5804" i="1"/>
  <c r="D5802" i="1"/>
  <c r="D5801" i="1"/>
  <c r="D5800" i="1"/>
  <c r="D5799" i="1"/>
  <c r="D5798" i="1"/>
  <c r="D5797" i="1"/>
  <c r="D5796" i="1"/>
  <c r="D5795" i="1"/>
  <c r="D5794" i="1"/>
  <c r="D5793" i="1"/>
  <c r="D5792" i="1"/>
  <c r="D5791" i="1"/>
  <c r="D5790" i="1"/>
  <c r="D5789" i="1"/>
  <c r="D5788" i="1"/>
  <c r="D5787" i="1"/>
  <c r="D5786" i="1"/>
  <c r="D5785" i="1"/>
  <c r="D5784" i="1"/>
  <c r="D5783" i="1"/>
  <c r="D5782" i="1"/>
  <c r="D5781" i="1"/>
  <c r="D5780" i="1"/>
  <c r="D5779" i="1"/>
  <c r="D5778" i="1"/>
  <c r="D5777" i="1"/>
  <c r="D5776" i="1"/>
  <c r="D5775" i="1"/>
  <c r="D5774" i="1"/>
  <c r="D5773" i="1"/>
  <c r="D5772" i="1"/>
  <c r="D5771" i="1"/>
  <c r="D5770" i="1"/>
  <c r="D5769" i="1"/>
  <c r="D5768" i="1"/>
  <c r="D5767" i="1"/>
  <c r="D5766" i="1"/>
  <c r="D5765" i="1"/>
  <c r="D5764" i="1"/>
  <c r="D5763" i="1"/>
  <c r="D5762" i="1"/>
  <c r="D5761" i="1"/>
  <c r="D5760" i="1"/>
  <c r="D5759" i="1"/>
  <c r="D5758" i="1"/>
  <c r="D5757" i="1"/>
  <c r="D5756" i="1"/>
  <c r="D5755" i="1"/>
  <c r="D5754" i="1"/>
  <c r="D5753" i="1"/>
  <c r="D5752" i="1"/>
  <c r="D5751" i="1"/>
  <c r="D5750" i="1"/>
  <c r="D5749" i="1"/>
  <c r="D5748" i="1"/>
  <c r="D5747" i="1"/>
  <c r="D5746" i="1"/>
  <c r="D5745" i="1"/>
  <c r="D5743" i="1"/>
  <c r="D5739" i="1"/>
  <c r="D5735" i="1" l="1"/>
  <c r="D5733" i="1"/>
  <c r="D5732" i="1"/>
  <c r="D5730" i="1"/>
  <c r="D5729" i="1"/>
  <c r="D5728" i="1"/>
  <c r="D5725" i="1"/>
  <c r="D5721" i="1"/>
  <c r="D5720" i="1"/>
  <c r="D5719" i="1"/>
  <c r="D5718" i="1"/>
  <c r="D5717" i="1"/>
  <c r="D5716" i="1"/>
  <c r="D5715" i="1"/>
  <c r="D5714" i="1"/>
  <c r="D5713" i="1"/>
  <c r="D5712" i="1"/>
  <c r="D5711" i="1"/>
  <c r="D5710" i="1"/>
  <c r="D5709" i="1"/>
  <c r="D5708" i="1"/>
  <c r="D5707" i="1"/>
  <c r="D5706" i="1"/>
  <c r="D5705" i="1"/>
  <c r="D5704" i="1"/>
  <c r="D5703" i="1"/>
  <c r="D5701" i="1"/>
  <c r="D5700" i="1"/>
  <c r="D5697" i="1"/>
  <c r="D5696" i="1"/>
  <c r="D5695" i="1"/>
  <c r="D5694" i="1"/>
  <c r="D5693" i="1"/>
  <c r="D5692" i="1"/>
  <c r="D5690" i="1"/>
  <c r="D5689" i="1"/>
  <c r="D5688" i="1"/>
  <c r="D5687" i="1"/>
  <c r="D5686" i="1"/>
  <c r="D5684" i="1"/>
  <c r="D5683" i="1"/>
  <c r="D5682" i="1"/>
  <c r="D5681" i="1"/>
  <c r="D5679" i="1"/>
  <c r="D5678" i="1"/>
  <c r="D5677" i="1"/>
  <c r="D5676" i="1"/>
  <c r="D5675" i="1"/>
  <c r="D5674" i="1"/>
  <c r="D5673" i="1"/>
  <c r="D5672" i="1"/>
  <c r="D5671" i="1"/>
  <c r="D5670" i="1"/>
  <c r="D5669" i="1"/>
  <c r="D5668" i="1"/>
  <c r="D5667" i="1"/>
  <c r="D5666" i="1"/>
  <c r="D5665" i="1"/>
  <c r="D5664" i="1"/>
  <c r="D5662" i="1"/>
  <c r="D5661" i="1"/>
  <c r="D5660" i="1"/>
  <c r="D5659" i="1"/>
  <c r="D5658" i="1"/>
  <c r="D5657" i="1"/>
  <c r="D5656" i="1"/>
  <c r="D5655" i="1"/>
  <c r="D5654" i="1"/>
  <c r="D5653" i="1"/>
  <c r="D5652" i="1"/>
  <c r="D5651" i="1"/>
  <c r="D5650" i="1"/>
  <c r="D5649" i="1"/>
  <c r="D5648" i="1"/>
  <c r="D5647" i="1"/>
  <c r="D5646" i="1"/>
  <c r="D5645" i="1"/>
  <c r="D5644" i="1"/>
  <c r="D5643" i="1"/>
  <c r="D5642" i="1"/>
  <c r="D5641" i="1"/>
  <c r="D5640" i="1"/>
  <c r="D5639" i="1"/>
  <c r="D5638" i="1"/>
  <c r="D5637" i="1"/>
  <c r="D5636" i="1"/>
  <c r="D5635" i="1"/>
  <c r="D5634" i="1"/>
  <c r="D5633" i="1"/>
  <c r="D5632" i="1"/>
  <c r="D5631" i="1"/>
  <c r="D5630" i="1"/>
  <c r="D5629" i="1"/>
  <c r="D5628" i="1"/>
  <c r="D5627" i="1"/>
  <c r="D5626" i="1"/>
  <c r="D5625" i="1"/>
  <c r="D5623" i="1"/>
  <c r="D5214" i="1" l="1"/>
  <c r="D5210" i="1"/>
  <c r="D5209" i="1"/>
  <c r="D5208" i="1"/>
  <c r="D5207" i="1"/>
  <c r="D5206" i="1"/>
  <c r="D5205" i="1"/>
  <c r="D5204" i="1"/>
  <c r="D5203" i="1"/>
  <c r="D5202" i="1"/>
  <c r="D5201" i="1"/>
  <c r="D5200" i="1"/>
  <c r="D5199" i="1"/>
  <c r="D5198" i="1"/>
  <c r="D5197" i="1"/>
  <c r="D5196" i="1"/>
  <c r="D5195" i="1"/>
  <c r="D5194" i="1"/>
  <c r="D5193" i="1"/>
  <c r="D5192" i="1"/>
  <c r="D5191" i="1"/>
  <c r="D5190" i="1"/>
  <c r="D5189" i="1"/>
  <c r="D5188" i="1"/>
  <c r="D5187" i="1"/>
  <c r="D5186" i="1"/>
  <c r="D5185" i="1"/>
  <c r="D5184" i="1"/>
  <c r="D5183" i="1"/>
  <c r="D5182" i="1"/>
  <c r="D5181" i="1"/>
  <c r="D5180" i="1"/>
  <c r="D5179" i="1"/>
  <c r="D5178" i="1"/>
  <c r="D5177" i="1"/>
  <c r="D5176" i="1"/>
  <c r="D5175" i="1"/>
  <c r="D5174" i="1"/>
  <c r="D5173" i="1"/>
  <c r="D5172" i="1"/>
  <c r="D5171" i="1"/>
  <c r="D5170" i="1"/>
  <c r="D5169" i="1"/>
  <c r="D5168" i="1"/>
  <c r="D5167" i="1"/>
  <c r="D5166" i="1"/>
  <c r="D5165" i="1"/>
  <c r="D5164" i="1"/>
  <c r="D5163" i="1"/>
  <c r="D5162" i="1"/>
  <c r="D5161" i="1"/>
  <c r="D5160" i="1"/>
  <c r="D5159" i="1"/>
  <c r="D5158" i="1"/>
  <c r="D5157" i="1"/>
  <c r="D5156" i="1"/>
  <c r="D5155" i="1"/>
  <c r="D5154" i="1"/>
  <c r="D5153" i="1"/>
  <c r="D5152" i="1"/>
  <c r="D5151" i="1"/>
  <c r="D5150" i="1"/>
  <c r="D5149" i="1"/>
  <c r="D5148" i="1"/>
  <c r="D5147" i="1"/>
  <c r="D5145" i="1"/>
  <c r="D5144" i="1"/>
  <c r="D5142" i="1"/>
  <c r="D5141" i="1"/>
  <c r="D5140" i="1"/>
  <c r="D5139" i="1"/>
  <c r="D5138" i="1"/>
  <c r="D5137" i="1"/>
  <c r="D5136" i="1"/>
  <c r="D5135" i="1"/>
  <c r="D5134" i="1"/>
  <c r="D5133" i="1"/>
  <c r="D5132" i="1"/>
  <c r="D5131" i="1"/>
  <c r="D5130" i="1"/>
  <c r="D5129" i="1"/>
  <c r="D5128" i="1"/>
  <c r="D5127" i="1"/>
  <c r="D5126" i="1"/>
  <c r="D5125" i="1"/>
  <c r="D5124" i="1"/>
  <c r="D5123" i="1"/>
  <c r="D5122" i="1"/>
  <c r="D5121" i="1"/>
  <c r="D5120" i="1"/>
  <c r="D5119" i="1"/>
  <c r="D5118" i="1"/>
  <c r="D5117" i="1"/>
  <c r="D5116" i="1"/>
  <c r="D5115" i="1"/>
  <c r="D5114" i="1"/>
  <c r="D5113" i="1"/>
  <c r="D5111" i="1"/>
  <c r="D5110" i="1"/>
  <c r="D5109" i="1"/>
  <c r="D5108" i="1"/>
  <c r="D5107" i="1"/>
  <c r="D5106" i="1"/>
  <c r="D5104" i="1"/>
  <c r="D5103" i="1"/>
  <c r="D5102" i="1"/>
  <c r="D5101" i="1"/>
  <c r="D5100" i="1"/>
  <c r="D5099" i="1"/>
  <c r="D5098" i="1"/>
  <c r="D5097" i="1"/>
  <c r="D5096" i="1"/>
  <c r="D5095" i="1"/>
  <c r="D5094" i="1"/>
  <c r="D5093" i="1"/>
  <c r="D5092" i="1"/>
  <c r="D5091" i="1"/>
  <c r="D5090" i="1"/>
  <c r="D5089" i="1"/>
  <c r="D5088" i="1"/>
  <c r="D5087" i="1"/>
  <c r="D5086" i="1"/>
  <c r="D5085" i="1"/>
  <c r="D5084" i="1"/>
  <c r="D5083" i="1"/>
  <c r="D5082" i="1"/>
  <c r="D5081" i="1"/>
  <c r="D5080" i="1"/>
  <c r="D5079" i="1"/>
  <c r="D5078" i="1"/>
  <c r="D5077" i="1"/>
  <c r="D5076" i="1"/>
  <c r="D5075" i="1"/>
  <c r="D5074" i="1"/>
  <c r="D5073" i="1"/>
  <c r="D5072" i="1"/>
  <c r="D5071" i="1"/>
  <c r="D5070" i="1"/>
  <c r="D5069" i="1"/>
  <c r="D5068" i="1"/>
  <c r="D5067" i="1"/>
  <c r="D5066" i="1"/>
  <c r="D5065" i="1"/>
  <c r="D5064" i="1"/>
  <c r="D5063" i="1"/>
  <c r="D5062" i="1"/>
  <c r="D5061" i="1"/>
  <c r="D5060" i="1"/>
  <c r="D5059" i="1"/>
  <c r="D5057" i="1"/>
  <c r="D5056" i="1"/>
  <c r="D5055" i="1"/>
  <c r="D5054" i="1"/>
  <c r="D5053" i="1"/>
  <c r="D5052" i="1"/>
  <c r="D5051" i="1"/>
  <c r="D5050" i="1"/>
  <c r="D5049" i="1"/>
  <c r="D5048" i="1"/>
  <c r="D5047" i="1"/>
  <c r="D5046" i="1"/>
  <c r="D5045" i="1"/>
  <c r="D5044" i="1"/>
  <c r="D5043" i="1"/>
  <c r="D5042" i="1"/>
  <c r="D5041" i="1"/>
  <c r="D5040" i="1"/>
  <c r="D5039" i="1"/>
  <c r="D5038" i="1"/>
  <c r="D5037" i="1"/>
  <c r="D5036" i="1"/>
  <c r="D5035" i="1"/>
  <c r="D5034" i="1"/>
  <c r="D5033" i="1"/>
  <c r="D5032" i="1"/>
  <c r="D5031" i="1"/>
  <c r="D5030" i="1"/>
  <c r="D5029" i="1"/>
  <c r="D5028" i="1"/>
  <c r="D5027" i="1"/>
  <c r="D5026" i="1"/>
  <c r="D5025" i="1"/>
  <c r="D5024" i="1"/>
  <c r="D5022" i="1"/>
  <c r="D5021" i="1"/>
  <c r="D5020" i="1"/>
  <c r="D5019" i="1"/>
  <c r="D5018" i="1"/>
  <c r="D5017" i="1"/>
  <c r="D5016" i="1"/>
  <c r="D5015" i="1"/>
  <c r="D5014" i="1"/>
  <c r="D5013" i="1"/>
  <c r="D5012" i="1"/>
  <c r="D5011" i="1"/>
  <c r="D5009" i="1"/>
  <c r="D5008" i="1"/>
  <c r="D5007" i="1"/>
  <c r="D5005" i="1"/>
  <c r="D5004" i="1"/>
  <c r="D5003" i="1"/>
  <c r="D5002" i="1"/>
  <c r="D5001" i="1"/>
  <c r="D5000" i="1"/>
  <c r="D4999" i="1"/>
  <c r="D4998" i="1"/>
  <c r="D4997" i="1"/>
  <c r="D4996" i="1"/>
  <c r="D4995" i="1"/>
  <c r="D4994" i="1"/>
  <c r="D4993" i="1"/>
  <c r="D4992" i="1"/>
  <c r="D4991" i="1"/>
  <c r="D4990" i="1"/>
  <c r="D4989" i="1"/>
  <c r="D4988" i="1"/>
  <c r="D4987" i="1"/>
  <c r="D4986" i="1"/>
  <c r="D4985" i="1"/>
  <c r="D4984" i="1"/>
  <c r="D4983" i="1"/>
  <c r="D4982" i="1"/>
  <c r="D4981" i="1"/>
  <c r="D4980" i="1"/>
  <c r="D4979" i="1"/>
  <c r="D4978" i="1"/>
  <c r="D4977" i="1"/>
  <c r="D4976" i="1"/>
  <c r="D4975" i="1"/>
  <c r="D4974" i="1"/>
  <c r="D4973" i="1"/>
  <c r="D4972" i="1"/>
  <c r="D4971" i="1"/>
  <c r="D4970" i="1"/>
  <c r="D4969" i="1"/>
  <c r="D4968" i="1"/>
  <c r="D4967" i="1"/>
  <c r="D4966" i="1"/>
  <c r="D4965" i="1"/>
  <c r="D4964" i="1"/>
  <c r="D4963" i="1"/>
  <c r="D4962" i="1"/>
  <c r="D4961" i="1"/>
  <c r="D4960" i="1"/>
  <c r="D4959" i="1"/>
  <c r="D4958" i="1"/>
  <c r="D4957" i="1"/>
  <c r="D4956" i="1"/>
  <c r="D4955" i="1"/>
  <c r="D4954" i="1"/>
  <c r="D4953" i="1"/>
  <c r="D4952" i="1"/>
  <c r="D4951" i="1"/>
  <c r="D4950" i="1"/>
  <c r="D4949" i="1"/>
  <c r="D4948" i="1"/>
  <c r="D4947" i="1"/>
  <c r="D4946" i="1"/>
  <c r="D4944" i="1"/>
  <c r="D4942" i="1"/>
  <c r="D4939" i="1"/>
  <c r="D4938" i="1"/>
  <c r="D4937" i="1"/>
  <c r="D4936" i="1"/>
  <c r="D4935" i="1"/>
  <c r="D4934" i="1"/>
  <c r="D4933" i="1"/>
  <c r="D4932" i="1"/>
  <c r="D4931" i="1"/>
  <c r="D4930" i="1"/>
  <c r="D4929" i="1"/>
  <c r="D4928" i="1"/>
  <c r="D4927" i="1"/>
  <c r="D4926" i="1"/>
  <c r="D4925" i="1"/>
  <c r="D4924" i="1"/>
  <c r="D4923" i="1"/>
  <c r="D4922" i="1"/>
  <c r="D4921" i="1"/>
  <c r="D4920" i="1"/>
  <c r="D4919" i="1"/>
  <c r="D4918" i="1"/>
  <c r="D4917" i="1"/>
  <c r="D4916" i="1"/>
  <c r="D4915" i="1"/>
  <c r="D4914" i="1"/>
  <c r="D4913" i="1"/>
  <c r="D4912" i="1"/>
  <c r="D4911" i="1"/>
  <c r="D4910" i="1"/>
  <c r="D4909" i="1"/>
  <c r="D4908" i="1"/>
  <c r="D4907" i="1"/>
  <c r="D4904" i="1"/>
  <c r="D4900" i="1"/>
  <c r="D4899" i="1"/>
  <c r="D4898" i="1"/>
  <c r="D4895" i="1"/>
  <c r="D4894" i="1"/>
  <c r="D4891" i="1" l="1"/>
  <c r="D4888" i="1"/>
  <c r="D4887" i="1"/>
  <c r="D4886" i="1"/>
  <c r="D4885" i="1"/>
  <c r="D4884" i="1"/>
  <c r="D4883" i="1"/>
  <c r="D4882" i="1"/>
  <c r="D4881" i="1"/>
  <c r="D4880" i="1"/>
  <c r="D4879" i="1"/>
  <c r="D4878" i="1"/>
  <c r="D4877" i="1"/>
  <c r="D4876" i="1"/>
  <c r="D4875" i="1"/>
  <c r="D4874" i="1"/>
  <c r="D4873" i="1"/>
  <c r="D4872" i="1"/>
  <c r="D4870" i="1"/>
  <c r="D4869" i="1"/>
  <c r="D4868" i="1"/>
  <c r="D4867" i="1"/>
  <c r="D4866" i="1"/>
  <c r="D4865" i="1"/>
  <c r="D4864" i="1"/>
  <c r="D4863" i="1"/>
  <c r="D4862" i="1"/>
  <c r="D4861" i="1"/>
  <c r="D4860" i="1"/>
  <c r="D4859" i="1"/>
  <c r="D4858" i="1"/>
  <c r="D4857" i="1"/>
  <c r="D4856" i="1"/>
  <c r="D4855" i="1"/>
  <c r="D4854" i="1"/>
  <c r="D4853" i="1"/>
  <c r="D4852" i="1"/>
  <c r="D4851" i="1"/>
  <c r="D4850" i="1"/>
  <c r="D4849" i="1"/>
  <c r="D4848" i="1"/>
  <c r="D4847" i="1"/>
  <c r="D4846" i="1"/>
  <c r="D4845" i="1"/>
  <c r="D4844" i="1"/>
  <c r="D4843" i="1"/>
  <c r="D4842" i="1"/>
  <c r="D4841" i="1"/>
  <c r="D4840" i="1"/>
  <c r="D4839" i="1"/>
  <c r="D4838" i="1"/>
  <c r="D4837" i="1"/>
  <c r="D4836" i="1"/>
  <c r="D4835" i="1"/>
  <c r="D4834" i="1"/>
  <c r="D4833" i="1"/>
  <c r="D4832" i="1"/>
  <c r="D4831" i="1"/>
  <c r="D4830" i="1"/>
  <c r="D4829" i="1"/>
  <c r="D4828" i="1"/>
  <c r="D4827" i="1"/>
  <c r="D4826" i="1"/>
  <c r="D4825" i="1"/>
  <c r="D4824" i="1"/>
  <c r="D4823" i="1"/>
  <c r="D4822" i="1"/>
  <c r="D4821" i="1"/>
  <c r="D4820" i="1"/>
  <c r="D4819" i="1"/>
  <c r="D4818" i="1"/>
  <c r="D4817" i="1"/>
  <c r="D4816" i="1"/>
  <c r="D4815" i="1"/>
  <c r="D4814" i="1"/>
  <c r="D4813" i="1"/>
  <c r="D4812" i="1"/>
  <c r="D4811" i="1"/>
  <c r="D4810" i="1"/>
  <c r="D4809" i="1"/>
  <c r="D4808" i="1"/>
  <c r="D4807" i="1"/>
  <c r="D4806" i="1"/>
  <c r="D4805" i="1"/>
  <c r="D4804" i="1"/>
  <c r="D4803" i="1"/>
  <c r="D4802" i="1"/>
  <c r="D4801" i="1"/>
  <c r="D4800" i="1"/>
  <c r="D4799" i="1"/>
  <c r="D4798" i="1"/>
  <c r="D4797" i="1"/>
  <c r="D4796" i="1"/>
  <c r="D4795" i="1"/>
  <c r="D4794" i="1"/>
  <c r="D4793" i="1"/>
  <c r="D4792" i="1"/>
  <c r="D4791" i="1"/>
  <c r="D4790" i="1"/>
  <c r="D4789" i="1"/>
  <c r="D4788" i="1"/>
  <c r="D4787" i="1"/>
  <c r="D4786" i="1"/>
  <c r="D4785" i="1"/>
  <c r="D4784" i="1"/>
  <c r="D4783" i="1"/>
  <c r="D4782" i="1"/>
  <c r="D4781" i="1"/>
  <c r="D4780" i="1"/>
  <c r="D4779" i="1"/>
  <c r="D4778" i="1"/>
  <c r="D4777" i="1"/>
  <c r="D4776" i="1"/>
  <c r="D4775" i="1"/>
  <c r="D4774" i="1"/>
  <c r="D4773" i="1"/>
  <c r="D4772" i="1"/>
  <c r="D4771" i="1"/>
  <c r="D4770" i="1"/>
  <c r="D4769" i="1"/>
  <c r="D4768" i="1"/>
  <c r="D4767" i="1"/>
  <c r="D4766" i="1"/>
  <c r="D4765" i="1"/>
  <c r="D4764" i="1"/>
  <c r="D4763" i="1"/>
  <c r="D4762" i="1"/>
  <c r="D4761" i="1"/>
  <c r="D4760" i="1"/>
  <c r="D4759" i="1"/>
  <c r="D4758" i="1"/>
  <c r="D4757" i="1"/>
  <c r="D4756" i="1"/>
  <c r="D4755" i="1"/>
  <c r="D4754" i="1"/>
  <c r="D4753" i="1"/>
  <c r="D4752" i="1"/>
  <c r="D4751" i="1"/>
  <c r="D4750" i="1"/>
  <c r="D4749" i="1"/>
  <c r="D4748" i="1"/>
  <c r="D4747" i="1"/>
  <c r="D4745" i="1"/>
  <c r="D4744" i="1"/>
  <c r="D4743" i="1"/>
  <c r="D4742" i="1"/>
  <c r="D4741" i="1"/>
  <c r="D4740" i="1"/>
  <c r="D4739" i="1"/>
  <c r="D4738" i="1"/>
  <c r="D4737" i="1"/>
  <c r="D4736" i="1"/>
  <c r="D4735" i="1"/>
  <c r="D4734" i="1"/>
  <c r="D4733" i="1"/>
  <c r="D4732" i="1"/>
  <c r="D4731" i="1"/>
  <c r="D4730" i="1"/>
  <c r="D4729" i="1"/>
  <c r="D4728" i="1"/>
  <c r="D4727" i="1"/>
  <c r="D4726" i="1"/>
  <c r="D4725" i="1"/>
  <c r="D4724" i="1"/>
  <c r="D4723" i="1"/>
  <c r="D4722" i="1"/>
  <c r="D4721" i="1"/>
  <c r="D4720" i="1"/>
  <c r="D4719" i="1"/>
  <c r="D4718" i="1"/>
  <c r="D4717" i="1"/>
  <c r="D4716" i="1"/>
  <c r="D4715" i="1"/>
  <c r="D4714" i="1"/>
  <c r="D4713" i="1"/>
  <c r="D4712" i="1"/>
  <c r="D4711" i="1"/>
  <c r="D4710" i="1"/>
  <c r="D4709" i="1"/>
  <c r="D4708" i="1"/>
  <c r="D4707" i="1"/>
  <c r="D4706" i="1"/>
  <c r="D4705" i="1"/>
  <c r="D4704" i="1"/>
  <c r="D4703" i="1"/>
  <c r="D4702" i="1"/>
  <c r="D4701" i="1"/>
  <c r="D4700" i="1"/>
  <c r="D4699" i="1"/>
  <c r="D4698" i="1"/>
  <c r="D4697" i="1"/>
  <c r="D4696" i="1"/>
  <c r="D4695" i="1"/>
  <c r="D4694" i="1"/>
  <c r="D4693" i="1"/>
  <c r="D4692" i="1"/>
  <c r="D4691" i="1"/>
  <c r="D4690" i="1"/>
  <c r="D4689" i="1"/>
  <c r="D4688" i="1"/>
  <c r="D4687" i="1"/>
  <c r="D4686" i="1"/>
  <c r="D4685" i="1"/>
  <c r="D4684" i="1"/>
  <c r="D4683" i="1"/>
  <c r="D4682" i="1"/>
  <c r="D4681" i="1"/>
  <c r="D4680" i="1"/>
  <c r="D4679" i="1"/>
  <c r="D4678" i="1"/>
  <c r="D4677" i="1"/>
  <c r="D4676" i="1"/>
  <c r="D4675" i="1"/>
  <c r="D4674" i="1"/>
  <c r="D4673" i="1"/>
  <c r="D4672" i="1"/>
  <c r="D4671" i="1"/>
  <c r="D4670" i="1"/>
  <c r="D4669" i="1"/>
  <c r="D4668" i="1"/>
  <c r="D4667" i="1"/>
  <c r="D4665" i="1"/>
  <c r="D4664" i="1"/>
  <c r="D4663" i="1"/>
  <c r="D4662" i="1"/>
  <c r="D4661" i="1"/>
  <c r="D4660" i="1"/>
  <c r="D4659" i="1"/>
  <c r="D4658" i="1"/>
  <c r="D4657" i="1"/>
  <c r="D4656" i="1"/>
  <c r="D4655" i="1"/>
  <c r="D4654" i="1"/>
  <c r="D4653" i="1"/>
  <c r="D4652" i="1"/>
  <c r="D4651" i="1"/>
  <c r="D4650" i="1"/>
  <c r="D4649" i="1"/>
  <c r="D4648" i="1"/>
  <c r="D4647" i="1"/>
  <c r="D4646" i="1"/>
  <c r="D4645" i="1"/>
  <c r="D4644" i="1"/>
  <c r="D4643" i="1"/>
  <c r="D4642" i="1"/>
  <c r="D4641" i="1"/>
  <c r="D4640" i="1"/>
  <c r="D4639" i="1"/>
  <c r="D4638" i="1"/>
  <c r="D4637" i="1"/>
  <c r="D4636" i="1"/>
  <c r="D4635" i="1"/>
  <c r="D4634" i="1"/>
  <c r="D4633" i="1"/>
  <c r="D4632" i="1"/>
  <c r="D4631" i="1"/>
  <c r="D4630" i="1"/>
  <c r="D4629" i="1"/>
  <c r="D4627" i="1"/>
  <c r="D4626" i="1"/>
  <c r="D4625" i="1"/>
  <c r="D4624" i="1"/>
  <c r="D4623" i="1"/>
  <c r="D4622" i="1"/>
  <c r="D4621" i="1"/>
  <c r="D4620" i="1"/>
  <c r="D4618" i="1"/>
  <c r="D4617" i="1"/>
  <c r="D4616" i="1"/>
  <c r="D4614" i="1"/>
  <c r="D4613" i="1"/>
  <c r="D4612" i="1"/>
  <c r="D4611" i="1"/>
  <c r="D4610" i="1"/>
  <c r="D4609" i="1"/>
  <c r="D4608" i="1"/>
  <c r="D4606" i="1"/>
  <c r="D4605" i="1"/>
  <c r="D4604" i="1"/>
  <c r="D4603" i="1"/>
  <c r="D4602" i="1"/>
  <c r="D4601" i="1"/>
  <c r="D4600" i="1"/>
  <c r="D4599" i="1"/>
  <c r="D4598" i="1"/>
  <c r="D4597" i="1"/>
  <c r="D4596" i="1"/>
  <c r="D4595" i="1"/>
  <c r="D4594" i="1"/>
  <c r="D4593" i="1"/>
  <c r="D4592" i="1"/>
  <c r="D4591" i="1"/>
  <c r="D4590" i="1"/>
  <c r="D4589" i="1"/>
  <c r="D4588" i="1"/>
  <c r="D4587" i="1"/>
  <c r="D4586" i="1"/>
  <c r="D4585" i="1"/>
  <c r="D4584" i="1"/>
  <c r="D4583" i="1"/>
  <c r="D4582" i="1"/>
  <c r="D4581" i="1"/>
  <c r="D4580" i="1"/>
  <c r="D4579" i="1"/>
  <c r="D4578" i="1"/>
  <c r="D4577" i="1"/>
  <c r="D4576" i="1"/>
  <c r="D4575" i="1"/>
  <c r="D4574" i="1"/>
  <c r="D4573" i="1"/>
  <c r="D4572" i="1"/>
  <c r="D4571" i="1"/>
  <c r="D4570" i="1"/>
  <c r="D4569" i="1"/>
  <c r="D4568" i="1"/>
  <c r="D4567" i="1"/>
  <c r="D4566" i="1"/>
  <c r="D4565" i="1"/>
  <c r="D4564" i="1"/>
  <c r="D4563" i="1"/>
  <c r="D4562" i="1"/>
  <c r="D4561" i="1"/>
  <c r="D4560" i="1"/>
  <c r="D4559" i="1"/>
  <c r="D4558" i="1"/>
  <c r="D4557" i="1"/>
  <c r="D4556" i="1"/>
  <c r="D4555" i="1"/>
  <c r="D4554" i="1"/>
  <c r="D4553" i="1"/>
  <c r="D4552" i="1"/>
  <c r="D4551" i="1"/>
  <c r="D4550" i="1"/>
  <c r="D4549" i="1"/>
  <c r="D4548" i="1"/>
  <c r="D4547" i="1"/>
  <c r="D4546" i="1"/>
  <c r="D4545" i="1"/>
  <c r="D4544" i="1"/>
  <c r="D4543" i="1"/>
  <c r="D4542" i="1"/>
  <c r="D4541" i="1"/>
  <c r="D4540" i="1"/>
  <c r="D4539" i="1"/>
  <c r="D4538" i="1"/>
  <c r="D4537" i="1"/>
  <c r="D4536" i="1"/>
  <c r="D4535" i="1"/>
  <c r="D4534" i="1"/>
  <c r="D4533" i="1"/>
  <c r="D4532" i="1"/>
  <c r="D4531" i="1"/>
  <c r="D4530" i="1"/>
  <c r="D4529" i="1"/>
  <c r="D4528" i="1"/>
  <c r="D4527" i="1"/>
  <c r="D4526" i="1"/>
  <c r="D4524" i="1"/>
  <c r="D4523" i="1"/>
  <c r="D4522" i="1"/>
  <c r="D4521" i="1"/>
  <c r="D4520" i="1"/>
  <c r="D4518" i="1"/>
  <c r="D4516" i="1"/>
  <c r="D4515" i="1"/>
  <c r="D4514" i="1"/>
  <c r="D4512" i="1"/>
  <c r="D4511" i="1"/>
  <c r="D4510" i="1"/>
  <c r="D4509" i="1"/>
  <c r="D4508" i="1"/>
  <c r="D4507" i="1"/>
  <c r="D4506" i="1"/>
  <c r="D4505" i="1"/>
  <c r="D4504" i="1"/>
  <c r="D4503" i="1"/>
  <c r="D4502" i="1"/>
  <c r="D4501" i="1"/>
  <c r="D4500" i="1"/>
  <c r="D4499" i="1"/>
  <c r="D4498" i="1"/>
  <c r="D4497" i="1"/>
  <c r="D4496" i="1"/>
  <c r="D4495" i="1"/>
  <c r="D4494" i="1"/>
  <c r="D4493" i="1"/>
  <c r="D4492" i="1"/>
  <c r="D4491" i="1"/>
  <c r="D4490" i="1"/>
  <c r="D4489" i="1"/>
  <c r="D4488" i="1"/>
  <c r="D4487" i="1"/>
  <c r="D4486" i="1"/>
  <c r="D4485" i="1"/>
  <c r="D4484" i="1"/>
  <c r="D4483" i="1"/>
  <c r="D4482" i="1"/>
  <c r="D4481" i="1"/>
  <c r="D4480" i="1"/>
  <c r="D4479" i="1"/>
  <c r="D4478" i="1"/>
  <c r="D4477" i="1"/>
  <c r="D4476" i="1"/>
  <c r="D4475" i="1"/>
  <c r="D4474" i="1"/>
  <c r="D4473" i="1"/>
  <c r="D4472" i="1"/>
  <c r="D4471" i="1"/>
  <c r="D4470" i="1"/>
  <c r="D4469" i="1"/>
  <c r="D4468" i="1"/>
  <c r="D4467" i="1"/>
  <c r="D4466" i="1"/>
  <c r="D4465" i="1"/>
  <c r="D4464" i="1"/>
  <c r="D4463" i="1"/>
  <c r="D4460" i="1"/>
  <c r="D4457" i="1" l="1"/>
  <c r="D4454" i="1"/>
  <c r="D4453" i="1"/>
  <c r="D4452" i="1"/>
  <c r="D4451" i="1"/>
  <c r="D4450" i="1"/>
  <c r="D4449" i="1"/>
  <c r="D4448" i="1"/>
  <c r="D4447" i="1"/>
  <c r="D4446" i="1"/>
  <c r="D4445" i="1"/>
  <c r="D4444" i="1"/>
  <c r="D4443" i="1"/>
  <c r="D4442" i="1"/>
  <c r="D4441" i="1"/>
  <c r="D4440" i="1"/>
  <c r="D4439" i="1"/>
  <c r="D4438" i="1"/>
  <c r="D4436" i="1"/>
  <c r="D4435" i="1"/>
  <c r="D4434" i="1"/>
  <c r="D4433" i="1"/>
  <c r="D4432" i="1"/>
  <c r="D4431" i="1"/>
  <c r="D4430" i="1"/>
  <c r="D4429" i="1"/>
  <c r="D4428" i="1"/>
  <c r="D4427" i="1"/>
  <c r="D4426" i="1"/>
  <c r="D4425" i="1"/>
  <c r="D4424" i="1"/>
  <c r="D4423" i="1"/>
  <c r="D4422" i="1"/>
  <c r="D4421" i="1"/>
  <c r="D4420" i="1"/>
  <c r="D4419" i="1"/>
  <c r="D4418" i="1"/>
  <c r="D4417" i="1"/>
  <c r="D4416" i="1"/>
  <c r="D4415" i="1"/>
  <c r="D4414" i="1"/>
  <c r="D4413" i="1"/>
  <c r="D4412" i="1"/>
  <c r="D4411" i="1"/>
  <c r="D4410" i="1"/>
  <c r="D4409" i="1"/>
  <c r="D4408" i="1"/>
  <c r="D4407" i="1"/>
  <c r="D4406" i="1"/>
  <c r="D4405" i="1"/>
  <c r="D4404" i="1"/>
  <c r="D4403" i="1"/>
  <c r="D4402" i="1"/>
  <c r="D4401" i="1"/>
  <c r="D4400" i="1"/>
  <c r="D4399" i="1"/>
  <c r="D4398" i="1"/>
  <c r="D4397" i="1"/>
  <c r="D4396" i="1"/>
  <c r="D4395" i="1"/>
  <c r="D4394" i="1"/>
  <c r="D4393" i="1"/>
  <c r="D4392" i="1"/>
  <c r="D4391" i="1"/>
  <c r="D4390" i="1"/>
  <c r="D4389" i="1"/>
  <c r="D4388" i="1"/>
  <c r="D4387" i="1"/>
  <c r="D4386" i="1"/>
  <c r="D4385" i="1"/>
  <c r="D4384" i="1"/>
  <c r="D4383" i="1"/>
  <c r="D4382" i="1"/>
  <c r="D4381" i="1"/>
  <c r="D4380" i="1"/>
  <c r="D4379" i="1"/>
  <c r="D4378" i="1"/>
  <c r="D4377" i="1"/>
  <c r="D4376" i="1"/>
  <c r="D4375" i="1"/>
  <c r="D4374" i="1"/>
  <c r="D4373" i="1"/>
  <c r="D4372" i="1"/>
  <c r="D4371" i="1"/>
  <c r="D4370" i="1"/>
  <c r="D4369" i="1"/>
  <c r="D4368" i="1"/>
  <c r="D4367" i="1"/>
  <c r="D4366" i="1"/>
  <c r="D4365" i="1"/>
  <c r="D4364" i="1"/>
  <c r="D4363" i="1"/>
  <c r="D4362" i="1"/>
  <c r="D4361" i="1"/>
  <c r="D4360" i="1"/>
  <c r="D4359" i="1"/>
  <c r="D4358" i="1"/>
  <c r="D4357" i="1"/>
  <c r="D4356" i="1"/>
  <c r="D4355" i="1"/>
  <c r="D4354" i="1"/>
  <c r="D4353" i="1"/>
  <c r="D4352" i="1"/>
  <c r="D4351" i="1"/>
  <c r="D4350" i="1"/>
  <c r="D4349" i="1"/>
  <c r="D4348" i="1"/>
  <c r="D4347" i="1"/>
  <c r="D4346" i="1"/>
  <c r="D4345" i="1"/>
  <c r="D4344" i="1"/>
  <c r="D4343" i="1"/>
  <c r="D4342" i="1"/>
  <c r="D4341" i="1"/>
  <c r="D4340" i="1"/>
  <c r="D4339" i="1"/>
  <c r="D4338" i="1"/>
  <c r="D4337" i="1"/>
  <c r="D4336" i="1"/>
  <c r="D4335" i="1"/>
  <c r="D4334" i="1"/>
  <c r="D4333" i="1"/>
  <c r="D4332" i="1"/>
  <c r="D4331" i="1"/>
  <c r="D4330" i="1"/>
  <c r="D4329" i="1"/>
  <c r="D4328" i="1"/>
  <c r="D4327" i="1"/>
  <c r="D4326" i="1"/>
  <c r="D4325" i="1"/>
  <c r="D4324" i="1"/>
  <c r="D4323" i="1"/>
  <c r="D4322" i="1"/>
  <c r="D4321" i="1"/>
  <c r="D4320" i="1"/>
  <c r="D4319" i="1"/>
  <c r="D4318" i="1"/>
  <c r="D4317" i="1"/>
  <c r="D4316" i="1"/>
  <c r="D4315" i="1"/>
  <c r="D4314" i="1"/>
  <c r="D4313" i="1"/>
  <c r="D4311" i="1"/>
  <c r="D4310" i="1"/>
  <c r="D4309" i="1"/>
  <c r="D4308" i="1"/>
  <c r="D4307" i="1"/>
  <c r="D4306" i="1"/>
  <c r="D4305" i="1"/>
  <c r="D4304" i="1"/>
  <c r="D4303" i="1"/>
  <c r="D4302" i="1"/>
  <c r="D4301" i="1"/>
  <c r="D4300" i="1"/>
  <c r="D4299" i="1"/>
  <c r="D4298" i="1"/>
  <c r="D4297" i="1"/>
  <c r="D4296" i="1"/>
  <c r="D4295" i="1"/>
  <c r="D4294" i="1"/>
  <c r="D4293" i="1"/>
  <c r="D4292" i="1"/>
  <c r="D4291" i="1"/>
  <c r="D4290" i="1"/>
  <c r="D4289" i="1"/>
  <c r="D4288" i="1"/>
  <c r="D4287" i="1"/>
  <c r="D4286" i="1"/>
  <c r="D4285" i="1"/>
  <c r="D4284" i="1"/>
  <c r="D4283" i="1"/>
  <c r="D4282" i="1"/>
  <c r="D4281" i="1"/>
  <c r="D4280" i="1"/>
  <c r="D4279" i="1"/>
  <c r="D4278" i="1"/>
  <c r="D4277" i="1"/>
  <c r="D4276" i="1"/>
  <c r="D4275" i="1"/>
  <c r="D4274" i="1"/>
  <c r="D4273" i="1"/>
  <c r="D4272" i="1"/>
  <c r="D4271" i="1"/>
  <c r="D4270" i="1"/>
  <c r="D4269" i="1"/>
  <c r="D4268" i="1"/>
  <c r="D4267" i="1"/>
  <c r="D4266" i="1"/>
  <c r="D4265" i="1"/>
  <c r="D4264" i="1"/>
  <c r="D4263" i="1"/>
  <c r="D4262" i="1"/>
  <c r="D4261" i="1"/>
  <c r="D4260" i="1"/>
  <c r="D4259" i="1"/>
  <c r="D4258" i="1"/>
  <c r="D4257" i="1"/>
  <c r="D4256" i="1"/>
  <c r="D4255" i="1"/>
  <c r="D4254" i="1"/>
  <c r="D4253" i="1"/>
  <c r="D4252" i="1"/>
  <c r="D4251" i="1"/>
  <c r="D4250" i="1"/>
  <c r="D4249" i="1"/>
  <c r="D4248" i="1"/>
  <c r="D4247" i="1"/>
  <c r="D4246" i="1"/>
  <c r="D4245" i="1"/>
  <c r="D4244" i="1"/>
  <c r="D4243" i="1"/>
  <c r="D4242" i="1"/>
  <c r="D4241" i="1"/>
  <c r="D4240" i="1"/>
  <c r="D4239" i="1"/>
  <c r="D4238" i="1"/>
  <c r="D4237" i="1"/>
  <c r="D4236" i="1"/>
  <c r="D4235" i="1"/>
  <c r="D4234" i="1"/>
  <c r="D4233" i="1"/>
  <c r="D4231" i="1"/>
  <c r="D4230" i="1"/>
  <c r="D4229" i="1"/>
  <c r="D4228" i="1"/>
  <c r="D4227" i="1"/>
  <c r="D4226" i="1"/>
  <c r="D4225" i="1"/>
  <c r="D4224" i="1"/>
  <c r="D4223" i="1"/>
  <c r="D4222" i="1"/>
  <c r="D4221" i="1"/>
  <c r="D4220" i="1"/>
  <c r="D4219" i="1"/>
  <c r="D4218" i="1"/>
  <c r="D4217" i="1"/>
  <c r="D4216" i="1"/>
  <c r="D4215" i="1"/>
  <c r="D4214" i="1"/>
  <c r="D4213" i="1"/>
  <c r="D4212" i="1"/>
  <c r="D4211" i="1"/>
  <c r="D4210" i="1"/>
  <c r="D4209" i="1"/>
  <c r="D4208" i="1"/>
  <c r="D4207" i="1"/>
  <c r="D4206" i="1"/>
  <c r="D4205" i="1"/>
  <c r="D4204" i="1"/>
  <c r="D4203" i="1"/>
  <c r="D4202" i="1"/>
  <c r="D4201" i="1"/>
  <c r="D4200" i="1"/>
  <c r="D4199" i="1"/>
  <c r="D4198" i="1"/>
  <c r="D4197" i="1"/>
  <c r="D4196" i="1"/>
  <c r="D4195" i="1"/>
  <c r="D4193" i="1"/>
  <c r="D4192" i="1"/>
  <c r="D4191" i="1"/>
  <c r="D4190" i="1"/>
  <c r="D4189" i="1"/>
  <c r="D4188" i="1"/>
  <c r="D4187" i="1"/>
  <c r="D4186" i="1"/>
  <c r="D4184" i="1"/>
  <c r="D4183" i="1"/>
  <c r="D4182" i="1"/>
  <c r="D4180" i="1"/>
  <c r="D4179" i="1"/>
  <c r="D4178" i="1"/>
  <c r="D4177" i="1"/>
  <c r="D4176" i="1"/>
  <c r="D4175" i="1"/>
  <c r="D4174" i="1"/>
  <c r="D4172" i="1"/>
  <c r="D4171" i="1"/>
  <c r="D4170" i="1"/>
  <c r="D4169" i="1"/>
  <c r="D4168" i="1"/>
  <c r="D4167" i="1"/>
  <c r="D4166" i="1"/>
  <c r="D4165" i="1"/>
  <c r="D4164" i="1"/>
  <c r="D4163" i="1"/>
  <c r="D4162" i="1"/>
  <c r="D4161" i="1"/>
  <c r="D4160" i="1"/>
  <c r="D4159" i="1"/>
  <c r="D4158" i="1"/>
  <c r="D4157" i="1"/>
  <c r="D4156" i="1"/>
  <c r="D4155" i="1"/>
  <c r="D4154" i="1"/>
  <c r="D4153" i="1"/>
  <c r="D4152" i="1"/>
  <c r="D4151" i="1"/>
  <c r="D4150" i="1"/>
  <c r="D4149" i="1"/>
  <c r="D4148" i="1"/>
  <c r="D4147" i="1"/>
  <c r="D4146" i="1"/>
  <c r="D4145" i="1"/>
  <c r="D4144" i="1"/>
  <c r="D4143" i="1"/>
  <c r="D4142" i="1"/>
  <c r="D4141" i="1"/>
  <c r="D4140" i="1"/>
  <c r="D4139" i="1"/>
  <c r="D4138" i="1"/>
  <c r="D4137" i="1"/>
  <c r="D4136" i="1"/>
  <c r="D4135" i="1"/>
  <c r="D4134" i="1"/>
  <c r="D4133" i="1"/>
  <c r="D4132" i="1"/>
  <c r="D4131" i="1"/>
  <c r="D4130" i="1"/>
  <c r="D4129" i="1"/>
  <c r="D4128" i="1"/>
  <c r="D4127" i="1"/>
  <c r="D4126" i="1"/>
  <c r="D4125" i="1"/>
  <c r="D4124" i="1"/>
  <c r="D4123" i="1"/>
  <c r="D4122" i="1"/>
  <c r="D4121" i="1"/>
  <c r="D4120" i="1"/>
  <c r="D4119" i="1"/>
  <c r="D4118" i="1"/>
  <c r="D4117" i="1"/>
  <c r="D4116" i="1"/>
  <c r="D4115" i="1"/>
  <c r="D4114" i="1"/>
  <c r="D4113" i="1"/>
  <c r="D4112" i="1"/>
  <c r="D4111" i="1"/>
  <c r="D4110" i="1"/>
  <c r="D4109" i="1"/>
  <c r="D4108" i="1"/>
  <c r="D4107" i="1"/>
  <c r="D4106" i="1"/>
  <c r="D4105" i="1"/>
  <c r="D4104" i="1"/>
  <c r="D4103" i="1"/>
  <c r="D4102" i="1"/>
  <c r="D4101" i="1"/>
  <c r="D4100" i="1"/>
  <c r="D4099" i="1"/>
  <c r="D4098" i="1"/>
  <c r="D4097" i="1"/>
  <c r="D4096" i="1"/>
  <c r="D4095" i="1"/>
  <c r="D4094" i="1"/>
  <c r="D4093" i="1"/>
  <c r="D4092" i="1"/>
  <c r="D4090" i="1"/>
  <c r="D4089" i="1"/>
  <c r="D4088" i="1"/>
  <c r="D4087" i="1"/>
  <c r="D4086" i="1"/>
  <c r="D4084" i="1"/>
  <c r="D4082" i="1"/>
  <c r="D4081" i="1"/>
  <c r="D4080" i="1"/>
  <c r="D4078" i="1"/>
  <c r="D4077" i="1"/>
  <c r="D4076" i="1"/>
  <c r="D4075" i="1"/>
  <c r="D4074" i="1"/>
  <c r="D4073" i="1"/>
  <c r="D4072" i="1"/>
  <c r="D4071" i="1"/>
  <c r="D4070" i="1"/>
  <c r="D4069" i="1"/>
  <c r="D4068" i="1"/>
  <c r="D4067" i="1"/>
  <c r="D4066" i="1"/>
  <c r="D4065" i="1"/>
  <c r="D4064" i="1"/>
  <c r="D4063" i="1"/>
  <c r="D4062" i="1"/>
  <c r="D4061" i="1"/>
  <c r="D4060" i="1"/>
  <c r="D4059" i="1"/>
  <c r="D4058" i="1"/>
  <c r="D4057" i="1"/>
  <c r="D4056" i="1"/>
  <c r="D4055" i="1"/>
  <c r="D4054" i="1"/>
  <c r="D4053" i="1"/>
  <c r="D4052" i="1"/>
  <c r="D4051" i="1"/>
  <c r="D4050" i="1"/>
  <c r="D4049" i="1"/>
  <c r="D4048" i="1"/>
  <c r="D4047" i="1"/>
  <c r="D4046" i="1"/>
  <c r="D4045" i="1"/>
  <c r="D4044" i="1"/>
  <c r="D4043" i="1"/>
  <c r="D4042" i="1"/>
  <c r="D4041" i="1"/>
  <c r="D4040" i="1"/>
  <c r="D4039" i="1"/>
  <c r="D4038" i="1"/>
  <c r="D4037" i="1"/>
  <c r="D4036" i="1"/>
  <c r="D4035" i="1"/>
  <c r="D4034" i="1"/>
  <c r="D4033" i="1"/>
  <c r="D4032" i="1"/>
  <c r="D4031" i="1"/>
  <c r="D4030" i="1"/>
  <c r="D4029" i="1"/>
  <c r="D4026" i="1"/>
  <c r="D4023" i="1" l="1"/>
  <c r="D4022" i="1"/>
  <c r="D4021" i="1"/>
  <c r="D4020" i="1"/>
  <c r="D4019" i="1"/>
  <c r="D4017" i="1"/>
  <c r="D4016" i="1"/>
  <c r="D4015" i="1"/>
  <c r="D4014" i="1"/>
  <c r="D4013" i="1"/>
  <c r="D4012" i="1"/>
  <c r="D4011" i="1"/>
  <c r="D4010" i="1"/>
  <c r="D4009" i="1"/>
  <c r="D4008" i="1"/>
  <c r="D4007" i="1"/>
  <c r="D4006" i="1"/>
  <c r="D4005" i="1"/>
  <c r="D4004" i="1"/>
  <c r="D4003" i="1"/>
  <c r="D4002" i="1"/>
  <c r="D4001" i="1"/>
  <c r="D4000" i="1"/>
  <c r="D3999" i="1"/>
  <c r="D3998" i="1"/>
  <c r="D3997" i="1"/>
  <c r="D3996" i="1"/>
  <c r="D3995" i="1"/>
  <c r="D3994" i="1"/>
  <c r="D3993" i="1"/>
  <c r="D3992" i="1"/>
  <c r="D3991" i="1"/>
  <c r="D3990" i="1"/>
  <c r="D3989" i="1"/>
  <c r="D3988" i="1"/>
  <c r="D3987" i="1"/>
  <c r="D3986" i="1"/>
  <c r="D3985" i="1"/>
  <c r="D3984" i="1"/>
  <c r="D3983" i="1"/>
  <c r="D3982" i="1"/>
  <c r="D3981" i="1"/>
  <c r="D3980" i="1"/>
  <c r="D3979" i="1"/>
  <c r="D3978" i="1"/>
  <c r="D3977" i="1"/>
  <c r="D3976" i="1"/>
  <c r="D3975" i="1"/>
  <c r="D3974" i="1"/>
  <c r="D3973" i="1"/>
  <c r="D3972" i="1"/>
  <c r="D3971" i="1"/>
  <c r="D3970" i="1"/>
  <c r="D3969" i="1"/>
  <c r="D3968" i="1"/>
  <c r="D3967" i="1"/>
  <c r="D3966" i="1"/>
  <c r="D3965" i="1"/>
  <c r="D3964" i="1"/>
  <c r="D3963" i="1"/>
  <c r="D3962" i="1"/>
  <c r="D3961" i="1"/>
  <c r="D3960" i="1"/>
  <c r="D3959" i="1"/>
  <c r="D3958" i="1"/>
  <c r="D3957" i="1"/>
  <c r="D3956" i="1"/>
  <c r="D3955" i="1"/>
  <c r="D3954" i="1"/>
  <c r="D3953" i="1"/>
  <c r="D3952" i="1"/>
  <c r="D3951" i="1"/>
  <c r="D3950" i="1"/>
  <c r="D3949" i="1"/>
  <c r="D3948" i="1"/>
  <c r="D3947" i="1"/>
  <c r="D3946" i="1"/>
  <c r="D3945" i="1"/>
  <c r="D3944" i="1"/>
  <c r="D3943" i="1"/>
  <c r="D3942" i="1"/>
  <c r="D3941" i="1"/>
  <c r="D3940" i="1"/>
  <c r="D3939" i="1"/>
  <c r="D3938" i="1"/>
  <c r="D3937" i="1"/>
  <c r="D3936" i="1"/>
  <c r="D3935" i="1"/>
  <c r="D3934" i="1"/>
  <c r="D3933" i="1"/>
  <c r="D3932" i="1"/>
  <c r="D3931" i="1"/>
  <c r="D3930" i="1"/>
  <c r="D3929" i="1"/>
  <c r="D3928" i="1"/>
  <c r="D3927" i="1"/>
  <c r="D3926" i="1"/>
  <c r="D3925" i="1"/>
  <c r="D3924" i="1"/>
  <c r="D3923" i="1"/>
  <c r="D3922" i="1"/>
  <c r="D3921" i="1"/>
  <c r="D3920" i="1"/>
  <c r="D3919" i="1"/>
  <c r="D3918" i="1"/>
  <c r="D3917" i="1"/>
  <c r="D3916" i="1"/>
  <c r="D3915" i="1"/>
  <c r="D3914" i="1"/>
  <c r="D3913" i="1"/>
  <c r="D3912" i="1"/>
  <c r="D3911" i="1"/>
  <c r="D3910" i="1"/>
  <c r="D3909" i="1"/>
  <c r="D3908" i="1"/>
  <c r="D3907" i="1"/>
  <c r="D3906" i="1"/>
  <c r="D3905" i="1"/>
  <c r="D3904" i="1"/>
  <c r="D3903" i="1"/>
  <c r="D3902" i="1"/>
  <c r="D3901" i="1"/>
  <c r="D3900" i="1"/>
  <c r="D3899" i="1"/>
  <c r="D3898" i="1"/>
  <c r="D3897" i="1"/>
  <c r="D3895" i="1"/>
  <c r="D3893" i="1"/>
  <c r="D3892" i="1"/>
  <c r="D3891" i="1"/>
  <c r="D3890" i="1"/>
  <c r="D3889" i="1"/>
  <c r="D3888" i="1"/>
  <c r="D3887" i="1"/>
  <c r="D3886" i="1"/>
  <c r="D3885" i="1"/>
  <c r="D3884" i="1"/>
  <c r="D3883" i="1"/>
  <c r="D3882" i="1"/>
  <c r="D3881" i="1"/>
  <c r="D3880" i="1"/>
  <c r="D3879" i="1"/>
  <c r="D3878" i="1"/>
  <c r="D3877" i="1"/>
  <c r="D3876" i="1"/>
  <c r="D3875" i="1"/>
  <c r="D3874" i="1"/>
  <c r="D3873" i="1"/>
  <c r="D3872" i="1"/>
  <c r="D3871" i="1"/>
  <c r="D3870" i="1"/>
  <c r="D3869" i="1"/>
  <c r="D3868" i="1"/>
  <c r="D3867" i="1"/>
  <c r="D3866" i="1"/>
  <c r="D3865" i="1"/>
  <c r="D3864" i="1"/>
  <c r="D3863" i="1"/>
  <c r="D3862" i="1"/>
  <c r="D3861" i="1"/>
  <c r="D3860" i="1"/>
  <c r="D3859" i="1"/>
  <c r="D3858" i="1"/>
  <c r="D3857" i="1"/>
  <c r="D3856" i="1"/>
  <c r="D3855" i="1"/>
  <c r="D3854" i="1"/>
  <c r="D3853" i="1"/>
  <c r="D3852" i="1"/>
  <c r="D3851" i="1"/>
  <c r="D3850" i="1"/>
  <c r="D3849" i="1"/>
  <c r="D3848" i="1"/>
  <c r="D3847" i="1"/>
  <c r="D3846" i="1"/>
  <c r="D3845" i="1"/>
  <c r="D3844" i="1"/>
  <c r="D3843" i="1"/>
  <c r="D3842" i="1"/>
  <c r="D3841" i="1"/>
  <c r="D3840" i="1"/>
  <c r="D3839" i="1"/>
  <c r="D3838" i="1"/>
  <c r="D3837" i="1"/>
  <c r="D3836" i="1"/>
  <c r="D3835" i="1"/>
  <c r="D3834" i="1"/>
  <c r="D3833" i="1"/>
  <c r="D3832" i="1"/>
  <c r="D3831" i="1"/>
  <c r="D3830" i="1"/>
  <c r="D3829" i="1"/>
  <c r="D3828" i="1"/>
  <c r="D3827" i="1"/>
  <c r="D3826" i="1"/>
  <c r="D3825" i="1"/>
  <c r="D3824" i="1"/>
  <c r="D3823" i="1"/>
  <c r="D3822" i="1"/>
  <c r="D3821" i="1"/>
  <c r="D3820" i="1"/>
  <c r="D3819" i="1"/>
  <c r="D3818" i="1"/>
  <c r="D3817" i="1"/>
  <c r="D3815" i="1"/>
  <c r="D3814" i="1"/>
  <c r="D3813" i="1"/>
  <c r="D3812" i="1"/>
  <c r="D3811" i="1"/>
  <c r="D3810" i="1"/>
  <c r="D3809" i="1"/>
  <c r="D3808" i="1"/>
  <c r="D3807" i="1"/>
  <c r="D3806" i="1"/>
  <c r="D3804" i="1"/>
  <c r="D3803" i="1"/>
  <c r="D3801" i="1"/>
  <c r="D3800" i="1"/>
  <c r="D3799" i="1"/>
  <c r="D3798" i="1"/>
  <c r="D3797" i="1"/>
  <c r="D3796" i="1"/>
  <c r="D3795" i="1"/>
  <c r="D3794" i="1"/>
  <c r="D3793" i="1"/>
  <c r="D3791" i="1"/>
  <c r="D3790" i="1"/>
  <c r="D3789" i="1"/>
  <c r="D3788" i="1"/>
  <c r="D3787" i="1"/>
  <c r="D3786" i="1"/>
  <c r="D3785" i="1"/>
  <c r="D3784" i="1"/>
  <c r="D3783" i="1"/>
  <c r="D3782" i="1"/>
  <c r="D3781" i="1"/>
  <c r="D3780" i="1"/>
  <c r="D3779" i="1"/>
  <c r="D3778" i="1"/>
  <c r="D3777" i="1"/>
  <c r="D3776" i="1"/>
  <c r="D3775" i="1"/>
  <c r="D3774" i="1"/>
  <c r="D3773" i="1"/>
  <c r="D3772" i="1"/>
  <c r="D3771" i="1"/>
  <c r="D3770" i="1"/>
  <c r="D3769" i="1"/>
  <c r="D3768" i="1"/>
  <c r="D3767" i="1"/>
  <c r="D3766" i="1"/>
  <c r="D3765" i="1"/>
  <c r="D3764" i="1"/>
  <c r="D3763" i="1"/>
  <c r="D3762" i="1"/>
  <c r="D3761" i="1"/>
  <c r="D3760" i="1"/>
  <c r="D3759" i="1"/>
  <c r="D3758" i="1"/>
  <c r="D3757" i="1"/>
  <c r="D3756" i="1"/>
  <c r="D3755" i="1"/>
  <c r="D3754" i="1"/>
  <c r="D3753" i="1"/>
  <c r="D3752" i="1"/>
  <c r="D3751" i="1"/>
  <c r="D3750" i="1"/>
  <c r="D3749" i="1"/>
  <c r="D3748" i="1"/>
  <c r="D3747" i="1"/>
  <c r="D3746" i="1"/>
  <c r="D3745" i="1"/>
  <c r="D3744" i="1"/>
  <c r="D3743" i="1"/>
  <c r="D3742" i="1"/>
  <c r="D3741" i="1"/>
  <c r="D3740" i="1"/>
  <c r="D3739" i="1"/>
  <c r="D3738" i="1"/>
  <c r="D3737" i="1"/>
  <c r="D3736" i="1"/>
  <c r="D3735" i="1"/>
  <c r="D3734" i="1"/>
  <c r="D3733" i="1"/>
  <c r="D3732" i="1"/>
  <c r="D3731" i="1"/>
  <c r="D3730" i="1"/>
  <c r="D3729" i="1"/>
  <c r="D3728" i="1"/>
  <c r="D3727" i="1"/>
  <c r="D3726" i="1"/>
  <c r="D3724" i="1"/>
  <c r="D3722" i="1"/>
  <c r="D3719" i="1"/>
  <c r="D3718" i="1"/>
  <c r="D3716" i="1"/>
  <c r="D3715" i="1"/>
  <c r="D3714" i="1"/>
  <c r="D3713" i="1"/>
  <c r="D3712" i="1"/>
  <c r="D3711" i="1"/>
  <c r="D3710" i="1"/>
  <c r="D3709" i="1"/>
  <c r="D3708" i="1"/>
  <c r="D3707" i="1"/>
  <c r="D3706" i="1"/>
  <c r="D3705" i="1"/>
  <c r="D3704" i="1"/>
  <c r="D3703" i="1"/>
  <c r="D3702" i="1"/>
  <c r="D3701" i="1"/>
  <c r="D3700" i="1"/>
  <c r="D3699" i="1"/>
  <c r="D3698" i="1"/>
  <c r="D3697" i="1"/>
  <c r="D3696" i="1"/>
  <c r="D3695" i="1"/>
  <c r="D3694" i="1"/>
  <c r="D3693" i="1"/>
  <c r="D3692" i="1"/>
  <c r="D3691" i="1"/>
  <c r="D3690" i="1"/>
  <c r="D3689" i="1"/>
  <c r="D3686" i="1"/>
  <c r="D3683" i="1"/>
  <c r="D3680" i="1" l="1"/>
  <c r="D3679" i="1"/>
  <c r="D3678" i="1"/>
  <c r="D3675" i="1"/>
  <c r="D3674" i="1"/>
  <c r="D3673" i="1"/>
  <c r="D3672" i="1"/>
  <c r="D3671" i="1"/>
  <c r="D3670" i="1"/>
  <c r="D3669" i="1"/>
  <c r="D3668" i="1"/>
  <c r="D3667" i="1"/>
  <c r="D3666" i="1"/>
  <c r="D3665" i="1"/>
  <c r="D3664" i="1"/>
  <c r="D3663" i="1"/>
  <c r="D3662" i="1"/>
  <c r="D3661" i="1"/>
  <c r="D3660" i="1"/>
  <c r="D3659" i="1"/>
  <c r="D3658" i="1"/>
  <c r="D3657" i="1"/>
  <c r="D3656" i="1"/>
  <c r="D3655" i="1"/>
  <c r="D3654" i="1"/>
  <c r="D3653" i="1"/>
  <c r="D3652" i="1"/>
  <c r="D3651" i="1"/>
  <c r="D3650" i="1"/>
  <c r="D3649" i="1"/>
  <c r="D3648" i="1"/>
  <c r="D3647" i="1"/>
  <c r="D3646" i="1"/>
  <c r="D3645" i="1"/>
  <c r="D3644" i="1"/>
  <c r="D3643" i="1"/>
  <c r="D3642" i="1"/>
  <c r="D3641" i="1"/>
  <c r="D3640" i="1"/>
  <c r="D3639" i="1"/>
  <c r="D3638" i="1"/>
  <c r="D3637" i="1"/>
  <c r="D3636" i="1"/>
  <c r="D3635" i="1"/>
  <c r="D3634" i="1"/>
  <c r="D3633" i="1"/>
  <c r="D3632" i="1"/>
  <c r="D3631" i="1"/>
  <c r="D3630" i="1"/>
  <c r="D3629" i="1"/>
  <c r="D3628" i="1"/>
  <c r="D3627" i="1"/>
  <c r="D3626" i="1"/>
  <c r="D3625" i="1"/>
  <c r="D3624" i="1"/>
  <c r="D3623" i="1"/>
  <c r="D3622" i="1"/>
  <c r="D3621" i="1"/>
  <c r="D3620" i="1"/>
  <c r="D3619" i="1"/>
  <c r="D3618" i="1"/>
  <c r="D3617" i="1"/>
  <c r="D3616" i="1"/>
  <c r="D3615" i="1"/>
  <c r="D3614" i="1"/>
  <c r="D3613" i="1"/>
  <c r="D3612" i="1"/>
  <c r="D3611" i="1"/>
  <c r="D3610" i="1"/>
  <c r="D3609" i="1"/>
  <c r="D3608" i="1"/>
  <c r="D3607" i="1"/>
  <c r="D3606" i="1"/>
  <c r="D3605" i="1"/>
  <c r="D3604" i="1"/>
  <c r="D3603" i="1"/>
  <c r="D3602" i="1"/>
  <c r="D3601" i="1"/>
  <c r="D3600" i="1"/>
  <c r="D3599" i="1"/>
  <c r="D3598" i="1"/>
  <c r="D3597" i="1"/>
  <c r="D3596" i="1"/>
  <c r="D3595" i="1"/>
  <c r="D3594" i="1"/>
  <c r="D3593" i="1"/>
  <c r="D3592" i="1"/>
  <c r="D3591" i="1"/>
  <c r="D3590" i="1"/>
  <c r="D3589" i="1"/>
  <c r="D3588" i="1"/>
  <c r="D3587" i="1"/>
  <c r="D3586" i="1"/>
  <c r="D3585" i="1"/>
  <c r="D3584" i="1"/>
  <c r="D3583" i="1"/>
  <c r="D3582" i="1"/>
  <c r="D3581" i="1"/>
  <c r="D3580" i="1"/>
  <c r="D3579" i="1"/>
  <c r="D3578" i="1"/>
  <c r="D3577" i="1"/>
  <c r="D3576" i="1"/>
  <c r="D3574" i="1"/>
  <c r="D3573" i="1"/>
  <c r="D3571" i="1"/>
  <c r="D3570" i="1"/>
  <c r="D3569" i="1"/>
  <c r="D3568" i="1"/>
  <c r="D3567" i="1"/>
  <c r="D3566" i="1"/>
  <c r="D3565" i="1"/>
  <c r="D3564" i="1"/>
  <c r="D3563" i="1"/>
  <c r="D3562" i="1"/>
  <c r="D3561" i="1"/>
  <c r="D3560" i="1"/>
  <c r="D3559" i="1"/>
  <c r="D3558" i="1"/>
  <c r="D3557" i="1"/>
  <c r="D3556" i="1"/>
  <c r="D3555" i="1"/>
  <c r="D3554" i="1"/>
  <c r="D3553" i="1"/>
  <c r="D3552" i="1"/>
  <c r="D3551" i="1"/>
  <c r="D3550" i="1"/>
  <c r="D3549" i="1"/>
  <c r="D3548" i="1"/>
  <c r="D3547" i="1"/>
  <c r="D3546" i="1"/>
  <c r="D3545" i="1"/>
  <c r="D3544" i="1"/>
  <c r="D3543" i="1"/>
  <c r="D3542" i="1"/>
  <c r="D3541" i="1"/>
  <c r="D3540" i="1"/>
  <c r="D3539" i="1"/>
  <c r="D3538" i="1"/>
  <c r="D3537" i="1"/>
  <c r="D3536" i="1"/>
  <c r="D3535" i="1"/>
  <c r="D3534" i="1"/>
  <c r="D3533" i="1"/>
  <c r="D3532" i="1"/>
  <c r="D3531" i="1"/>
  <c r="D3530" i="1"/>
  <c r="D3529" i="1"/>
  <c r="D3528" i="1"/>
  <c r="D3527" i="1"/>
  <c r="D3526" i="1"/>
  <c r="D3525" i="1"/>
  <c r="D3524" i="1"/>
  <c r="D3523" i="1"/>
  <c r="D3522" i="1"/>
  <c r="D3521" i="1"/>
  <c r="D3520" i="1"/>
  <c r="D3519" i="1"/>
  <c r="D3518" i="1"/>
  <c r="D3517" i="1"/>
  <c r="D3516" i="1"/>
  <c r="D3515" i="1"/>
  <c r="D3514" i="1"/>
  <c r="D3513" i="1"/>
  <c r="D3512" i="1"/>
  <c r="D3511" i="1"/>
  <c r="D3510" i="1"/>
  <c r="D3509" i="1"/>
  <c r="D3508" i="1"/>
  <c r="D3507" i="1"/>
  <c r="D3506" i="1"/>
  <c r="D3505" i="1"/>
  <c r="D3504" i="1"/>
  <c r="D3503" i="1"/>
  <c r="D3502" i="1"/>
  <c r="D3501" i="1"/>
  <c r="D3500" i="1"/>
  <c r="D3499" i="1"/>
  <c r="D3498" i="1"/>
  <c r="D3497" i="1"/>
  <c r="D3496" i="1"/>
  <c r="D3495" i="1"/>
  <c r="D3494" i="1"/>
  <c r="D3493" i="1"/>
  <c r="D3492" i="1"/>
  <c r="D3491" i="1"/>
  <c r="D3490" i="1"/>
  <c r="D3489" i="1"/>
  <c r="D3488" i="1"/>
  <c r="D3487" i="1"/>
  <c r="D3486" i="1"/>
  <c r="D3485" i="1"/>
  <c r="D3484" i="1"/>
  <c r="D3483" i="1"/>
  <c r="D3482" i="1"/>
  <c r="D3481" i="1"/>
  <c r="D3480" i="1"/>
  <c r="D3479" i="1"/>
  <c r="D3478" i="1"/>
  <c r="D3477" i="1"/>
  <c r="D3476" i="1"/>
  <c r="D3475" i="1"/>
  <c r="D3474" i="1"/>
  <c r="D3473" i="1"/>
  <c r="D3472" i="1"/>
  <c r="D3471" i="1"/>
  <c r="D3470" i="1"/>
  <c r="D3469" i="1"/>
  <c r="D3468" i="1"/>
  <c r="D3467" i="1"/>
  <c r="D3466" i="1"/>
  <c r="D3465" i="1"/>
  <c r="D3464" i="1"/>
  <c r="D3463" i="1"/>
  <c r="D3462" i="1"/>
  <c r="D3461" i="1"/>
  <c r="D3460" i="1"/>
  <c r="D3459" i="1"/>
  <c r="D3457" i="1"/>
  <c r="D3456" i="1"/>
  <c r="D3455" i="1"/>
  <c r="D3454" i="1"/>
  <c r="D3453" i="1"/>
  <c r="D3452" i="1"/>
  <c r="D3451" i="1"/>
  <c r="D3450" i="1"/>
  <c r="D3449" i="1"/>
  <c r="D3448" i="1"/>
  <c r="D3447" i="1"/>
  <c r="D3446" i="1"/>
  <c r="D3445" i="1"/>
  <c r="D3444" i="1"/>
  <c r="D3443" i="1"/>
  <c r="D3442" i="1"/>
  <c r="D3441" i="1"/>
  <c r="D3440" i="1"/>
  <c r="D3439" i="1"/>
  <c r="D3438" i="1"/>
  <c r="D3437" i="1"/>
  <c r="D3436" i="1"/>
  <c r="D3435" i="1"/>
  <c r="D3434" i="1"/>
  <c r="D3433" i="1"/>
  <c r="D3432" i="1"/>
  <c r="D3431" i="1"/>
  <c r="D3430" i="1"/>
  <c r="D3429" i="1"/>
  <c r="D3428" i="1"/>
  <c r="D3427" i="1"/>
  <c r="D3426" i="1"/>
  <c r="D3425" i="1"/>
  <c r="D3424" i="1"/>
  <c r="D3423" i="1"/>
  <c r="D3422" i="1"/>
  <c r="D3421" i="1"/>
  <c r="D3420" i="1"/>
  <c r="D3419" i="1"/>
  <c r="D3418" i="1"/>
  <c r="D3417" i="1"/>
  <c r="D3416" i="1"/>
  <c r="D3415" i="1"/>
  <c r="D3414" i="1"/>
  <c r="D3413" i="1"/>
  <c r="D3412" i="1"/>
  <c r="D3411" i="1"/>
  <c r="D3410" i="1"/>
  <c r="D3409" i="1"/>
  <c r="D3408" i="1"/>
  <c r="D3407" i="1"/>
  <c r="D3406" i="1"/>
  <c r="D3405" i="1"/>
  <c r="D3404" i="1"/>
  <c r="D3403" i="1"/>
  <c r="D3402" i="1"/>
  <c r="D3401" i="1"/>
  <c r="D3400" i="1"/>
  <c r="D3399" i="1"/>
  <c r="D3398" i="1"/>
  <c r="D3397" i="1"/>
  <c r="D3396" i="1"/>
  <c r="D3395" i="1"/>
  <c r="D3394" i="1"/>
  <c r="D3393" i="1"/>
  <c r="D3392" i="1"/>
  <c r="D3391" i="1"/>
  <c r="D3390" i="1"/>
  <c r="D3389" i="1"/>
  <c r="D3388" i="1"/>
  <c r="D3387" i="1"/>
  <c r="D3386" i="1"/>
  <c r="D3385" i="1"/>
  <c r="D3384" i="1"/>
  <c r="D3383" i="1"/>
  <c r="D3381" i="1"/>
  <c r="D3380" i="1"/>
  <c r="D3379" i="1"/>
  <c r="D3378" i="1"/>
  <c r="D3377" i="1"/>
  <c r="D3376" i="1"/>
  <c r="D3375" i="1"/>
  <c r="D3374" i="1"/>
  <c r="D3373" i="1"/>
  <c r="D3372" i="1"/>
  <c r="D3371" i="1"/>
  <c r="D3370" i="1"/>
  <c r="D3369" i="1"/>
  <c r="D3367" i="1"/>
  <c r="D3366" i="1"/>
  <c r="D3365" i="1"/>
  <c r="D3364" i="1"/>
  <c r="D3363" i="1"/>
  <c r="D3362" i="1"/>
  <c r="D3361" i="1"/>
  <c r="D3360" i="1"/>
  <c r="D3359" i="1"/>
  <c r="D3358" i="1"/>
  <c r="D3357" i="1"/>
  <c r="D3356" i="1"/>
  <c r="D3355" i="1"/>
  <c r="D3354" i="1"/>
  <c r="D3353" i="1"/>
  <c r="D3352" i="1"/>
  <c r="D3351" i="1"/>
  <c r="D3350" i="1"/>
  <c r="D3349" i="1"/>
  <c r="D3348" i="1"/>
  <c r="D3347" i="1"/>
  <c r="D3346" i="1"/>
  <c r="D3345" i="1"/>
  <c r="D3344" i="1"/>
  <c r="D3343" i="1"/>
  <c r="D3342" i="1"/>
  <c r="D3341" i="1"/>
  <c r="D3340" i="1"/>
  <c r="D3339" i="1"/>
  <c r="D3338" i="1"/>
  <c r="D3337" i="1"/>
  <c r="D3336" i="1"/>
  <c r="D3335" i="1"/>
  <c r="D3334" i="1"/>
  <c r="D3333" i="1"/>
  <c r="D3332" i="1"/>
  <c r="D3331" i="1"/>
  <c r="D3330" i="1"/>
  <c r="D3329" i="1"/>
  <c r="D3328" i="1"/>
  <c r="D3327" i="1"/>
  <c r="D3326" i="1"/>
  <c r="D3325" i="1"/>
  <c r="D3324" i="1"/>
  <c r="D3323" i="1"/>
  <c r="D3322" i="1"/>
  <c r="D3321" i="1"/>
  <c r="D3320" i="1"/>
  <c r="D3319" i="1"/>
  <c r="D3318" i="1"/>
  <c r="D3317" i="1"/>
  <c r="D3316" i="1"/>
  <c r="D3315" i="1"/>
  <c r="D3314" i="1"/>
  <c r="D3313" i="1"/>
  <c r="D3312" i="1"/>
  <c r="D3311" i="1"/>
  <c r="D3310" i="1"/>
  <c r="D3309" i="1"/>
  <c r="D3308" i="1"/>
  <c r="D3307" i="1"/>
  <c r="D3306" i="1"/>
  <c r="D3305" i="1"/>
  <c r="D3304" i="1"/>
  <c r="D3303" i="1"/>
  <c r="D3302" i="1"/>
  <c r="D3301" i="1"/>
  <c r="D3300" i="1"/>
  <c r="D3299" i="1"/>
  <c r="D3298" i="1"/>
  <c r="D3297" i="1"/>
  <c r="D3296" i="1"/>
  <c r="D3295" i="1"/>
  <c r="D3294" i="1"/>
  <c r="D3293" i="1"/>
  <c r="D3292" i="1"/>
  <c r="D3291" i="1"/>
  <c r="D3290" i="1"/>
  <c r="D3289" i="1"/>
  <c r="D3288" i="1"/>
  <c r="D3287" i="1"/>
  <c r="D3286" i="1"/>
  <c r="D3285" i="1"/>
  <c r="D3284" i="1"/>
  <c r="D3283" i="1"/>
  <c r="D3282" i="1"/>
  <c r="D3281" i="1"/>
  <c r="D3280" i="1"/>
  <c r="D3279" i="1"/>
  <c r="D3278" i="1"/>
  <c r="D3277" i="1"/>
  <c r="D3276" i="1"/>
  <c r="D3275" i="1"/>
  <c r="D3274" i="1"/>
  <c r="D3273" i="1"/>
  <c r="D3272" i="1"/>
  <c r="D3271" i="1"/>
  <c r="D3270" i="1"/>
  <c r="D3269" i="1"/>
  <c r="D3268" i="1"/>
  <c r="D3267" i="1"/>
  <c r="D3266" i="1"/>
  <c r="D3265" i="1"/>
  <c r="D3263" i="1"/>
  <c r="D3262" i="1"/>
  <c r="D3261" i="1"/>
  <c r="D3260" i="1"/>
  <c r="D3259" i="1"/>
  <c r="D3258" i="1"/>
  <c r="D3257" i="1"/>
  <c r="D3255" i="1"/>
  <c r="D3254" i="1"/>
  <c r="D3253" i="1"/>
  <c r="D3252" i="1"/>
  <c r="D3251" i="1"/>
  <c r="D3250" i="1"/>
  <c r="D3249" i="1"/>
  <c r="D3248" i="1"/>
  <c r="D3247" i="1"/>
  <c r="D3246" i="1"/>
  <c r="D3245" i="1"/>
  <c r="D3244" i="1"/>
  <c r="D3243" i="1"/>
  <c r="D3242" i="1"/>
  <c r="D3241" i="1"/>
  <c r="D3240" i="1"/>
  <c r="D3239" i="1"/>
  <c r="D3237" i="1"/>
  <c r="D3234" i="1"/>
  <c r="D3233" i="1"/>
  <c r="D3231" i="1"/>
  <c r="D3230" i="1"/>
  <c r="D3229" i="1"/>
  <c r="D3228" i="1"/>
  <c r="D3227" i="1"/>
  <c r="D3226" i="1"/>
  <c r="D3225" i="1"/>
  <c r="D3224" i="1"/>
  <c r="D3223" i="1"/>
  <c r="D3222" i="1"/>
  <c r="D3221" i="1"/>
  <c r="D3220" i="1"/>
  <c r="D3219" i="1"/>
  <c r="D3218" i="1"/>
  <c r="D3216" i="1"/>
  <c r="D3215" i="1"/>
  <c r="D3214" i="1"/>
  <c r="D3212" i="1"/>
  <c r="D3211" i="1"/>
  <c r="D3209" i="1"/>
  <c r="D3208" i="1"/>
  <c r="D3207" i="1"/>
  <c r="D3206" i="1"/>
  <c r="D3205" i="1"/>
  <c r="D3204" i="1"/>
  <c r="D3203" i="1"/>
  <c r="D3202" i="1"/>
  <c r="D3201" i="1"/>
  <c r="D3200" i="1"/>
  <c r="D3199" i="1"/>
  <c r="D3198" i="1"/>
  <c r="D3197" i="1"/>
  <c r="D3196" i="1"/>
  <c r="D3195" i="1"/>
  <c r="D3194" i="1"/>
  <c r="D3193" i="1"/>
  <c r="D3192" i="1"/>
  <c r="D3191" i="1"/>
  <c r="D3190" i="1"/>
  <c r="D3189" i="1"/>
  <c r="D3188" i="1"/>
  <c r="D3187" i="1"/>
  <c r="D3186" i="1"/>
  <c r="D3185" i="1"/>
  <c r="D3184" i="1"/>
  <c r="D3183" i="1"/>
  <c r="D3182" i="1"/>
  <c r="D3181" i="1"/>
  <c r="D3180" i="1"/>
  <c r="D3179" i="1"/>
  <c r="D3178" i="1"/>
  <c r="D3177" i="1"/>
  <c r="D3176" i="1"/>
  <c r="D3175" i="1"/>
  <c r="D3174" i="1"/>
  <c r="D3173" i="1"/>
  <c r="D3172" i="1"/>
  <c r="D3171" i="1"/>
  <c r="D3170" i="1"/>
  <c r="D3169" i="1"/>
  <c r="D3168" i="1"/>
  <c r="D3167" i="1"/>
  <c r="D3166" i="1"/>
  <c r="D3165" i="1"/>
  <c r="D3164" i="1"/>
  <c r="D3163" i="1"/>
  <c r="D3162" i="1"/>
  <c r="D3161" i="1"/>
  <c r="D3160" i="1"/>
  <c r="D3159" i="1"/>
  <c r="D3158" i="1"/>
  <c r="D3157" i="1"/>
  <c r="D3156" i="1"/>
  <c r="D3155" i="1"/>
  <c r="D3154" i="1"/>
  <c r="D3153" i="1"/>
  <c r="D3152" i="1"/>
  <c r="D3151" i="1"/>
  <c r="D3150" i="1"/>
  <c r="D3149" i="1"/>
  <c r="D3148" i="1"/>
  <c r="D3147" i="1"/>
  <c r="D3146" i="1"/>
  <c r="D3145" i="1"/>
  <c r="D3144" i="1"/>
  <c r="D3143" i="1"/>
  <c r="D3142" i="1"/>
  <c r="D3141" i="1"/>
  <c r="D3140" i="1"/>
  <c r="D3139" i="1"/>
  <c r="D3138" i="1"/>
  <c r="D3137" i="1"/>
  <c r="D3136" i="1"/>
  <c r="D3135" i="1"/>
  <c r="D3134" i="1"/>
  <c r="D3133" i="1"/>
  <c r="D3132" i="1"/>
  <c r="D3131" i="1"/>
  <c r="D3130" i="1"/>
  <c r="D3129" i="1"/>
  <c r="D3128" i="1"/>
  <c r="D3127" i="1"/>
  <c r="D3126" i="1"/>
  <c r="D3125" i="1"/>
  <c r="D3124" i="1"/>
  <c r="D3123" i="1"/>
  <c r="D3122" i="1"/>
  <c r="D3121" i="1"/>
  <c r="D3120" i="1"/>
  <c r="D3119" i="1"/>
  <c r="D3118" i="1"/>
  <c r="D3117" i="1"/>
  <c r="D3116" i="1"/>
  <c r="D3115" i="1"/>
  <c r="D3114" i="1"/>
  <c r="D3113" i="1"/>
  <c r="D3112" i="1"/>
  <c r="D3111" i="1"/>
  <c r="D3110" i="1"/>
  <c r="D3109" i="1"/>
  <c r="D3108" i="1"/>
  <c r="D3107" i="1"/>
  <c r="D3106" i="1"/>
  <c r="D3105" i="1"/>
  <c r="D3104" i="1"/>
  <c r="D3103" i="1"/>
  <c r="D3102" i="1"/>
  <c r="D3101" i="1"/>
  <c r="D3100" i="1"/>
  <c r="D3099" i="1"/>
  <c r="D3098" i="1"/>
  <c r="D3097" i="1"/>
  <c r="D3096" i="1"/>
  <c r="D3095" i="1"/>
  <c r="D3094" i="1"/>
  <c r="D3093" i="1"/>
  <c r="D3092" i="1"/>
  <c r="D3091" i="1"/>
  <c r="D3090" i="1"/>
  <c r="D3089" i="1"/>
  <c r="D3088" i="1"/>
  <c r="D3087" i="1"/>
  <c r="D3086" i="1"/>
  <c r="D3085" i="1"/>
  <c r="D3084" i="1"/>
  <c r="D3083" i="1"/>
  <c r="D3082" i="1"/>
  <c r="D3081" i="1"/>
  <c r="D3080" i="1"/>
  <c r="D3079" i="1"/>
  <c r="D3078" i="1"/>
  <c r="D3077" i="1"/>
  <c r="D3076" i="1"/>
  <c r="D3075" i="1"/>
  <c r="D3074" i="1"/>
  <c r="D3073" i="1"/>
  <c r="D3072" i="1"/>
  <c r="D3071" i="1"/>
  <c r="D3069" i="1"/>
  <c r="D3068" i="1"/>
  <c r="D3067" i="1"/>
  <c r="D3066" i="1"/>
  <c r="D3065" i="1"/>
  <c r="D3064" i="1"/>
  <c r="D3063" i="1"/>
  <c r="D3062" i="1"/>
  <c r="D3061" i="1"/>
  <c r="D3060" i="1"/>
  <c r="D3059" i="1"/>
  <c r="D3058" i="1"/>
  <c r="D3057" i="1"/>
  <c r="D3056" i="1"/>
  <c r="D3055" i="1"/>
  <c r="D3054" i="1"/>
  <c r="D3053" i="1"/>
  <c r="D3052" i="1"/>
  <c r="D3051" i="1"/>
  <c r="D3050" i="1"/>
  <c r="D3049" i="1"/>
  <c r="D3048" i="1"/>
  <c r="D3047" i="1"/>
  <c r="D3046" i="1"/>
  <c r="D3045" i="1"/>
  <c r="D3044" i="1"/>
  <c r="D3041" i="1"/>
  <c r="D3038" i="1"/>
  <c r="D3035" i="1"/>
  <c r="D3034" i="1"/>
  <c r="D3033" i="1"/>
  <c r="D3030" i="1" l="1"/>
  <c r="D3029" i="1"/>
  <c r="D3028" i="1"/>
  <c r="D3027" i="1"/>
  <c r="D3026" i="1"/>
  <c r="D3025" i="1"/>
  <c r="D3024" i="1"/>
  <c r="D3023" i="1"/>
  <c r="D3022" i="1"/>
  <c r="D3021" i="1"/>
  <c r="D3020" i="1"/>
  <c r="D3019" i="1"/>
  <c r="D3018" i="1"/>
  <c r="D3017" i="1"/>
  <c r="D3016" i="1"/>
  <c r="D3015" i="1"/>
  <c r="D3014" i="1"/>
  <c r="D3013" i="1"/>
  <c r="D3011" i="1"/>
  <c r="D3010" i="1"/>
  <c r="D3009" i="1"/>
  <c r="D3008" i="1"/>
  <c r="D3007" i="1"/>
  <c r="D3006" i="1"/>
  <c r="D3005" i="1"/>
  <c r="D3004" i="1"/>
  <c r="D3003" i="1"/>
  <c r="D3002" i="1"/>
  <c r="D3001" i="1"/>
  <c r="D3000" i="1"/>
  <c r="D2999" i="1"/>
  <c r="D2998" i="1"/>
  <c r="D2997" i="1"/>
  <c r="D2996" i="1"/>
  <c r="D2995" i="1"/>
  <c r="D2994" i="1"/>
  <c r="D2993" i="1"/>
  <c r="D2992" i="1"/>
  <c r="D2991" i="1"/>
  <c r="D2990" i="1"/>
  <c r="D2989" i="1"/>
  <c r="D2988" i="1"/>
  <c r="D2987" i="1"/>
  <c r="D2986" i="1"/>
  <c r="D2985" i="1"/>
  <c r="D2984" i="1"/>
  <c r="D2983" i="1"/>
  <c r="D2982" i="1"/>
  <c r="D2981" i="1"/>
  <c r="D2980" i="1"/>
  <c r="D2979" i="1"/>
  <c r="D2978" i="1"/>
  <c r="D2977" i="1"/>
  <c r="D2976" i="1"/>
  <c r="D2975" i="1"/>
  <c r="D2974" i="1"/>
  <c r="D2973" i="1"/>
  <c r="D2972" i="1"/>
  <c r="D2971" i="1"/>
  <c r="D2970" i="1"/>
  <c r="D2969" i="1"/>
  <c r="D2968" i="1"/>
  <c r="D2967" i="1"/>
  <c r="D2966" i="1"/>
  <c r="D2965" i="1"/>
  <c r="D2964" i="1"/>
  <c r="D2963" i="1"/>
  <c r="D2962" i="1"/>
  <c r="D2961" i="1"/>
  <c r="D2960" i="1"/>
  <c r="D2959" i="1"/>
  <c r="D2958" i="1"/>
  <c r="D2957" i="1"/>
  <c r="D2956" i="1"/>
  <c r="D2955" i="1"/>
  <c r="D2954" i="1"/>
  <c r="D2953" i="1"/>
  <c r="D2952" i="1"/>
  <c r="D2951" i="1"/>
  <c r="D2950" i="1"/>
  <c r="D2949" i="1"/>
  <c r="D2948" i="1"/>
  <c r="D2947" i="1"/>
  <c r="D2946" i="1"/>
  <c r="D2945" i="1"/>
  <c r="D2944" i="1"/>
  <c r="D2943" i="1"/>
  <c r="D2942" i="1"/>
  <c r="D2941" i="1"/>
  <c r="D2940" i="1"/>
  <c r="D2939" i="1"/>
  <c r="D2938" i="1"/>
  <c r="D2937" i="1"/>
  <c r="D2936" i="1"/>
  <c r="D2935" i="1"/>
  <c r="D2934" i="1"/>
  <c r="D2933" i="1"/>
  <c r="D2932" i="1"/>
  <c r="D2931" i="1"/>
  <c r="D2930" i="1"/>
  <c r="D2929" i="1"/>
  <c r="D2928" i="1"/>
  <c r="D2927" i="1"/>
  <c r="D2926" i="1"/>
  <c r="D2925" i="1"/>
  <c r="D2924" i="1"/>
  <c r="D2923" i="1"/>
  <c r="D2922" i="1"/>
  <c r="D2921" i="1"/>
  <c r="D2920" i="1"/>
  <c r="D2919" i="1"/>
  <c r="D2918" i="1"/>
  <c r="D2917" i="1"/>
  <c r="D2916" i="1"/>
  <c r="D2915" i="1"/>
  <c r="D2914" i="1"/>
  <c r="D2913" i="1"/>
  <c r="D2912" i="1"/>
  <c r="D2911" i="1"/>
  <c r="D2910" i="1"/>
  <c r="D2909" i="1"/>
  <c r="D2908" i="1"/>
  <c r="D2907" i="1"/>
  <c r="D2906" i="1"/>
  <c r="D2905" i="1"/>
  <c r="D2904" i="1"/>
  <c r="D2903" i="1"/>
  <c r="D2902" i="1"/>
  <c r="D2901" i="1"/>
  <c r="D2900" i="1"/>
  <c r="D2899" i="1"/>
  <c r="D2898" i="1"/>
  <c r="D2897" i="1"/>
  <c r="D2896" i="1"/>
  <c r="D2895" i="1"/>
  <c r="D2894" i="1"/>
  <c r="D2893" i="1"/>
  <c r="D2892" i="1"/>
  <c r="D2891" i="1"/>
  <c r="D2890" i="1"/>
  <c r="D2889" i="1"/>
  <c r="D2888" i="1"/>
  <c r="D2887" i="1"/>
  <c r="D2886" i="1"/>
  <c r="D2885" i="1"/>
  <c r="D2884" i="1"/>
  <c r="D2883" i="1"/>
  <c r="D2882" i="1"/>
  <c r="D2881" i="1"/>
  <c r="D2880" i="1"/>
  <c r="D2879" i="1"/>
  <c r="D2878" i="1"/>
  <c r="D2877" i="1"/>
  <c r="D2876" i="1"/>
  <c r="D2875" i="1"/>
  <c r="D2874" i="1"/>
  <c r="D2873" i="1"/>
  <c r="D2872" i="1"/>
  <c r="D2871" i="1"/>
  <c r="D2870" i="1"/>
  <c r="D2869" i="1"/>
  <c r="D2868" i="1"/>
  <c r="D2867" i="1"/>
  <c r="D2866" i="1"/>
  <c r="D2865" i="1"/>
  <c r="D2864" i="1"/>
  <c r="D2863" i="1"/>
  <c r="D2862" i="1"/>
  <c r="D2861" i="1"/>
  <c r="D2860" i="1"/>
  <c r="D2859" i="1"/>
  <c r="D2858" i="1"/>
  <c r="D2857" i="1"/>
  <c r="D2856" i="1"/>
  <c r="D2855" i="1"/>
  <c r="D2854" i="1"/>
  <c r="D2853" i="1"/>
  <c r="D2852" i="1"/>
  <c r="D2851" i="1"/>
  <c r="D2850" i="1"/>
  <c r="D2849" i="1"/>
  <c r="D2848" i="1"/>
  <c r="D2847" i="1"/>
  <c r="D2846" i="1"/>
  <c r="D2845" i="1"/>
  <c r="D2844" i="1"/>
  <c r="D2843" i="1"/>
  <c r="D2842" i="1"/>
  <c r="D2841" i="1"/>
  <c r="D2840" i="1"/>
  <c r="D2839" i="1"/>
  <c r="D2838" i="1"/>
  <c r="D2837" i="1"/>
  <c r="D2836" i="1"/>
  <c r="D2834" i="1"/>
  <c r="D2832" i="1"/>
  <c r="D2831" i="1"/>
  <c r="D2830" i="1"/>
  <c r="D2829" i="1"/>
  <c r="D2828" i="1"/>
  <c r="D2827" i="1"/>
  <c r="D2826" i="1"/>
  <c r="D2825" i="1"/>
  <c r="D2824" i="1"/>
  <c r="D2823" i="1"/>
  <c r="D2822" i="1"/>
  <c r="D2821" i="1"/>
  <c r="D2820" i="1"/>
  <c r="D2819" i="1"/>
  <c r="D2818" i="1"/>
  <c r="D2817" i="1"/>
  <c r="D2816" i="1"/>
  <c r="D2815" i="1"/>
  <c r="D2814" i="1"/>
  <c r="D2813" i="1"/>
  <c r="D2812" i="1"/>
  <c r="D2811" i="1"/>
  <c r="D2810" i="1"/>
  <c r="D2809" i="1"/>
  <c r="D2808" i="1"/>
  <c r="D2807" i="1"/>
  <c r="D2806" i="1"/>
  <c r="D2805" i="1"/>
  <c r="D2804" i="1"/>
  <c r="D2803" i="1"/>
  <c r="D2802" i="1"/>
  <c r="D2801" i="1"/>
  <c r="D2800" i="1"/>
  <c r="D2799" i="1"/>
  <c r="D2798" i="1"/>
  <c r="D2797" i="1"/>
  <c r="D2796" i="1"/>
  <c r="D2795" i="1"/>
  <c r="D2794" i="1"/>
  <c r="D2793" i="1"/>
  <c r="D2792" i="1"/>
  <c r="D2791" i="1"/>
  <c r="D2790" i="1"/>
  <c r="D2789" i="1"/>
  <c r="D2788" i="1"/>
  <c r="D2787" i="1"/>
  <c r="D2786" i="1"/>
  <c r="D2785" i="1"/>
  <c r="D2784" i="1"/>
  <c r="D2783" i="1"/>
  <c r="D2782" i="1"/>
  <c r="D2781" i="1"/>
  <c r="D2780" i="1"/>
  <c r="D2779" i="1"/>
  <c r="D2778" i="1"/>
  <c r="D2777" i="1"/>
  <c r="D2776" i="1"/>
  <c r="D2775" i="1"/>
  <c r="D2774" i="1"/>
  <c r="D2772" i="1"/>
  <c r="D2771" i="1"/>
  <c r="D2770" i="1"/>
  <c r="D2769" i="1"/>
  <c r="D2768" i="1"/>
  <c r="D2767" i="1"/>
  <c r="D2766" i="1"/>
  <c r="D2765" i="1"/>
  <c r="D2764" i="1"/>
  <c r="D2763" i="1"/>
  <c r="D2762" i="1"/>
  <c r="D2761" i="1"/>
  <c r="D2760" i="1"/>
  <c r="D2759" i="1"/>
  <c r="D2758" i="1"/>
  <c r="D2757" i="1"/>
  <c r="D2755" i="1"/>
  <c r="D2754" i="1"/>
  <c r="D2753" i="1"/>
  <c r="D2752" i="1"/>
  <c r="D2751" i="1"/>
  <c r="D2750" i="1"/>
  <c r="D2749" i="1"/>
  <c r="D2748" i="1"/>
  <c r="D2747" i="1"/>
  <c r="D2746" i="1"/>
  <c r="D2745" i="1"/>
  <c r="D2744" i="1"/>
  <c r="D2743" i="1"/>
  <c r="D2742" i="1"/>
  <c r="D2740" i="1"/>
  <c r="D2739" i="1"/>
  <c r="D2738" i="1"/>
  <c r="D2737" i="1"/>
  <c r="D2736" i="1"/>
  <c r="D2735" i="1"/>
  <c r="D2734" i="1"/>
  <c r="D2733" i="1"/>
  <c r="D2732" i="1"/>
  <c r="D2731" i="1"/>
  <c r="D2730" i="1"/>
  <c r="D2729" i="1"/>
  <c r="D2728" i="1"/>
  <c r="D2727" i="1"/>
  <c r="D2726" i="1"/>
  <c r="D2725" i="1"/>
  <c r="D2724" i="1"/>
  <c r="D2723" i="1"/>
  <c r="D2722" i="1"/>
  <c r="D2721" i="1"/>
  <c r="D2720" i="1"/>
  <c r="D2719" i="1"/>
  <c r="D2718" i="1"/>
  <c r="D2717" i="1"/>
  <c r="D2716" i="1"/>
  <c r="D2715" i="1"/>
  <c r="D2714" i="1"/>
  <c r="D2713" i="1"/>
  <c r="D2712" i="1"/>
  <c r="D2711" i="1"/>
  <c r="D2710" i="1"/>
  <c r="D2709" i="1"/>
  <c r="D2708" i="1"/>
  <c r="D2707" i="1"/>
  <c r="D2706" i="1"/>
  <c r="D2705" i="1"/>
  <c r="D2704" i="1"/>
  <c r="D2703" i="1"/>
  <c r="D2702" i="1"/>
  <c r="D2701" i="1"/>
  <c r="D2700" i="1"/>
  <c r="D2699" i="1"/>
  <c r="D2698" i="1"/>
  <c r="D2697" i="1"/>
  <c r="D2696" i="1"/>
  <c r="D2695" i="1"/>
  <c r="D2694" i="1"/>
  <c r="D2693" i="1"/>
  <c r="D2692" i="1"/>
  <c r="D2691" i="1"/>
  <c r="D2690" i="1"/>
  <c r="D2689" i="1"/>
  <c r="D2688" i="1"/>
  <c r="D2687" i="1"/>
  <c r="D2686" i="1"/>
  <c r="D2685" i="1"/>
  <c r="D2684" i="1"/>
  <c r="D2683" i="1"/>
  <c r="D2682" i="1"/>
  <c r="D2681" i="1"/>
  <c r="D2680" i="1"/>
  <c r="D2679" i="1"/>
  <c r="D2678" i="1"/>
  <c r="D2677" i="1"/>
  <c r="D2676" i="1"/>
  <c r="D2675" i="1"/>
  <c r="D2674" i="1"/>
  <c r="D2673" i="1"/>
  <c r="D2672" i="1"/>
  <c r="D2671" i="1"/>
  <c r="D2670" i="1"/>
  <c r="D2669" i="1"/>
  <c r="D2668" i="1"/>
  <c r="D2667" i="1"/>
  <c r="D2666" i="1"/>
  <c r="D2665" i="1"/>
  <c r="D2664" i="1"/>
  <c r="D2662" i="1"/>
  <c r="D2661" i="1"/>
  <c r="D2659" i="1"/>
  <c r="D2658" i="1"/>
  <c r="D2657" i="1"/>
  <c r="D2656" i="1"/>
  <c r="D2654" i="1"/>
  <c r="D2652" i="1"/>
  <c r="D2651" i="1"/>
  <c r="D2650" i="1"/>
  <c r="D2649" i="1"/>
  <c r="D2648" i="1"/>
  <c r="D2647" i="1"/>
  <c r="D2646" i="1"/>
  <c r="D2645" i="1"/>
  <c r="D2644" i="1"/>
  <c r="D2643" i="1"/>
  <c r="D2642" i="1"/>
  <c r="D2641" i="1"/>
  <c r="D2640" i="1"/>
  <c r="D2639" i="1"/>
  <c r="D2638" i="1"/>
  <c r="D2637" i="1"/>
  <c r="D2636" i="1"/>
  <c r="D2635" i="1"/>
  <c r="D2634" i="1"/>
  <c r="D2633" i="1"/>
  <c r="D2632" i="1"/>
  <c r="D2631" i="1"/>
  <c r="D2630" i="1"/>
  <c r="D2629" i="1"/>
  <c r="D2628" i="1"/>
  <c r="D2627" i="1"/>
  <c r="D2626" i="1"/>
  <c r="D2625" i="1"/>
  <c r="D2624" i="1"/>
  <c r="D2623" i="1"/>
  <c r="D2622" i="1"/>
  <c r="D2621" i="1"/>
  <c r="D2620" i="1"/>
  <c r="D2619" i="1"/>
  <c r="D2618" i="1"/>
  <c r="D2616" i="1"/>
  <c r="D2615" i="1"/>
  <c r="D2614" i="1"/>
  <c r="D2611" i="1"/>
  <c r="D2610" i="1"/>
  <c r="D2607" i="1"/>
  <c r="D2603" i="1"/>
  <c r="D2600" i="1" l="1"/>
  <c r="D2599" i="1"/>
  <c r="D2598" i="1"/>
  <c r="D2597" i="1"/>
  <c r="D2596" i="1"/>
  <c r="D2595" i="1"/>
  <c r="D2594" i="1"/>
  <c r="D2593" i="1"/>
  <c r="D2592" i="1"/>
  <c r="D2591" i="1"/>
  <c r="D2590" i="1"/>
  <c r="D2589" i="1"/>
  <c r="D2588" i="1"/>
  <c r="D2587" i="1"/>
  <c r="D2586" i="1"/>
  <c r="D2585" i="1"/>
  <c r="D2584" i="1"/>
  <c r="D2583" i="1"/>
  <c r="D2582" i="1"/>
  <c r="D2581" i="1"/>
  <c r="D2580" i="1"/>
  <c r="D2579" i="1"/>
  <c r="D2578" i="1"/>
  <c r="D2577" i="1"/>
  <c r="D2576" i="1"/>
  <c r="D2575" i="1"/>
  <c r="D2574" i="1"/>
  <c r="D2573" i="1"/>
  <c r="D2572" i="1"/>
  <c r="D2571" i="1"/>
  <c r="D2570" i="1"/>
  <c r="D2569" i="1"/>
  <c r="D2568" i="1"/>
  <c r="D2567" i="1"/>
  <c r="D2566" i="1"/>
  <c r="D2565" i="1"/>
  <c r="D2564" i="1"/>
  <c r="D2563" i="1"/>
  <c r="D2562" i="1"/>
  <c r="D2561" i="1"/>
  <c r="D2560" i="1"/>
  <c r="D2559" i="1"/>
  <c r="D2558" i="1"/>
  <c r="D2557" i="1"/>
  <c r="D2556" i="1"/>
  <c r="D2555" i="1"/>
  <c r="D2554" i="1"/>
  <c r="D2553" i="1"/>
  <c r="D2552" i="1"/>
  <c r="D2551" i="1"/>
  <c r="D2550" i="1"/>
  <c r="D2549" i="1"/>
  <c r="D2548" i="1"/>
  <c r="D2547" i="1"/>
  <c r="D2546" i="1"/>
  <c r="D2545" i="1"/>
  <c r="D2544" i="1"/>
  <c r="D2543" i="1"/>
  <c r="D2542" i="1"/>
  <c r="D2541" i="1"/>
  <c r="D2540" i="1"/>
  <c r="D2539" i="1"/>
  <c r="D2538" i="1"/>
  <c r="D2537" i="1"/>
  <c r="D2536" i="1"/>
  <c r="D2535" i="1"/>
  <c r="D2534" i="1"/>
  <c r="D2533" i="1"/>
  <c r="D2532" i="1"/>
  <c r="D2531" i="1"/>
  <c r="D2530" i="1"/>
  <c r="D2529" i="1"/>
  <c r="D2528" i="1"/>
  <c r="D2527" i="1"/>
  <c r="D2526" i="1"/>
  <c r="D2525" i="1"/>
  <c r="D2524" i="1"/>
  <c r="D2523" i="1"/>
  <c r="D2522" i="1"/>
  <c r="D2521" i="1"/>
  <c r="D2520" i="1"/>
  <c r="D2519" i="1"/>
  <c r="D2518" i="1"/>
  <c r="D2517" i="1"/>
  <c r="D2516" i="1"/>
  <c r="D2515" i="1"/>
  <c r="D2514" i="1"/>
  <c r="D2513" i="1"/>
  <c r="D2512" i="1"/>
  <c r="D2511" i="1"/>
  <c r="D2510" i="1"/>
  <c r="D2509" i="1"/>
  <c r="D2508" i="1"/>
  <c r="D2507" i="1"/>
  <c r="D2506" i="1"/>
  <c r="D2505" i="1"/>
  <c r="D2504" i="1"/>
  <c r="D2503" i="1"/>
  <c r="D2502" i="1"/>
  <c r="D2501" i="1"/>
  <c r="D2500" i="1"/>
  <c r="D2499" i="1"/>
  <c r="D2498" i="1"/>
  <c r="D2497" i="1"/>
  <c r="D2496" i="1"/>
  <c r="D2495" i="1"/>
  <c r="D2494" i="1"/>
  <c r="D2493" i="1"/>
  <c r="D2492" i="1"/>
  <c r="D2491" i="1"/>
  <c r="D2490" i="1"/>
  <c r="D2489" i="1"/>
  <c r="D2488" i="1"/>
  <c r="D2487" i="1"/>
  <c r="D2486" i="1"/>
  <c r="D2485" i="1"/>
  <c r="D2484" i="1"/>
  <c r="D2483" i="1"/>
  <c r="D2482" i="1"/>
  <c r="D2481" i="1"/>
  <c r="D2480" i="1"/>
  <c r="D2479" i="1"/>
  <c r="D2478" i="1"/>
  <c r="D2477" i="1"/>
  <c r="D2476" i="1"/>
  <c r="D2475" i="1"/>
  <c r="D2474" i="1"/>
  <c r="D2473" i="1"/>
  <c r="D2472" i="1"/>
  <c r="D2471" i="1"/>
  <c r="D2470" i="1"/>
  <c r="D2469" i="1"/>
  <c r="D2468" i="1"/>
  <c r="D2467" i="1"/>
  <c r="D2466" i="1"/>
  <c r="D2465" i="1"/>
  <c r="D2464" i="1"/>
  <c r="D2463" i="1"/>
  <c r="D2462" i="1"/>
  <c r="D2461" i="1"/>
  <c r="D2460" i="1"/>
  <c r="D2459" i="1"/>
  <c r="D2458" i="1"/>
  <c r="D2457" i="1"/>
  <c r="D2456" i="1"/>
  <c r="D2455" i="1"/>
  <c r="D2454" i="1"/>
  <c r="D2453" i="1"/>
  <c r="D2452" i="1"/>
  <c r="D2451" i="1"/>
  <c r="D2450" i="1"/>
  <c r="D2449" i="1"/>
  <c r="D2448" i="1"/>
  <c r="D2447" i="1"/>
  <c r="D2446" i="1"/>
  <c r="D2445" i="1"/>
  <c r="D2444" i="1"/>
  <c r="D2443" i="1"/>
  <c r="D2442" i="1"/>
  <c r="D2441" i="1"/>
  <c r="D2440" i="1"/>
  <c r="D2439" i="1"/>
  <c r="D2438" i="1"/>
  <c r="D2437" i="1"/>
  <c r="D2436" i="1"/>
  <c r="D2435" i="1"/>
  <c r="D2434" i="1"/>
  <c r="D2433" i="1"/>
  <c r="D2432" i="1"/>
  <c r="D2431" i="1"/>
  <c r="D2430" i="1"/>
  <c r="D2429" i="1"/>
  <c r="D2428" i="1"/>
  <c r="D2427" i="1"/>
  <c r="D2426" i="1"/>
  <c r="D2425" i="1"/>
  <c r="D2424" i="1"/>
  <c r="D2423" i="1"/>
  <c r="D2422" i="1"/>
  <c r="D2421" i="1"/>
  <c r="D2420" i="1"/>
  <c r="D2419" i="1"/>
  <c r="D2418" i="1"/>
  <c r="D2417" i="1"/>
  <c r="D2416" i="1"/>
  <c r="D2415" i="1"/>
  <c r="D2414" i="1"/>
  <c r="D2413" i="1"/>
  <c r="D2412" i="1"/>
  <c r="D2411" i="1"/>
  <c r="D2410" i="1"/>
  <c r="D2409" i="1"/>
  <c r="D2408" i="1"/>
  <c r="D2407" i="1"/>
  <c r="D2406" i="1"/>
  <c r="D2405" i="1"/>
  <c r="D2404" i="1"/>
  <c r="D2403" i="1"/>
  <c r="D2402" i="1"/>
  <c r="D2401" i="1"/>
  <c r="D2400" i="1"/>
  <c r="D2399" i="1"/>
  <c r="D2398" i="1"/>
  <c r="D2397" i="1"/>
  <c r="D2396" i="1"/>
  <c r="D2395" i="1"/>
  <c r="D2394" i="1"/>
  <c r="D2393" i="1"/>
  <c r="D2392" i="1"/>
  <c r="D2391" i="1"/>
  <c r="D2390" i="1"/>
  <c r="D2389" i="1"/>
  <c r="D2388" i="1"/>
  <c r="D2387" i="1"/>
  <c r="D2386" i="1"/>
  <c r="D2385" i="1"/>
  <c r="D2384" i="1"/>
  <c r="D2383" i="1"/>
  <c r="D2382" i="1"/>
  <c r="D2381" i="1"/>
  <c r="D2380" i="1"/>
  <c r="D2379" i="1"/>
  <c r="D2378" i="1"/>
  <c r="D2377" i="1"/>
  <c r="D2375" i="1"/>
  <c r="D2374" i="1"/>
  <c r="D2373" i="1"/>
  <c r="D2372" i="1"/>
  <c r="D2371" i="1"/>
  <c r="D2370" i="1"/>
  <c r="D2369" i="1"/>
  <c r="D2368" i="1"/>
  <c r="D2367" i="1"/>
  <c r="D2366" i="1"/>
  <c r="D2365" i="1"/>
  <c r="D2364" i="1"/>
  <c r="D2363" i="1"/>
  <c r="D2362" i="1"/>
  <c r="D2361" i="1"/>
  <c r="D2360" i="1"/>
  <c r="D2359" i="1"/>
  <c r="D2358" i="1"/>
  <c r="D2357" i="1"/>
  <c r="D2356" i="1"/>
  <c r="D2355" i="1"/>
  <c r="D2354" i="1"/>
  <c r="D2353" i="1"/>
  <c r="D2352" i="1"/>
  <c r="D2351" i="1"/>
  <c r="D2350" i="1"/>
  <c r="D2349" i="1"/>
  <c r="D2348" i="1"/>
  <c r="D2347" i="1"/>
  <c r="D2346" i="1"/>
  <c r="D2345" i="1"/>
  <c r="D2344" i="1"/>
  <c r="D2343" i="1"/>
  <c r="D2342" i="1"/>
  <c r="D2340" i="1"/>
  <c r="D2339" i="1"/>
  <c r="D2338" i="1"/>
  <c r="D2337" i="1"/>
  <c r="D2336" i="1"/>
  <c r="D2335" i="1"/>
  <c r="D2334" i="1"/>
  <c r="D2333" i="1"/>
  <c r="D2332" i="1"/>
  <c r="D2331" i="1"/>
  <c r="D2330" i="1"/>
  <c r="D2329" i="1"/>
  <c r="D2328" i="1"/>
  <c r="D2327" i="1"/>
  <c r="D2326" i="1"/>
  <c r="D2324" i="1"/>
  <c r="D2323" i="1"/>
  <c r="D2322" i="1"/>
  <c r="D2321" i="1"/>
  <c r="D2320" i="1"/>
  <c r="D2319" i="1"/>
  <c r="D2318" i="1"/>
  <c r="D2317" i="1"/>
  <c r="D2316" i="1"/>
  <c r="D2315" i="1"/>
  <c r="D2314" i="1"/>
  <c r="D2313" i="1"/>
  <c r="D2312" i="1"/>
  <c r="D2311" i="1"/>
  <c r="D2310" i="1"/>
  <c r="D2309" i="1"/>
  <c r="D2308" i="1"/>
  <c r="D2307" i="1"/>
  <c r="D2306" i="1"/>
  <c r="D2305" i="1"/>
  <c r="D2304" i="1"/>
  <c r="D2303" i="1"/>
  <c r="D2302" i="1"/>
  <c r="D2301" i="1"/>
  <c r="D2300" i="1"/>
  <c r="D2299" i="1"/>
  <c r="D2298" i="1"/>
  <c r="D2297" i="1"/>
  <c r="D2296" i="1"/>
  <c r="D2295" i="1"/>
  <c r="D2294" i="1"/>
  <c r="D2293" i="1"/>
  <c r="D2292" i="1"/>
  <c r="D2291" i="1"/>
  <c r="D2290" i="1"/>
  <c r="D2289" i="1"/>
  <c r="D2288" i="1"/>
  <c r="D2287" i="1"/>
  <c r="D2286" i="1"/>
  <c r="D2285" i="1"/>
  <c r="D2284" i="1"/>
  <c r="D2283" i="1"/>
  <c r="D2282" i="1"/>
  <c r="D2281" i="1"/>
  <c r="D2280" i="1"/>
  <c r="D2279" i="1"/>
  <c r="D2278" i="1"/>
  <c r="D2277" i="1"/>
  <c r="D2276" i="1"/>
  <c r="D2275" i="1"/>
  <c r="D2274" i="1"/>
  <c r="D2273" i="1"/>
  <c r="D2272" i="1"/>
  <c r="D2271" i="1"/>
  <c r="D2270" i="1"/>
  <c r="D2269" i="1"/>
  <c r="D2268" i="1"/>
  <c r="D2267" i="1"/>
  <c r="D2266" i="1"/>
  <c r="D2265" i="1"/>
  <c r="D2264" i="1"/>
  <c r="D2263" i="1"/>
  <c r="D2262" i="1"/>
  <c r="D2261" i="1"/>
  <c r="D2260" i="1"/>
  <c r="D2259" i="1"/>
  <c r="D2258" i="1"/>
  <c r="D2257" i="1"/>
  <c r="D2256" i="1"/>
  <c r="D2255" i="1"/>
  <c r="D2254" i="1"/>
  <c r="D2253" i="1"/>
  <c r="D2252" i="1"/>
  <c r="D2251" i="1"/>
  <c r="D2250" i="1"/>
  <c r="D2249" i="1"/>
  <c r="D2248" i="1"/>
  <c r="D2247" i="1"/>
  <c r="D2246" i="1"/>
  <c r="D2245" i="1"/>
  <c r="D2244" i="1"/>
  <c r="D2243" i="1"/>
  <c r="D2242" i="1"/>
  <c r="D2241" i="1"/>
  <c r="D2240" i="1"/>
  <c r="D2239" i="1"/>
  <c r="D2238" i="1"/>
  <c r="D2237" i="1"/>
  <c r="D2236" i="1"/>
  <c r="D2235" i="1"/>
  <c r="D2234" i="1"/>
  <c r="D2233" i="1"/>
  <c r="D2232" i="1"/>
  <c r="D2231" i="1"/>
  <c r="D2230" i="1"/>
  <c r="D2229" i="1"/>
  <c r="D2228" i="1"/>
  <c r="D2227" i="1"/>
  <c r="D2226" i="1"/>
  <c r="D2225" i="1"/>
  <c r="D2224" i="1"/>
  <c r="D2223" i="1"/>
  <c r="D2221" i="1"/>
  <c r="D2219" i="1"/>
  <c r="D2218" i="1"/>
  <c r="D2217" i="1"/>
  <c r="D2214" i="1"/>
  <c r="D2213" i="1"/>
  <c r="D2211" i="1"/>
  <c r="D2210" i="1"/>
  <c r="D2209" i="1"/>
  <c r="D2208" i="1"/>
  <c r="D2207" i="1"/>
  <c r="D2206" i="1"/>
  <c r="D2205" i="1"/>
  <c r="D2204" i="1"/>
  <c r="D2203" i="1"/>
  <c r="D2202" i="1"/>
  <c r="D2201" i="1"/>
  <c r="D2200" i="1"/>
  <c r="D2199" i="1"/>
  <c r="D2198" i="1"/>
  <c r="D2197" i="1"/>
  <c r="D2196" i="1"/>
  <c r="D2195" i="1"/>
  <c r="D2194" i="1"/>
  <c r="D2193" i="1"/>
  <c r="D2192" i="1"/>
  <c r="D2191" i="1"/>
  <c r="D2190" i="1"/>
  <c r="D2189" i="1"/>
  <c r="D2188" i="1"/>
  <c r="D2187" i="1"/>
  <c r="D2186" i="1"/>
  <c r="D2185" i="1"/>
  <c r="D2182" i="1"/>
  <c r="D2181" i="1"/>
  <c r="D2180" i="1"/>
  <c r="D2177" i="1"/>
  <c r="D2176" i="1"/>
  <c r="D2173" i="1" l="1"/>
  <c r="D2171" i="1"/>
  <c r="D2167" i="1"/>
  <c r="D2166" i="1"/>
  <c r="D2165" i="1"/>
  <c r="D2163" i="1"/>
  <c r="D2162" i="1"/>
  <c r="D2161" i="1"/>
  <c r="D2160" i="1"/>
  <c r="D2159" i="1"/>
  <c r="D2158" i="1"/>
  <c r="D2157" i="1"/>
  <c r="D2156" i="1"/>
  <c r="D2155" i="1"/>
  <c r="D2154" i="1"/>
  <c r="D2153" i="1"/>
  <c r="D2152" i="1"/>
  <c r="D2151" i="1"/>
  <c r="D2150" i="1"/>
  <c r="D2149" i="1"/>
  <c r="D2148" i="1"/>
  <c r="D2147" i="1"/>
  <c r="D2146" i="1"/>
  <c r="D2145" i="1"/>
  <c r="D2144" i="1"/>
  <c r="D2143" i="1"/>
  <c r="D2142" i="1"/>
  <c r="D2141" i="1"/>
  <c r="D2140" i="1"/>
  <c r="D2139" i="1"/>
  <c r="D2138" i="1"/>
  <c r="D2137" i="1"/>
  <c r="D2136" i="1"/>
  <c r="D2135" i="1"/>
  <c r="D2134" i="1"/>
  <c r="D2133" i="1"/>
  <c r="D2132" i="1"/>
  <c r="D2131" i="1"/>
  <c r="D2130" i="1"/>
  <c r="D2129" i="1"/>
  <c r="D2128" i="1"/>
  <c r="D2127" i="1"/>
  <c r="D2126" i="1"/>
  <c r="D2125" i="1"/>
  <c r="D2124" i="1"/>
  <c r="D2123" i="1"/>
  <c r="D2122" i="1"/>
  <c r="D2121" i="1"/>
  <c r="D2120" i="1"/>
  <c r="D2119" i="1"/>
  <c r="D2118" i="1"/>
  <c r="D2117" i="1"/>
  <c r="D2116" i="1"/>
  <c r="D2115" i="1"/>
  <c r="D2114" i="1"/>
  <c r="D2113" i="1"/>
  <c r="D2112" i="1"/>
  <c r="D2111" i="1"/>
  <c r="D2110" i="1"/>
  <c r="D2109" i="1"/>
  <c r="D2108" i="1"/>
  <c r="D2107" i="1"/>
  <c r="D2106" i="1"/>
  <c r="D2105" i="1"/>
  <c r="D2104" i="1"/>
  <c r="D2103" i="1"/>
  <c r="D2102" i="1"/>
  <c r="D2101" i="1"/>
  <c r="D2100" i="1"/>
  <c r="D2099" i="1"/>
  <c r="D2098" i="1"/>
  <c r="D2097" i="1"/>
  <c r="D2096" i="1"/>
  <c r="D2095" i="1"/>
  <c r="D2094" i="1"/>
  <c r="D2093" i="1"/>
  <c r="D2092" i="1"/>
  <c r="D2091" i="1"/>
  <c r="D2090" i="1"/>
  <c r="D2089" i="1"/>
  <c r="D2088" i="1"/>
  <c r="D2087" i="1"/>
  <c r="D2086" i="1"/>
  <c r="D2085" i="1"/>
  <c r="D2084" i="1"/>
  <c r="D2083" i="1"/>
  <c r="D2082" i="1"/>
  <c r="D2081" i="1"/>
  <c r="D2080" i="1"/>
  <c r="D2079" i="1"/>
  <c r="D2078" i="1"/>
  <c r="D2077" i="1"/>
  <c r="D2076" i="1"/>
  <c r="D2075" i="1"/>
  <c r="D2074" i="1"/>
  <c r="D2073" i="1"/>
  <c r="D2072" i="1"/>
  <c r="D2071" i="1"/>
  <c r="D2070" i="1"/>
  <c r="D2069" i="1"/>
  <c r="D2068" i="1"/>
  <c r="D2067" i="1"/>
  <c r="D2066" i="1"/>
  <c r="D2065" i="1"/>
  <c r="D2064" i="1"/>
  <c r="D2063" i="1"/>
  <c r="D2062" i="1"/>
  <c r="D2061" i="1"/>
  <c r="D2060" i="1"/>
  <c r="D2059" i="1"/>
  <c r="D2058" i="1"/>
  <c r="D2057" i="1"/>
  <c r="D2056" i="1"/>
  <c r="D2055" i="1"/>
  <c r="D2054" i="1"/>
  <c r="D2053" i="1"/>
  <c r="D2052" i="1"/>
  <c r="D2051" i="1"/>
  <c r="D2050" i="1"/>
  <c r="D2049" i="1"/>
  <c r="D2048" i="1"/>
  <c r="D2047" i="1"/>
  <c r="D2046" i="1"/>
  <c r="D2045" i="1"/>
  <c r="D2044" i="1"/>
  <c r="D2043" i="1"/>
  <c r="D2042" i="1"/>
  <c r="D2041" i="1"/>
  <c r="D2040" i="1"/>
  <c r="D2039" i="1"/>
  <c r="D2038" i="1"/>
  <c r="D2037" i="1"/>
  <c r="D2036" i="1"/>
  <c r="D2035" i="1"/>
  <c r="D2034" i="1"/>
  <c r="D2033" i="1"/>
  <c r="D2032" i="1"/>
  <c r="D2031" i="1"/>
  <c r="D2030" i="1"/>
  <c r="D2029" i="1"/>
  <c r="D2028" i="1"/>
  <c r="D2026" i="1"/>
  <c r="D2025" i="1"/>
  <c r="D2022" i="1"/>
  <c r="D2021" i="1"/>
  <c r="D2020" i="1"/>
  <c r="D2019" i="1"/>
  <c r="D2018" i="1"/>
  <c r="D2017" i="1"/>
  <c r="D2016" i="1"/>
  <c r="D2015" i="1"/>
  <c r="D2014" i="1"/>
  <c r="D2013" i="1"/>
  <c r="D2012" i="1"/>
  <c r="D2011" i="1"/>
  <c r="D2010" i="1"/>
  <c r="D2009" i="1"/>
  <c r="D2008" i="1"/>
  <c r="D2007" i="1"/>
  <c r="D2006" i="1"/>
  <c r="D2005" i="1"/>
  <c r="D2004" i="1"/>
  <c r="D2003" i="1"/>
  <c r="D2002" i="1"/>
  <c r="D2001" i="1"/>
  <c r="D2000" i="1"/>
  <c r="D1999" i="1"/>
  <c r="D1998" i="1"/>
  <c r="D1997" i="1"/>
  <c r="D1996" i="1"/>
  <c r="D1995" i="1"/>
  <c r="D1994" i="1"/>
  <c r="D1993" i="1"/>
  <c r="D1992" i="1"/>
  <c r="D1991" i="1"/>
  <c r="D1990" i="1"/>
  <c r="D1989" i="1"/>
  <c r="D1988" i="1"/>
  <c r="D1987" i="1"/>
  <c r="D1986" i="1"/>
  <c r="D1985" i="1"/>
  <c r="D1984" i="1"/>
  <c r="D1983" i="1"/>
  <c r="D1982" i="1"/>
  <c r="D1981" i="1"/>
  <c r="D1980" i="1"/>
  <c r="D1979" i="1"/>
  <c r="D1978" i="1"/>
  <c r="D1977" i="1"/>
  <c r="D1976" i="1"/>
  <c r="D1975" i="1"/>
  <c r="D1974" i="1"/>
  <c r="D1973" i="1"/>
  <c r="D1972" i="1"/>
  <c r="D1971" i="1"/>
  <c r="D1970" i="1"/>
  <c r="D1969" i="1"/>
  <c r="D1968" i="1"/>
  <c r="D1967" i="1"/>
  <c r="D1966" i="1"/>
  <c r="D1965" i="1"/>
  <c r="D1964" i="1"/>
  <c r="D1963" i="1"/>
  <c r="D1961" i="1"/>
  <c r="D1960" i="1"/>
  <c r="D1959" i="1"/>
  <c r="D1958" i="1"/>
  <c r="D1957" i="1"/>
  <c r="D1956" i="1"/>
  <c r="D1955" i="1"/>
  <c r="D1954" i="1"/>
  <c r="D1953" i="1"/>
  <c r="D1952" i="1"/>
  <c r="D1951" i="1"/>
  <c r="D1950" i="1"/>
  <c r="D1949" i="1"/>
  <c r="D1948" i="1"/>
  <c r="D1947" i="1"/>
  <c r="D1946" i="1"/>
  <c r="D1945" i="1"/>
  <c r="D1944" i="1"/>
  <c r="D1943" i="1"/>
  <c r="D1942" i="1"/>
  <c r="D1941" i="1"/>
  <c r="D1940" i="1"/>
  <c r="D1939" i="1"/>
  <c r="D1938" i="1"/>
  <c r="D1937" i="1"/>
  <c r="D1936" i="1"/>
  <c r="D1935" i="1"/>
  <c r="D1934" i="1"/>
  <c r="D1933" i="1"/>
  <c r="D1932" i="1"/>
  <c r="D1931" i="1"/>
  <c r="D1930" i="1"/>
  <c r="D1929" i="1"/>
  <c r="D1928" i="1"/>
  <c r="D1927" i="1"/>
  <c r="D1925" i="1"/>
  <c r="D1924" i="1"/>
  <c r="D1923" i="1"/>
  <c r="D1922" i="1"/>
  <c r="D1921" i="1"/>
  <c r="D1920" i="1"/>
  <c r="D1919" i="1"/>
  <c r="D1918" i="1"/>
  <c r="D1916" i="1"/>
  <c r="D1915" i="1"/>
  <c r="D1914" i="1"/>
  <c r="D1913" i="1"/>
  <c r="D1912" i="1"/>
  <c r="D1911" i="1"/>
  <c r="D1910" i="1"/>
  <c r="D1909" i="1"/>
  <c r="D1908" i="1"/>
  <c r="D1907" i="1"/>
  <c r="D1906" i="1"/>
  <c r="D1905" i="1"/>
  <c r="D1904" i="1"/>
  <c r="D1903" i="1"/>
  <c r="D1902" i="1"/>
  <c r="D1901" i="1"/>
  <c r="D1900" i="1"/>
  <c r="D1899" i="1"/>
  <c r="D1898" i="1"/>
  <c r="D1897" i="1"/>
  <c r="D1896" i="1"/>
  <c r="D1895" i="1"/>
  <c r="D1894" i="1"/>
  <c r="D1893" i="1"/>
  <c r="D1892" i="1"/>
  <c r="D1891" i="1"/>
  <c r="D1890" i="1"/>
  <c r="D1889" i="1"/>
  <c r="D1888" i="1"/>
  <c r="D1887" i="1"/>
  <c r="D1886" i="1"/>
  <c r="D1885" i="1"/>
  <c r="D1884" i="1"/>
  <c r="D1883" i="1"/>
  <c r="D1882" i="1"/>
  <c r="D1881" i="1"/>
  <c r="D1880" i="1"/>
  <c r="D1879" i="1"/>
  <c r="D1878" i="1"/>
  <c r="D1877" i="1"/>
  <c r="D1876" i="1"/>
  <c r="D1875" i="1"/>
  <c r="D1874" i="1"/>
  <c r="D1873" i="1"/>
  <c r="D1872" i="1"/>
  <c r="D1871" i="1"/>
  <c r="D1870" i="1"/>
  <c r="D1869" i="1"/>
  <c r="D1868" i="1"/>
  <c r="D1867" i="1"/>
  <c r="D1866" i="1"/>
  <c r="D1865" i="1"/>
  <c r="D1864" i="1"/>
  <c r="D1863" i="1"/>
  <c r="D1862" i="1"/>
  <c r="D1861" i="1"/>
  <c r="D1860" i="1"/>
  <c r="D1859" i="1"/>
  <c r="D1858" i="1"/>
  <c r="D1857" i="1"/>
  <c r="D1856" i="1"/>
  <c r="D1855" i="1"/>
  <c r="D1854" i="1"/>
  <c r="D1853" i="1"/>
  <c r="D1852" i="1"/>
  <c r="D1851" i="1"/>
  <c r="D1850" i="1"/>
  <c r="D1849" i="1"/>
  <c r="D1848" i="1"/>
  <c r="D1847" i="1"/>
  <c r="D1846" i="1"/>
  <c r="D1845" i="1"/>
  <c r="D1844" i="1"/>
  <c r="D1843" i="1"/>
  <c r="D1842" i="1"/>
  <c r="D1841" i="1"/>
  <c r="D1840" i="1"/>
  <c r="D1839" i="1"/>
  <c r="D1838" i="1"/>
  <c r="D1837" i="1"/>
  <c r="D1836" i="1"/>
  <c r="D1835" i="1"/>
  <c r="D1834" i="1"/>
  <c r="D1833" i="1"/>
  <c r="D1831" i="1"/>
  <c r="D1829" i="1"/>
  <c r="D1827" i="1"/>
  <c r="D1826" i="1"/>
  <c r="D1825" i="1"/>
  <c r="D1823" i="1"/>
  <c r="D1822" i="1"/>
  <c r="D1821" i="1"/>
  <c r="D1820" i="1"/>
  <c r="D1819" i="1"/>
  <c r="D1818" i="1"/>
  <c r="D1817" i="1"/>
  <c r="D1816" i="1"/>
  <c r="D1815" i="1"/>
  <c r="D1814" i="1"/>
  <c r="D1813" i="1"/>
  <c r="D1812" i="1"/>
  <c r="D1811" i="1"/>
  <c r="D1810" i="1"/>
  <c r="D1809" i="1"/>
  <c r="D1808" i="1"/>
  <c r="D1807" i="1"/>
  <c r="D1806" i="1"/>
  <c r="D1805" i="1"/>
  <c r="D1804" i="1"/>
  <c r="D1803" i="1"/>
  <c r="D1802" i="1"/>
  <c r="D1801" i="1"/>
  <c r="D1799" i="1"/>
  <c r="D1798" i="1"/>
  <c r="D1797" i="1"/>
  <c r="D1796" i="1"/>
  <c r="D1795" i="1"/>
  <c r="D1793" i="1"/>
  <c r="D1791" i="1"/>
  <c r="D1788" i="1" l="1"/>
  <c r="D1784" i="1"/>
  <c r="D1783" i="1"/>
  <c r="D1782" i="1"/>
  <c r="D1781" i="1"/>
  <c r="D1780" i="1"/>
  <c r="D1779" i="1"/>
  <c r="D1778" i="1"/>
  <c r="D1777" i="1"/>
  <c r="D1776" i="1"/>
  <c r="D1775" i="1"/>
  <c r="D1774" i="1"/>
  <c r="D1773" i="1"/>
  <c r="D1771" i="1"/>
  <c r="D1770" i="1"/>
  <c r="D1769" i="1"/>
  <c r="D1768" i="1"/>
  <c r="D1767" i="1"/>
  <c r="D1766" i="1"/>
  <c r="D1765" i="1"/>
  <c r="D1764" i="1"/>
  <c r="D1763" i="1"/>
  <c r="D1762" i="1"/>
  <c r="D1761" i="1"/>
  <c r="D1760" i="1"/>
  <c r="D1759" i="1"/>
  <c r="D1758" i="1"/>
  <c r="D1757" i="1"/>
  <c r="D1756" i="1"/>
  <c r="D1755" i="1"/>
  <c r="D1754" i="1"/>
  <c r="D1753" i="1"/>
  <c r="D1752" i="1"/>
  <c r="D1751" i="1"/>
  <c r="D1750" i="1"/>
  <c r="D1749" i="1"/>
  <c r="D1748" i="1"/>
  <c r="D1747" i="1"/>
  <c r="D1746" i="1"/>
  <c r="D1745" i="1"/>
  <c r="D1744" i="1"/>
  <c r="D1743" i="1"/>
  <c r="D1742" i="1"/>
  <c r="D1741" i="1"/>
  <c r="D1740" i="1"/>
  <c r="D1739" i="1"/>
  <c r="D1738" i="1"/>
  <c r="D1737" i="1"/>
  <c r="D1736" i="1"/>
  <c r="D1735" i="1"/>
  <c r="D1734" i="1"/>
  <c r="D1733" i="1"/>
  <c r="D1732" i="1"/>
  <c r="D1731" i="1"/>
  <c r="D1730" i="1"/>
  <c r="D1729" i="1"/>
  <c r="D1728" i="1"/>
  <c r="D1727" i="1"/>
  <c r="D1726" i="1"/>
  <c r="D1725" i="1"/>
  <c r="D1724" i="1"/>
  <c r="D1723" i="1"/>
  <c r="D1722" i="1"/>
  <c r="D1721" i="1"/>
  <c r="D1720" i="1"/>
  <c r="D1719" i="1"/>
  <c r="D1718" i="1"/>
  <c r="D1717" i="1"/>
  <c r="D1716" i="1"/>
  <c r="D1715" i="1"/>
  <c r="D1714" i="1"/>
  <c r="D1713" i="1"/>
  <c r="D1712" i="1"/>
  <c r="D1711" i="1"/>
  <c r="D1710" i="1"/>
  <c r="D1709" i="1"/>
  <c r="D1708" i="1"/>
  <c r="D1707" i="1"/>
  <c r="D1706" i="1"/>
  <c r="D1705" i="1"/>
  <c r="D1704" i="1"/>
  <c r="D1703" i="1"/>
  <c r="D1702" i="1"/>
  <c r="D1701" i="1"/>
  <c r="D1700" i="1"/>
  <c r="D1699" i="1"/>
  <c r="D1698" i="1"/>
  <c r="D1697" i="1"/>
  <c r="D1696" i="1"/>
  <c r="D1695" i="1"/>
  <c r="D1693" i="1"/>
  <c r="D1691" i="1"/>
  <c r="D1690" i="1"/>
  <c r="D1688" i="1"/>
  <c r="D1687" i="1"/>
  <c r="D1686" i="1"/>
  <c r="D1685" i="1"/>
  <c r="D1684" i="1"/>
  <c r="D1683" i="1"/>
  <c r="D1682" i="1"/>
  <c r="D1681" i="1"/>
  <c r="D1680" i="1"/>
  <c r="D1679" i="1"/>
  <c r="D1678" i="1"/>
  <c r="D1677" i="1"/>
  <c r="D1676" i="1"/>
  <c r="D1675" i="1"/>
  <c r="D1674" i="1"/>
  <c r="D1673" i="1"/>
  <c r="D1672" i="1"/>
  <c r="D1671" i="1"/>
  <c r="D1670" i="1"/>
  <c r="D1669" i="1"/>
  <c r="D1668" i="1"/>
  <c r="D1667" i="1"/>
  <c r="D1666" i="1"/>
  <c r="D1665" i="1"/>
  <c r="D1664" i="1"/>
  <c r="D1663" i="1"/>
  <c r="D1662" i="1"/>
  <c r="D1661" i="1"/>
  <c r="D1660" i="1"/>
  <c r="D1659" i="1"/>
  <c r="D1658" i="1"/>
  <c r="D1657" i="1"/>
  <c r="D1656" i="1"/>
  <c r="D1655" i="1"/>
  <c r="D1654" i="1"/>
  <c r="D1653" i="1"/>
  <c r="D1652" i="1"/>
  <c r="D1651" i="1"/>
  <c r="D1650" i="1"/>
  <c r="D1649" i="1"/>
  <c r="D1648" i="1"/>
  <c r="D1647" i="1"/>
  <c r="D1646" i="1"/>
  <c r="D1645" i="1"/>
  <c r="D1644" i="1"/>
  <c r="D1643" i="1"/>
  <c r="D1642" i="1"/>
  <c r="D1641" i="1"/>
  <c r="D1639" i="1"/>
  <c r="D1638" i="1"/>
  <c r="D1637" i="1"/>
  <c r="D1636" i="1"/>
  <c r="D1635" i="1"/>
  <c r="D1634" i="1"/>
  <c r="D1633" i="1"/>
  <c r="D1631" i="1"/>
  <c r="D1630" i="1"/>
  <c r="D1629" i="1"/>
  <c r="D1628" i="1"/>
  <c r="D1627" i="1"/>
  <c r="D1626" i="1"/>
  <c r="D1625" i="1"/>
  <c r="D1624" i="1"/>
  <c r="D1623" i="1"/>
  <c r="D1622" i="1"/>
  <c r="D1621" i="1"/>
  <c r="D1620" i="1"/>
  <c r="D1619" i="1"/>
  <c r="D1618" i="1"/>
  <c r="D1617" i="1"/>
  <c r="D1616" i="1"/>
  <c r="D1615" i="1"/>
  <c r="D1614" i="1"/>
  <c r="D1613" i="1"/>
  <c r="D1612" i="1"/>
  <c r="D1611" i="1"/>
  <c r="D1610" i="1"/>
  <c r="D1609" i="1"/>
  <c r="D1608" i="1"/>
  <c r="D1607" i="1"/>
  <c r="D1606" i="1"/>
  <c r="D1605" i="1"/>
  <c r="D1604" i="1"/>
  <c r="D1603" i="1"/>
  <c r="D1602" i="1"/>
  <c r="D1601" i="1"/>
  <c r="D1600" i="1"/>
  <c r="D1599" i="1"/>
  <c r="D1598" i="1"/>
  <c r="D1597" i="1"/>
  <c r="D1596" i="1"/>
  <c r="D1595" i="1"/>
  <c r="D1594" i="1"/>
  <c r="D1593" i="1"/>
  <c r="D1592" i="1"/>
  <c r="D1591" i="1"/>
  <c r="D1590" i="1"/>
  <c r="D1589" i="1"/>
  <c r="D1588" i="1"/>
  <c r="D1587" i="1"/>
  <c r="D1586" i="1"/>
  <c r="D1585" i="1"/>
  <c r="D1584" i="1"/>
  <c r="D1583" i="1"/>
  <c r="D1582" i="1"/>
  <c r="D1581" i="1"/>
  <c r="D1580" i="1"/>
  <c r="D1579" i="1"/>
  <c r="D1578" i="1"/>
  <c r="D1577" i="1"/>
  <c r="D1576" i="1"/>
  <c r="D1575" i="1"/>
  <c r="D1574" i="1"/>
  <c r="D1573" i="1"/>
  <c r="D1572" i="1"/>
  <c r="D1571" i="1"/>
  <c r="D1570" i="1"/>
  <c r="D1569" i="1"/>
  <c r="D1568" i="1"/>
  <c r="D1567" i="1"/>
  <c r="D1566" i="1"/>
  <c r="D1565" i="1"/>
  <c r="D1563" i="1"/>
  <c r="D1561" i="1"/>
  <c r="D1560" i="1"/>
  <c r="D1559" i="1"/>
  <c r="D1557" i="1"/>
  <c r="D1556" i="1"/>
  <c r="D1555" i="1"/>
  <c r="D1554" i="1"/>
  <c r="D1553" i="1"/>
  <c r="D1551" i="1"/>
  <c r="D1550" i="1"/>
  <c r="D1549" i="1"/>
  <c r="D1548" i="1"/>
  <c r="D1547" i="1"/>
  <c r="D1546" i="1"/>
  <c r="D1545" i="1"/>
  <c r="D1544" i="1"/>
  <c r="D1543" i="1"/>
  <c r="D1542" i="1"/>
  <c r="D1541" i="1"/>
  <c r="D1540" i="1"/>
  <c r="D1539" i="1"/>
  <c r="D1538" i="1"/>
  <c r="D1536" i="1"/>
  <c r="D1535" i="1"/>
  <c r="D1534" i="1"/>
  <c r="D1531" i="1"/>
  <c r="D1530" i="1"/>
  <c r="D1527" i="1" l="1"/>
  <c r="D1524" i="1"/>
  <c r="D1523" i="1"/>
  <c r="D1519" i="1"/>
  <c r="D1518" i="1"/>
  <c r="D1517" i="1"/>
  <c r="D1516" i="1"/>
  <c r="D1515" i="1"/>
  <c r="D1514" i="1"/>
  <c r="D1513" i="1"/>
  <c r="D1512" i="1"/>
  <c r="D1511" i="1"/>
  <c r="D1510" i="1"/>
  <c r="D1509" i="1"/>
  <c r="D1508" i="1"/>
  <c r="D1507" i="1"/>
  <c r="D1506" i="1"/>
  <c r="D1505" i="1"/>
  <c r="D1504" i="1"/>
  <c r="D1503" i="1"/>
  <c r="D1502" i="1"/>
  <c r="D1501" i="1"/>
  <c r="D1500" i="1"/>
  <c r="D1499" i="1"/>
  <c r="D1498" i="1"/>
  <c r="D1497" i="1"/>
  <c r="D1496" i="1"/>
  <c r="D1495" i="1"/>
  <c r="D1494" i="1"/>
  <c r="D1493" i="1"/>
  <c r="D1492" i="1"/>
  <c r="D1491" i="1"/>
  <c r="D1490" i="1"/>
  <c r="D1489" i="1"/>
  <c r="D1488" i="1"/>
  <c r="D1487" i="1"/>
  <c r="D1486" i="1"/>
  <c r="D1485" i="1"/>
  <c r="D1484" i="1"/>
  <c r="D1483" i="1"/>
  <c r="D1482" i="1"/>
  <c r="D1481" i="1"/>
  <c r="D1480" i="1"/>
  <c r="D1479" i="1"/>
  <c r="D1478" i="1"/>
  <c r="D1477" i="1"/>
  <c r="D1476" i="1"/>
  <c r="D1475" i="1"/>
  <c r="D1474" i="1"/>
  <c r="D1473" i="1"/>
  <c r="D1472" i="1"/>
  <c r="D1471" i="1"/>
  <c r="D1470" i="1"/>
  <c r="D1469" i="1"/>
  <c r="D1468" i="1"/>
  <c r="D1467" i="1"/>
  <c r="D1466" i="1"/>
  <c r="D1465" i="1"/>
  <c r="D1464" i="1"/>
  <c r="D1463" i="1"/>
  <c r="D1462" i="1"/>
  <c r="D1461" i="1"/>
  <c r="D1460" i="1"/>
  <c r="D1459" i="1"/>
  <c r="D1458" i="1"/>
  <c r="D1457" i="1"/>
  <c r="D1456" i="1"/>
  <c r="D1455" i="1"/>
  <c r="D1454" i="1"/>
  <c r="D1453" i="1"/>
  <c r="D1452" i="1"/>
  <c r="D1451" i="1"/>
  <c r="D1450" i="1"/>
  <c r="D1449" i="1"/>
  <c r="D1448" i="1"/>
  <c r="D1447" i="1"/>
  <c r="D1446" i="1"/>
  <c r="D1445" i="1"/>
  <c r="D1444" i="1"/>
  <c r="D1443" i="1"/>
  <c r="D1442" i="1"/>
  <c r="D1441" i="1"/>
  <c r="D1440" i="1"/>
  <c r="D1439" i="1"/>
  <c r="D1438" i="1"/>
  <c r="D1437" i="1"/>
  <c r="D1436" i="1"/>
  <c r="D1435" i="1"/>
  <c r="D1434" i="1"/>
  <c r="D1433" i="1"/>
  <c r="D1432" i="1"/>
  <c r="D1431" i="1"/>
  <c r="D1430" i="1"/>
  <c r="D1429" i="1"/>
  <c r="D1428" i="1"/>
  <c r="D1427" i="1"/>
  <c r="D1426" i="1"/>
  <c r="D1425" i="1"/>
  <c r="D1424" i="1"/>
  <c r="D1423" i="1"/>
  <c r="D1422" i="1"/>
  <c r="D1421" i="1"/>
  <c r="D1420" i="1"/>
  <c r="D1419" i="1"/>
  <c r="D1418" i="1"/>
  <c r="D1417" i="1"/>
  <c r="D1416" i="1"/>
  <c r="D1415" i="1"/>
  <c r="D1414" i="1"/>
  <c r="D1413" i="1"/>
  <c r="D1412" i="1"/>
  <c r="D1411" i="1"/>
  <c r="D1410" i="1"/>
  <c r="D1409" i="1"/>
  <c r="D1408" i="1"/>
  <c r="D1407" i="1"/>
  <c r="D1406" i="1"/>
  <c r="D1405" i="1"/>
  <c r="D1404" i="1"/>
  <c r="D1403" i="1"/>
  <c r="D1401" i="1"/>
  <c r="D1400" i="1"/>
  <c r="D1399" i="1"/>
  <c r="D1398" i="1"/>
  <c r="D1397" i="1"/>
  <c r="D1396" i="1"/>
  <c r="D1395" i="1"/>
  <c r="D1394" i="1"/>
  <c r="D1393" i="1"/>
  <c r="D1392" i="1"/>
  <c r="D1391" i="1"/>
  <c r="D1390" i="1"/>
  <c r="D1389" i="1"/>
  <c r="D1388" i="1"/>
  <c r="D1387" i="1"/>
  <c r="D1386" i="1"/>
  <c r="D1385" i="1"/>
  <c r="D1384" i="1"/>
  <c r="D1383" i="1"/>
  <c r="D1382" i="1"/>
  <c r="D1380" i="1"/>
  <c r="D1379" i="1"/>
  <c r="D1378" i="1"/>
  <c r="D1377" i="1"/>
  <c r="D1375" i="1"/>
  <c r="D1374" i="1"/>
  <c r="D1373" i="1"/>
  <c r="D1372" i="1"/>
  <c r="D1371" i="1"/>
  <c r="D1370" i="1"/>
  <c r="D1369" i="1"/>
  <c r="D1368" i="1"/>
  <c r="D1367" i="1"/>
  <c r="D1366" i="1"/>
  <c r="D1365" i="1"/>
  <c r="D1364" i="1"/>
  <c r="D1363" i="1"/>
  <c r="D1362" i="1"/>
  <c r="D1361" i="1"/>
  <c r="D1360" i="1"/>
  <c r="D1359" i="1"/>
  <c r="D1358" i="1"/>
  <c r="D1357" i="1"/>
  <c r="D1356" i="1"/>
  <c r="D1355" i="1"/>
  <c r="D1354" i="1"/>
  <c r="D1353" i="1"/>
  <c r="D1352" i="1"/>
  <c r="D1351" i="1"/>
  <c r="D1350" i="1"/>
  <c r="D1349" i="1"/>
  <c r="D1348" i="1"/>
  <c r="D1347" i="1"/>
  <c r="D1346" i="1"/>
  <c r="D1345" i="1"/>
  <c r="D1344" i="1"/>
  <c r="D1343" i="1"/>
  <c r="D1342" i="1"/>
  <c r="D1341" i="1"/>
  <c r="D1340" i="1"/>
  <c r="D1339" i="1"/>
  <c r="D1338" i="1"/>
  <c r="D1337" i="1"/>
  <c r="D1336" i="1"/>
  <c r="D1335" i="1"/>
  <c r="D1334" i="1"/>
  <c r="D1333" i="1"/>
  <c r="D1332" i="1"/>
  <c r="D1331" i="1"/>
  <c r="D1330" i="1"/>
  <c r="D1329" i="1"/>
  <c r="D1328" i="1"/>
  <c r="D1327" i="1"/>
  <c r="D1326" i="1"/>
  <c r="D1325" i="1"/>
  <c r="D1324" i="1"/>
  <c r="D1322" i="1"/>
  <c r="D1321" i="1"/>
  <c r="D1320" i="1"/>
  <c r="D1319" i="1"/>
  <c r="D1318" i="1"/>
  <c r="D1317" i="1"/>
  <c r="D1316" i="1"/>
  <c r="D1315" i="1"/>
  <c r="D1314" i="1"/>
  <c r="D1313" i="1"/>
  <c r="D1312" i="1"/>
  <c r="D1311" i="1"/>
  <c r="D1310" i="1"/>
  <c r="D1309" i="1"/>
  <c r="D1308" i="1"/>
  <c r="D1307" i="1"/>
  <c r="D1306" i="1"/>
  <c r="D1305" i="1"/>
  <c r="D1304" i="1"/>
  <c r="D1303" i="1"/>
  <c r="D1302" i="1"/>
  <c r="D1301" i="1"/>
  <c r="D1300" i="1"/>
  <c r="D1299" i="1"/>
  <c r="D1298" i="1"/>
  <c r="D1297" i="1"/>
  <c r="D1296" i="1"/>
  <c r="D1295" i="1"/>
  <c r="D1294" i="1"/>
  <c r="D1293" i="1"/>
  <c r="D1292" i="1"/>
  <c r="D1291" i="1"/>
  <c r="D1290" i="1"/>
  <c r="D1289" i="1"/>
  <c r="D1288" i="1"/>
  <c r="D1287" i="1"/>
  <c r="D1286" i="1"/>
  <c r="D1285" i="1"/>
  <c r="D1284" i="1"/>
  <c r="D1283" i="1"/>
  <c r="D1282" i="1"/>
  <c r="D1281" i="1"/>
  <c r="D1280" i="1"/>
  <c r="D1279" i="1"/>
  <c r="D1278" i="1"/>
  <c r="D1277" i="1"/>
  <c r="D1276" i="1"/>
  <c r="D1275" i="1"/>
  <c r="D1273" i="1"/>
  <c r="D1272" i="1"/>
  <c r="D1271" i="1"/>
  <c r="D1270" i="1"/>
  <c r="D1269" i="1"/>
  <c r="D1268" i="1"/>
  <c r="D1267" i="1"/>
  <c r="D1266" i="1"/>
  <c r="D1265" i="1"/>
  <c r="D1264" i="1"/>
  <c r="D1263" i="1"/>
  <c r="D1262" i="1"/>
  <c r="D1261" i="1"/>
  <c r="D1260" i="1"/>
  <c r="D1258" i="1"/>
  <c r="D1257" i="1"/>
  <c r="D1256" i="1"/>
  <c r="D1255" i="1"/>
  <c r="D1254" i="1"/>
  <c r="D1253" i="1"/>
  <c r="D1252" i="1"/>
  <c r="D1250" i="1"/>
  <c r="D1249" i="1"/>
  <c r="D1248" i="1"/>
  <c r="D1247" i="1"/>
  <c r="D1246" i="1"/>
  <c r="D1245" i="1"/>
  <c r="D1244" i="1"/>
  <c r="D1243" i="1"/>
  <c r="D1242" i="1"/>
  <c r="D1241" i="1"/>
  <c r="D1240" i="1"/>
  <c r="D1239" i="1"/>
  <c r="D1238" i="1"/>
  <c r="D1237" i="1"/>
  <c r="D1236" i="1"/>
  <c r="D1235" i="1"/>
  <c r="D1234" i="1"/>
  <c r="D1233" i="1"/>
  <c r="D1232" i="1"/>
  <c r="D1231" i="1"/>
  <c r="D1230" i="1"/>
  <c r="D1229" i="1"/>
  <c r="D1228" i="1"/>
  <c r="D1227" i="1"/>
  <c r="D1226" i="1"/>
  <c r="D1225" i="1"/>
  <c r="D1224" i="1"/>
  <c r="D1223" i="1"/>
  <c r="D1222" i="1"/>
  <c r="D1221" i="1"/>
  <c r="D1220" i="1"/>
  <c r="D1219" i="1"/>
  <c r="D1218" i="1"/>
  <c r="D1217" i="1"/>
  <c r="D1216" i="1"/>
  <c r="D1215" i="1"/>
  <c r="D1214" i="1"/>
  <c r="D1213" i="1"/>
  <c r="D1212" i="1"/>
  <c r="D1211" i="1"/>
  <c r="D1210" i="1"/>
  <c r="D1209" i="1"/>
  <c r="D1208" i="1"/>
  <c r="D1207" i="1"/>
  <c r="D1206" i="1"/>
  <c r="D1205" i="1"/>
  <c r="D1204" i="1"/>
  <c r="D1203" i="1"/>
  <c r="D1202" i="1"/>
  <c r="D1201" i="1"/>
  <c r="D1200" i="1"/>
  <c r="D1199" i="1"/>
  <c r="D1198" i="1"/>
  <c r="D1197" i="1"/>
  <c r="D1196" i="1"/>
  <c r="D1195" i="1"/>
  <c r="D1194" i="1"/>
  <c r="D1193" i="1"/>
  <c r="D1192" i="1"/>
  <c r="D1191" i="1"/>
  <c r="D1190" i="1"/>
  <c r="D1189" i="1"/>
  <c r="D1188" i="1"/>
  <c r="D1187" i="1"/>
  <c r="D1186" i="1"/>
  <c r="D1185" i="1"/>
  <c r="D1184" i="1"/>
  <c r="D1183" i="1"/>
  <c r="D1182" i="1"/>
  <c r="D1181" i="1"/>
  <c r="D1180" i="1"/>
  <c r="D1179" i="1"/>
  <c r="D1178" i="1"/>
  <c r="D1177" i="1"/>
  <c r="D1176" i="1"/>
  <c r="D1175" i="1"/>
  <c r="D1174" i="1"/>
  <c r="D1173" i="1"/>
  <c r="D1172" i="1"/>
  <c r="D1171" i="1"/>
  <c r="D1170" i="1"/>
  <c r="D1169" i="1"/>
  <c r="D1168" i="1"/>
  <c r="D1167" i="1"/>
  <c r="D1166" i="1"/>
  <c r="D1165" i="1"/>
  <c r="D1164" i="1"/>
  <c r="D1163" i="1"/>
  <c r="D1162" i="1"/>
  <c r="D1161" i="1"/>
  <c r="D1160" i="1"/>
  <c r="D1158" i="1"/>
  <c r="D1156" i="1"/>
  <c r="D1155" i="1"/>
  <c r="D1153" i="1"/>
  <c r="D1152" i="1"/>
  <c r="D1151" i="1"/>
  <c r="D1150" i="1"/>
  <c r="D1148" i="1"/>
  <c r="D1147" i="1"/>
  <c r="D1146" i="1"/>
  <c r="D1145" i="1"/>
  <c r="D1144" i="1"/>
  <c r="D1143" i="1"/>
  <c r="D1142" i="1"/>
  <c r="D1141" i="1"/>
  <c r="D1140" i="1"/>
  <c r="D1139" i="1"/>
  <c r="D1138" i="1"/>
  <c r="D1137" i="1"/>
  <c r="D1136" i="1"/>
  <c r="D1135" i="1"/>
  <c r="D1134" i="1"/>
  <c r="D1133" i="1"/>
  <c r="D1132" i="1"/>
  <c r="D1131" i="1"/>
  <c r="D1130" i="1"/>
  <c r="D1129" i="1"/>
  <c r="D1128" i="1"/>
  <c r="D1127" i="1"/>
  <c r="D1126" i="1"/>
  <c r="D1125" i="1"/>
  <c r="D1124" i="1"/>
  <c r="D1121" i="1"/>
  <c r="D1120" i="1"/>
  <c r="D1117" i="1"/>
  <c r="D1113" i="1" l="1"/>
  <c r="D1112" i="1"/>
  <c r="D1111" i="1"/>
  <c r="D1110" i="1"/>
  <c r="D1109" i="1"/>
  <c r="D1108" i="1"/>
  <c r="D1106" i="1"/>
  <c r="D1104" i="1"/>
  <c r="D1103" i="1"/>
  <c r="D1102" i="1"/>
  <c r="D1101" i="1"/>
  <c r="D1100" i="1"/>
  <c r="D1099" i="1"/>
  <c r="D1098" i="1"/>
  <c r="D1097" i="1"/>
  <c r="D1096" i="1"/>
  <c r="D1095" i="1"/>
  <c r="D1094" i="1"/>
  <c r="D1093" i="1"/>
  <c r="D1092" i="1"/>
  <c r="D1091" i="1"/>
  <c r="D1088" i="1"/>
  <c r="D1086" i="1"/>
  <c r="D1084" i="1"/>
  <c r="D1081" i="1"/>
  <c r="D1080" i="1"/>
  <c r="D1079" i="1"/>
  <c r="D1078" i="1"/>
  <c r="D1076" i="1"/>
  <c r="D1074" i="1"/>
  <c r="D1073" i="1"/>
  <c r="D1072" i="1"/>
  <c r="D1071" i="1"/>
  <c r="D1070" i="1"/>
  <c r="D1068" i="1"/>
  <c r="D1066" i="1" l="1"/>
  <c r="D1065" i="1"/>
  <c r="D1061" i="1"/>
  <c r="D1060" i="1"/>
  <c r="D1059" i="1"/>
  <c r="D1058" i="1"/>
  <c r="D1057" i="1"/>
  <c r="D1056" i="1"/>
  <c r="D1055" i="1"/>
  <c r="D1054" i="1"/>
  <c r="D1053" i="1"/>
  <c r="D1052" i="1"/>
  <c r="D1051" i="1"/>
  <c r="D1050" i="1"/>
  <c r="D1049" i="1"/>
  <c r="D1048" i="1"/>
  <c r="D1047" i="1"/>
  <c r="D1046" i="1"/>
  <c r="D1045" i="1"/>
  <c r="D1044" i="1"/>
  <c r="D1043" i="1"/>
  <c r="D1042" i="1"/>
  <c r="D1041" i="1"/>
  <c r="D1040" i="1"/>
  <c r="D1039" i="1"/>
  <c r="D1038" i="1"/>
  <c r="D1037" i="1"/>
  <c r="D1036" i="1"/>
  <c r="D1035" i="1"/>
  <c r="D1034" i="1"/>
  <c r="D1033" i="1"/>
  <c r="D1032" i="1"/>
  <c r="D1031" i="1"/>
  <c r="D1030" i="1"/>
  <c r="D1029" i="1"/>
  <c r="D1028" i="1"/>
  <c r="D1027" i="1"/>
  <c r="D1026" i="1"/>
  <c r="D1025" i="1"/>
  <c r="D1024" i="1"/>
  <c r="D1023" i="1"/>
  <c r="D1022" i="1"/>
  <c r="D1021" i="1"/>
  <c r="D1020" i="1"/>
  <c r="D1019" i="1"/>
  <c r="D1018" i="1"/>
  <c r="D1017" i="1"/>
  <c r="D1016" i="1"/>
  <c r="D1015" i="1"/>
  <c r="D1014" i="1"/>
  <c r="D1013" i="1"/>
  <c r="D1012" i="1"/>
  <c r="D1011" i="1"/>
  <c r="D1010" i="1"/>
  <c r="D1009" i="1"/>
  <c r="D1008" i="1"/>
  <c r="D1007" i="1"/>
  <c r="D1006" i="1"/>
  <c r="D1005" i="1"/>
  <c r="D1004" i="1"/>
  <c r="D1003" i="1"/>
  <c r="D1002" i="1"/>
  <c r="D1001" i="1"/>
  <c r="D1000" i="1"/>
  <c r="D999" i="1"/>
  <c r="D998" i="1"/>
  <c r="D997" i="1"/>
  <c r="D996" i="1"/>
  <c r="D995" i="1"/>
  <c r="D994" i="1"/>
  <c r="D993" i="1"/>
  <c r="D992" i="1"/>
  <c r="D991" i="1"/>
  <c r="D990" i="1"/>
  <c r="D989" i="1"/>
  <c r="D988" i="1"/>
  <c r="D987" i="1"/>
  <c r="D986" i="1"/>
  <c r="D985" i="1"/>
  <c r="D984" i="1"/>
  <c r="D983" i="1"/>
  <c r="D982" i="1"/>
  <c r="D981" i="1"/>
  <c r="D980" i="1"/>
  <c r="D979" i="1"/>
  <c r="D978" i="1"/>
  <c r="D977" i="1"/>
  <c r="D976" i="1"/>
  <c r="D975" i="1"/>
  <c r="D974" i="1"/>
  <c r="D973" i="1"/>
  <c r="D972" i="1"/>
  <c r="D971" i="1"/>
  <c r="D970" i="1"/>
  <c r="D969" i="1"/>
  <c r="D968" i="1"/>
  <c r="D967" i="1"/>
  <c r="D966" i="1"/>
  <c r="D965" i="1"/>
  <c r="D961" i="1"/>
  <c r="D960" i="1"/>
  <c r="D959" i="1"/>
  <c r="D958" i="1"/>
  <c r="D957" i="1"/>
  <c r="D956" i="1"/>
  <c r="D955" i="1"/>
  <c r="D954" i="1"/>
  <c r="D953" i="1"/>
  <c r="D952" i="1"/>
  <c r="D951" i="1"/>
  <c r="D950" i="1"/>
  <c r="D949" i="1"/>
  <c r="D948" i="1"/>
  <c r="D947" i="1"/>
  <c r="D946" i="1"/>
  <c r="D945" i="1"/>
  <c r="D944" i="1"/>
  <c r="D943" i="1"/>
  <c r="D942" i="1"/>
  <c r="D941" i="1"/>
  <c r="D940" i="1"/>
  <c r="D939" i="1"/>
  <c r="D938" i="1"/>
  <c r="D937" i="1"/>
  <c r="D936" i="1"/>
  <c r="D935" i="1"/>
  <c r="D934" i="1"/>
  <c r="D933" i="1"/>
  <c r="D932" i="1"/>
  <c r="D931" i="1"/>
  <c r="D930" i="1"/>
  <c r="D929" i="1"/>
  <c r="D928" i="1"/>
  <c r="D927" i="1"/>
  <c r="D926" i="1"/>
  <c r="D925" i="1"/>
  <c r="D924" i="1"/>
  <c r="D923" i="1"/>
  <c r="D922" i="1"/>
  <c r="D921" i="1"/>
  <c r="D920" i="1"/>
  <c r="D919" i="1"/>
  <c r="D918" i="1"/>
  <c r="D917" i="1"/>
  <c r="D916" i="1"/>
  <c r="D915" i="1"/>
  <c r="D914" i="1"/>
  <c r="D913" i="1"/>
  <c r="D912" i="1"/>
  <c r="D911" i="1"/>
  <c r="D910" i="1"/>
  <c r="D909" i="1"/>
  <c r="D908" i="1"/>
  <c r="D907" i="1"/>
  <c r="D906" i="1"/>
  <c r="D905" i="1"/>
  <c r="D904" i="1"/>
  <c r="D903" i="1"/>
  <c r="D902" i="1"/>
  <c r="D901" i="1"/>
  <c r="D900" i="1"/>
  <c r="D899" i="1"/>
  <c r="D898" i="1"/>
  <c r="D897" i="1"/>
  <c r="D896" i="1"/>
  <c r="D895" i="1"/>
  <c r="D894" i="1"/>
  <c r="D893" i="1"/>
  <c r="D892" i="1"/>
  <c r="D891" i="1"/>
  <c r="D890" i="1"/>
  <c r="D889" i="1"/>
  <c r="D888" i="1"/>
  <c r="D887" i="1"/>
  <c r="D886" i="1"/>
  <c r="D885" i="1"/>
  <c r="D884" i="1"/>
  <c r="D883" i="1"/>
  <c r="D882" i="1"/>
  <c r="D881" i="1"/>
  <c r="D880" i="1"/>
  <c r="D879" i="1"/>
  <c r="D878" i="1"/>
  <c r="D877" i="1"/>
  <c r="D876" i="1"/>
  <c r="D875" i="1"/>
  <c r="D874" i="1"/>
  <c r="D873" i="1"/>
  <c r="D872" i="1"/>
  <c r="D871" i="1"/>
  <c r="D870" i="1"/>
  <c r="D869" i="1"/>
  <c r="D868" i="1"/>
  <c r="D867" i="1"/>
  <c r="D866" i="1"/>
  <c r="D865" i="1"/>
  <c r="D864" i="1"/>
  <c r="D863" i="1"/>
  <c r="D862" i="1"/>
  <c r="D861" i="1"/>
  <c r="D860" i="1"/>
  <c r="D859" i="1"/>
  <c r="D858" i="1"/>
  <c r="D857" i="1"/>
  <c r="D856" i="1"/>
  <c r="D855" i="1"/>
  <c r="D854" i="1"/>
  <c r="D853" i="1"/>
  <c r="D851" i="1"/>
  <c r="D850" i="1"/>
  <c r="D849" i="1"/>
  <c r="D848" i="1"/>
  <c r="D847" i="1"/>
  <c r="D846" i="1"/>
  <c r="D845" i="1"/>
  <c r="D844" i="1"/>
  <c r="D842" i="1"/>
  <c r="D841" i="1"/>
  <c r="D840" i="1"/>
  <c r="D839" i="1"/>
  <c r="D838" i="1"/>
  <c r="D837" i="1"/>
  <c r="D836" i="1"/>
  <c r="D835" i="1"/>
  <c r="D834" i="1"/>
  <c r="D833" i="1"/>
  <c r="D832" i="1"/>
  <c r="D831" i="1"/>
  <c r="D830" i="1"/>
  <c r="D829" i="1"/>
  <c r="D828" i="1"/>
  <c r="D827" i="1"/>
  <c r="D826" i="1"/>
  <c r="D825" i="1"/>
  <c r="D824" i="1"/>
  <c r="D823" i="1"/>
  <c r="D822" i="1"/>
  <c r="D821" i="1"/>
  <c r="D820" i="1"/>
  <c r="D819" i="1"/>
  <c r="D818" i="1"/>
  <c r="D817" i="1"/>
  <c r="D816" i="1"/>
  <c r="D815" i="1"/>
  <c r="D814" i="1"/>
  <c r="D813" i="1"/>
  <c r="D812" i="1"/>
  <c r="D811" i="1"/>
  <c r="D810" i="1"/>
  <c r="D809" i="1"/>
  <c r="D808" i="1"/>
  <c r="D807" i="1"/>
  <c r="D806" i="1"/>
  <c r="D805" i="1"/>
  <c r="D804" i="1"/>
  <c r="D803" i="1"/>
  <c r="D802" i="1"/>
  <c r="D801" i="1"/>
  <c r="D800" i="1"/>
  <c r="D799" i="1"/>
  <c r="D798" i="1"/>
  <c r="D797" i="1"/>
  <c r="D796" i="1"/>
  <c r="D795" i="1"/>
  <c r="D794" i="1"/>
  <c r="D792" i="1"/>
  <c r="D791" i="1"/>
  <c r="D790" i="1"/>
  <c r="D789" i="1"/>
  <c r="D788" i="1"/>
  <c r="D787" i="1"/>
  <c r="D786" i="1"/>
  <c r="D785" i="1"/>
  <c r="D784" i="1"/>
  <c r="D783" i="1"/>
  <c r="D782" i="1"/>
  <c r="D781" i="1"/>
  <c r="D780" i="1"/>
  <c r="D779" i="1"/>
  <c r="D778" i="1"/>
  <c r="D777" i="1"/>
  <c r="D776" i="1"/>
  <c r="D775" i="1"/>
  <c r="D774" i="1"/>
  <c r="D773" i="1"/>
  <c r="D772" i="1"/>
  <c r="D771" i="1"/>
  <c r="D770" i="1"/>
  <c r="D769" i="1"/>
  <c r="D768" i="1"/>
  <c r="D767" i="1"/>
  <c r="D766" i="1"/>
  <c r="D765" i="1"/>
  <c r="D764" i="1"/>
  <c r="D763" i="1"/>
  <c r="D762" i="1"/>
  <c r="D761" i="1"/>
  <c r="D760" i="1"/>
  <c r="D759" i="1"/>
  <c r="D758" i="1"/>
  <c r="D757" i="1"/>
  <c r="D756" i="1"/>
  <c r="D754" i="1"/>
  <c r="D753" i="1"/>
  <c r="D752" i="1"/>
  <c r="D751" i="1"/>
  <c r="D750" i="1"/>
  <c r="D749" i="1"/>
  <c r="D748" i="1"/>
  <c r="D747" i="1"/>
  <c r="D746" i="1"/>
  <c r="D745" i="1"/>
  <c r="D744" i="1"/>
  <c r="D743" i="1"/>
  <c r="D742" i="1"/>
  <c r="D741" i="1"/>
  <c r="D740" i="1"/>
  <c r="D739" i="1"/>
  <c r="D738" i="1"/>
  <c r="D736" i="1"/>
  <c r="D735" i="1"/>
  <c r="D734" i="1"/>
  <c r="D733" i="1"/>
  <c r="D732" i="1"/>
  <c r="D731" i="1"/>
  <c r="D730" i="1"/>
  <c r="D729" i="1"/>
  <c r="D728" i="1"/>
  <c r="D727" i="1"/>
  <c r="D726" i="1"/>
  <c r="D725" i="1"/>
  <c r="D724" i="1"/>
  <c r="D723" i="1"/>
  <c r="D722" i="1"/>
  <c r="D721" i="1"/>
  <c r="D720" i="1"/>
  <c r="D719" i="1"/>
  <c r="D718" i="1"/>
  <c r="D717" i="1"/>
  <c r="D716" i="1"/>
  <c r="D715" i="1"/>
  <c r="D714" i="1"/>
  <c r="D713" i="1"/>
  <c r="D712" i="1"/>
  <c r="D711" i="1"/>
  <c r="D710" i="1"/>
  <c r="D709" i="1"/>
  <c r="D708" i="1"/>
  <c r="D707" i="1"/>
  <c r="D706" i="1"/>
  <c r="D705" i="1"/>
  <c r="D704" i="1"/>
  <c r="D703" i="1"/>
  <c r="D702" i="1"/>
  <c r="D701" i="1"/>
  <c r="D700" i="1"/>
  <c r="D699" i="1"/>
  <c r="D698" i="1"/>
  <c r="D697" i="1"/>
  <c r="D696" i="1"/>
  <c r="D695" i="1"/>
  <c r="D694" i="1"/>
  <c r="D693" i="1"/>
  <c r="D692" i="1"/>
  <c r="D691" i="1"/>
  <c r="D690" i="1"/>
  <c r="D689" i="1"/>
  <c r="D688" i="1"/>
  <c r="D687" i="1"/>
  <c r="D686" i="1"/>
  <c r="D685" i="1"/>
  <c r="D684" i="1"/>
  <c r="D683" i="1"/>
  <c r="D682" i="1"/>
  <c r="D681" i="1"/>
  <c r="D680" i="1"/>
  <c r="D679" i="1"/>
  <c r="D678" i="1"/>
  <c r="D677" i="1"/>
  <c r="D676" i="1"/>
  <c r="D675" i="1"/>
  <c r="D674" i="1"/>
  <c r="D673" i="1"/>
  <c r="D672" i="1"/>
  <c r="D671" i="1"/>
  <c r="D670" i="1"/>
  <c r="D669" i="1"/>
  <c r="D668" i="1"/>
  <c r="D667" i="1"/>
  <c r="D666" i="1"/>
  <c r="D665" i="1"/>
  <c r="D664" i="1"/>
  <c r="D663" i="1"/>
  <c r="D662" i="1"/>
  <c r="D661" i="1"/>
  <c r="D660" i="1"/>
  <c r="D659" i="1"/>
  <c r="D658" i="1"/>
  <c r="D657" i="1"/>
  <c r="D656" i="1"/>
  <c r="D655" i="1"/>
  <c r="D654" i="1"/>
  <c r="D653" i="1"/>
  <c r="D652" i="1"/>
  <c r="D651" i="1"/>
  <c r="D650" i="1"/>
  <c r="D649" i="1"/>
  <c r="D648" i="1"/>
  <c r="D647" i="1"/>
  <c r="D646" i="1"/>
  <c r="D645" i="1"/>
  <c r="D644" i="1"/>
  <c r="D643" i="1"/>
  <c r="D642" i="1"/>
  <c r="D641" i="1"/>
  <c r="D640" i="1"/>
  <c r="D639" i="1"/>
  <c r="D638" i="1"/>
  <c r="D637" i="1"/>
  <c r="D636" i="1"/>
  <c r="D635" i="1"/>
  <c r="D634" i="1"/>
  <c r="D633" i="1"/>
  <c r="D632" i="1"/>
  <c r="D631" i="1"/>
  <c r="D630" i="1"/>
  <c r="D629" i="1"/>
  <c r="D628" i="1"/>
  <c r="D627" i="1"/>
  <c r="D626" i="1"/>
  <c r="D624" i="1"/>
  <c r="D623" i="1"/>
  <c r="D622" i="1"/>
  <c r="D621" i="1"/>
  <c r="D619" i="1"/>
  <c r="D618" i="1"/>
  <c r="D617" i="1"/>
  <c r="D616" i="1"/>
  <c r="D615" i="1"/>
  <c r="D614" i="1"/>
  <c r="D613" i="1"/>
  <c r="D612" i="1"/>
  <c r="D611" i="1"/>
  <c r="D610" i="1"/>
  <c r="D609" i="1"/>
  <c r="D608" i="1"/>
  <c r="D607" i="1"/>
  <c r="D606" i="1"/>
  <c r="D605" i="1"/>
  <c r="D604" i="1"/>
  <c r="D603" i="1"/>
  <c r="D602" i="1"/>
  <c r="D601" i="1"/>
  <c r="D600" i="1"/>
  <c r="D599" i="1"/>
  <c r="D597" i="1"/>
  <c r="D596" i="1"/>
  <c r="D595" i="1"/>
  <c r="D594" i="1"/>
  <c r="D593" i="1"/>
  <c r="D592" i="1"/>
  <c r="D591" i="1"/>
  <c r="D590" i="1"/>
  <c r="D589" i="1"/>
  <c r="D588" i="1"/>
  <c r="D587" i="1"/>
  <c r="D586" i="1"/>
  <c r="D585" i="1"/>
  <c r="D584" i="1"/>
  <c r="D583" i="1"/>
  <c r="D582" i="1"/>
  <c r="D581" i="1"/>
  <c r="D580" i="1"/>
  <c r="D579" i="1"/>
  <c r="D578" i="1"/>
  <c r="D576" i="1"/>
  <c r="D575" i="1"/>
  <c r="D574" i="1"/>
  <c r="D573" i="1"/>
  <c r="D572" i="1"/>
  <c r="D570" i="1"/>
  <c r="D568" i="1"/>
  <c r="D566" i="1"/>
  <c r="D565" i="1"/>
  <c r="D564" i="1"/>
  <c r="D563" i="1"/>
  <c r="D562" i="1"/>
  <c r="D561" i="1"/>
  <c r="D560" i="1"/>
  <c r="D559" i="1"/>
  <c r="D558" i="1"/>
  <c r="D557" i="1"/>
  <c r="D556" i="1"/>
  <c r="D555" i="1"/>
  <c r="D554" i="1"/>
  <c r="D553" i="1"/>
  <c r="D552" i="1"/>
  <c r="D551" i="1"/>
  <c r="D550" i="1"/>
  <c r="D549" i="1"/>
  <c r="D548" i="1"/>
  <c r="D547" i="1"/>
  <c r="D546" i="1"/>
  <c r="D545" i="1"/>
  <c r="D544" i="1"/>
  <c r="D543" i="1"/>
  <c r="D542" i="1"/>
  <c r="D541" i="1"/>
  <c r="D540" i="1"/>
  <c r="D539" i="1"/>
  <c r="D538" i="1"/>
  <c r="D537" i="1"/>
  <c r="D536" i="1"/>
  <c r="D535" i="1"/>
  <c r="D534" i="1"/>
  <c r="D533" i="1"/>
  <c r="D532" i="1"/>
  <c r="D531" i="1"/>
  <c r="D530" i="1"/>
  <c r="D529" i="1"/>
  <c r="D528" i="1"/>
  <c r="D527" i="1"/>
  <c r="D526" i="1"/>
  <c r="D525" i="1"/>
  <c r="D524" i="1"/>
  <c r="D523" i="1"/>
  <c r="D522" i="1"/>
  <c r="D521" i="1"/>
  <c r="D520" i="1"/>
  <c r="D519" i="1"/>
  <c r="D518" i="1"/>
  <c r="D517" i="1"/>
  <c r="D516" i="1"/>
  <c r="D515" i="1"/>
  <c r="D514" i="1"/>
  <c r="D513" i="1"/>
  <c r="D512" i="1"/>
  <c r="D511" i="1"/>
  <c r="D510" i="1"/>
  <c r="D509" i="1"/>
  <c r="D508" i="1"/>
  <c r="D507" i="1"/>
  <c r="D506" i="1"/>
  <c r="D505" i="1"/>
  <c r="D504" i="1"/>
  <c r="D503" i="1"/>
  <c r="D502" i="1"/>
  <c r="D501" i="1"/>
  <c r="D500" i="1"/>
  <c r="D499" i="1"/>
  <c r="D498" i="1"/>
  <c r="D497" i="1"/>
  <c r="D496" i="1"/>
  <c r="D495" i="1"/>
  <c r="D494" i="1"/>
  <c r="D493" i="1"/>
  <c r="D492" i="1"/>
  <c r="D491" i="1"/>
  <c r="D490" i="1"/>
  <c r="D489" i="1"/>
  <c r="D488" i="1"/>
  <c r="D487" i="1"/>
  <c r="D486" i="1"/>
  <c r="D485" i="1"/>
  <c r="D484" i="1"/>
  <c r="D483" i="1"/>
  <c r="D482" i="1"/>
  <c r="D481" i="1"/>
  <c r="D480" i="1"/>
  <c r="D479" i="1"/>
  <c r="D478" i="1"/>
  <c r="D477" i="1"/>
  <c r="D476" i="1"/>
  <c r="D475" i="1"/>
  <c r="D474" i="1"/>
  <c r="D473" i="1"/>
  <c r="D472" i="1"/>
  <c r="D471" i="1"/>
  <c r="D470" i="1"/>
  <c r="D469" i="1"/>
  <c r="D468" i="1"/>
  <c r="D467" i="1"/>
  <c r="D466" i="1"/>
  <c r="D465" i="1"/>
  <c r="D464" i="1"/>
  <c r="D463" i="1"/>
  <c r="D462" i="1"/>
  <c r="D461" i="1"/>
  <c r="D460" i="1"/>
  <c r="D459" i="1"/>
  <c r="D458" i="1"/>
  <c r="D457" i="1"/>
  <c r="D456" i="1"/>
  <c r="D455" i="1"/>
  <c r="D454" i="1"/>
  <c r="D453" i="1"/>
  <c r="D452" i="1"/>
  <c r="D451" i="1"/>
  <c r="D450" i="1"/>
  <c r="D449" i="1"/>
  <c r="D448" i="1"/>
  <c r="D447" i="1"/>
  <c r="D446" i="1"/>
  <c r="D444" i="1"/>
  <c r="D443" i="1"/>
  <c r="D442" i="1"/>
  <c r="D441" i="1"/>
  <c r="D440" i="1"/>
  <c r="D439" i="1"/>
  <c r="D438" i="1"/>
  <c r="D437" i="1"/>
  <c r="D436" i="1"/>
  <c r="D435" i="1"/>
  <c r="D434" i="1"/>
  <c r="D433" i="1"/>
  <c r="D432" i="1"/>
  <c r="D431" i="1"/>
  <c r="D430" i="1"/>
  <c r="D429" i="1"/>
  <c r="D428" i="1"/>
  <c r="D427" i="1"/>
  <c r="D426" i="1"/>
  <c r="D425" i="1"/>
  <c r="D424" i="1"/>
  <c r="D423" i="1"/>
  <c r="D422" i="1"/>
  <c r="D421" i="1"/>
  <c r="D420" i="1"/>
  <c r="D419" i="1"/>
  <c r="D418" i="1"/>
  <c r="D417" i="1"/>
  <c r="D416" i="1"/>
  <c r="D415" i="1"/>
  <c r="D414" i="1"/>
  <c r="D413" i="1"/>
  <c r="D412" i="1"/>
  <c r="D411" i="1"/>
  <c r="D410" i="1"/>
  <c r="D409" i="1"/>
  <c r="D408" i="1"/>
  <c r="D407" i="1"/>
  <c r="D406" i="1"/>
  <c r="D405" i="1"/>
  <c r="D404" i="1"/>
  <c r="D403" i="1"/>
  <c r="D402" i="1"/>
  <c r="D401" i="1"/>
  <c r="D400" i="1"/>
  <c r="D399" i="1"/>
  <c r="D398" i="1"/>
  <c r="D397" i="1"/>
  <c r="D396" i="1"/>
  <c r="D395" i="1"/>
  <c r="D394" i="1"/>
  <c r="D393" i="1"/>
  <c r="D392" i="1"/>
  <c r="D391" i="1"/>
  <c r="D390" i="1"/>
  <c r="D389" i="1"/>
  <c r="D388" i="1"/>
  <c r="D387" i="1"/>
  <c r="D386" i="1"/>
  <c r="D385" i="1"/>
  <c r="D384" i="1"/>
  <c r="D383" i="1"/>
  <c r="D382" i="1"/>
  <c r="D381" i="1"/>
  <c r="D379" i="1"/>
  <c r="D375" i="1"/>
  <c r="D374" i="1"/>
  <c r="D373" i="1"/>
  <c r="D372" i="1"/>
  <c r="D371" i="1"/>
  <c r="D369" i="1"/>
  <c r="D368" i="1"/>
  <c r="D365" i="1"/>
  <c r="D364" i="1"/>
  <c r="D363" i="1"/>
  <c r="D362" i="1"/>
  <c r="D361" i="1"/>
  <c r="D360" i="1"/>
  <c r="D359" i="1"/>
  <c r="D358" i="1"/>
  <c r="D355" i="1"/>
  <c r="D354" i="1"/>
  <c r="D353" i="1"/>
  <c r="D350" i="1" l="1"/>
  <c r="D349" i="1"/>
  <c r="D348" i="1"/>
  <c r="D347" i="1"/>
  <c r="D346" i="1"/>
  <c r="D345" i="1"/>
  <c r="D343" i="1"/>
  <c r="D342" i="1"/>
  <c r="D341" i="1"/>
  <c r="D340" i="1"/>
  <c r="D339" i="1"/>
  <c r="D338" i="1"/>
  <c r="D337" i="1"/>
  <c r="D336" i="1"/>
  <c r="D335" i="1"/>
  <c r="D334" i="1"/>
  <c r="D333" i="1"/>
  <c r="D332" i="1"/>
  <c r="D331" i="1"/>
  <c r="D330" i="1"/>
  <c r="D329" i="1"/>
  <c r="D328" i="1"/>
  <c r="D327" i="1"/>
  <c r="D326" i="1"/>
  <c r="D325" i="1"/>
  <c r="D324" i="1"/>
  <c r="D323" i="1"/>
  <c r="D322" i="1"/>
  <c r="D321" i="1"/>
  <c r="D320" i="1"/>
  <c r="D319" i="1"/>
  <c r="D318" i="1"/>
  <c r="D317" i="1"/>
  <c r="D316" i="1"/>
  <c r="D315" i="1"/>
  <c r="D314" i="1"/>
  <c r="D313" i="1"/>
  <c r="D312" i="1"/>
  <c r="D311" i="1"/>
  <c r="D310" i="1"/>
  <c r="D309" i="1"/>
  <c r="D308" i="1"/>
  <c r="D307" i="1"/>
  <c r="D306" i="1"/>
  <c r="D305" i="1"/>
  <c r="D304" i="1"/>
  <c r="D303" i="1"/>
  <c r="D302" i="1"/>
  <c r="D301" i="1"/>
  <c r="D300" i="1"/>
  <c r="D299" i="1"/>
  <c r="D298" i="1"/>
  <c r="D297" i="1"/>
  <c r="D296" i="1"/>
  <c r="D295" i="1"/>
  <c r="D294" i="1"/>
  <c r="D293" i="1"/>
  <c r="D292" i="1"/>
  <c r="D291" i="1"/>
  <c r="D290" i="1"/>
  <c r="D289" i="1"/>
  <c r="D288" i="1"/>
  <c r="D287" i="1"/>
  <c r="D286" i="1"/>
  <c r="D285" i="1"/>
  <c r="D284" i="1"/>
  <c r="D283" i="1"/>
  <c r="D282" i="1"/>
  <c r="D281" i="1"/>
  <c r="D280" i="1"/>
  <c r="D279" i="1"/>
  <c r="D278" i="1"/>
  <c r="D277" i="1"/>
  <c r="D276" i="1"/>
  <c r="D275" i="1"/>
  <c r="D274" i="1"/>
  <c r="D273" i="1"/>
  <c r="D272" i="1"/>
  <c r="D271" i="1"/>
  <c r="D270" i="1"/>
  <c r="D269" i="1"/>
  <c r="D268" i="1"/>
  <c r="D267" i="1"/>
  <c r="D266" i="1"/>
  <c r="D265" i="1"/>
  <c r="D263" i="1"/>
  <c r="D262" i="1"/>
  <c r="D261" i="1"/>
  <c r="D260" i="1"/>
  <c r="D259" i="1"/>
  <c r="D258" i="1"/>
  <c r="D257" i="1"/>
  <c r="D256" i="1"/>
  <c r="D255" i="1"/>
  <c r="D254" i="1"/>
  <c r="D253" i="1"/>
  <c r="D252" i="1"/>
  <c r="D251" i="1"/>
  <c r="D250" i="1"/>
  <c r="D249" i="1"/>
  <c r="D248" i="1"/>
  <c r="D246" i="1"/>
  <c r="D245" i="1"/>
  <c r="D244" i="1"/>
  <c r="D243" i="1"/>
  <c r="D242" i="1"/>
  <c r="D241" i="1"/>
  <c r="D239" i="1"/>
  <c r="D236" i="1"/>
  <c r="D235" i="1"/>
  <c r="D234" i="1"/>
  <c r="D233" i="1"/>
  <c r="D232" i="1"/>
  <c r="D231" i="1"/>
  <c r="D230" i="1"/>
  <c r="D229" i="1"/>
  <c r="D228" i="1"/>
  <c r="D227" i="1"/>
  <c r="D226" i="1"/>
  <c r="D225" i="1"/>
  <c r="D224" i="1"/>
  <c r="D223" i="1"/>
  <c r="D222" i="1"/>
  <c r="D221" i="1"/>
  <c r="D220" i="1"/>
  <c r="D219" i="1"/>
  <c r="D218" i="1"/>
  <c r="D217" i="1"/>
  <c r="D216" i="1"/>
  <c r="D215" i="1"/>
  <c r="D214" i="1"/>
  <c r="D213" i="1"/>
  <c r="D212" i="1"/>
  <c r="D211" i="1"/>
  <c r="D210" i="1"/>
  <c r="D209" i="1"/>
  <c r="D208" i="1"/>
  <c r="D207" i="1"/>
  <c r="D206" i="1"/>
  <c r="D205" i="1"/>
  <c r="D204" i="1"/>
  <c r="D203" i="1"/>
  <c r="D202" i="1"/>
  <c r="D201" i="1"/>
  <c r="D200" i="1"/>
  <c r="D198" i="1"/>
  <c r="D197" i="1"/>
  <c r="D196" i="1"/>
  <c r="D195" i="1"/>
  <c r="D194" i="1"/>
  <c r="D193" i="1"/>
  <c r="D192" i="1"/>
  <c r="D191" i="1"/>
  <c r="D190" i="1"/>
  <c r="D189" i="1"/>
  <c r="D188" i="1"/>
  <c r="D187" i="1"/>
  <c r="D186" i="1"/>
  <c r="D185" i="1"/>
  <c r="D184" i="1"/>
  <c r="D183" i="1"/>
  <c r="D182" i="1"/>
  <c r="D181" i="1"/>
  <c r="D180" i="1"/>
  <c r="D179" i="1"/>
  <c r="D178" i="1"/>
  <c r="D177" i="1"/>
  <c r="D176" i="1"/>
  <c r="D175" i="1"/>
  <c r="D174" i="1"/>
  <c r="D173" i="1"/>
  <c r="D172" i="1"/>
  <c r="D171" i="1"/>
  <c r="D170" i="1"/>
  <c r="D169" i="1"/>
  <c r="D167" i="1"/>
  <c r="D166" i="1"/>
  <c r="D165" i="1"/>
  <c r="D164" i="1"/>
  <c r="D163" i="1"/>
  <c r="D162" i="1"/>
  <c r="D161" i="1"/>
  <c r="D160" i="1"/>
  <c r="D159" i="1"/>
  <c r="D158" i="1"/>
  <c r="D157" i="1"/>
  <c r="D156" i="1"/>
  <c r="D155" i="1"/>
  <c r="D154" i="1"/>
  <c r="D153" i="1"/>
  <c r="D152" i="1"/>
  <c r="D151" i="1"/>
  <c r="D149" i="1"/>
  <c r="D148" i="1"/>
  <c r="D147" i="1"/>
  <c r="D146" i="1"/>
  <c r="D145" i="1"/>
  <c r="D144" i="1"/>
  <c r="D143" i="1"/>
  <c r="D142" i="1"/>
  <c r="D141" i="1"/>
  <c r="D140" i="1"/>
  <c r="D139" i="1"/>
  <c r="D138" i="1"/>
  <c r="D137" i="1"/>
  <c r="D136" i="1"/>
  <c r="D135" i="1"/>
  <c r="D134" i="1"/>
  <c r="D133" i="1"/>
  <c r="D132" i="1"/>
  <c r="D131" i="1"/>
  <c r="D130" i="1"/>
  <c r="D129" i="1"/>
  <c r="D128" i="1"/>
  <c r="D127" i="1"/>
  <c r="D126" i="1"/>
  <c r="D125" i="1"/>
  <c r="D123" i="1"/>
  <c r="D122" i="1"/>
  <c r="D121" i="1"/>
  <c r="D120" i="1"/>
  <c r="D119" i="1"/>
  <c r="D118" i="1"/>
  <c r="D117" i="1"/>
  <c r="D116" i="1"/>
  <c r="D115" i="1"/>
  <c r="D114" i="1"/>
  <c r="D113" i="1"/>
  <c r="D112" i="1"/>
  <c r="D111" i="1"/>
  <c r="D110" i="1"/>
  <c r="D109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5" i="1"/>
  <c r="D54" i="1"/>
  <c r="D52" i="1"/>
  <c r="D50" i="1"/>
  <c r="D48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8" i="1"/>
  <c r="D17" i="1"/>
  <c r="D16" i="1"/>
  <c r="D15" i="1"/>
  <c r="D14" i="1"/>
  <c r="D13" i="1"/>
  <c r="D10" i="1"/>
  <c r="D8" i="1"/>
  <c r="D5" i="1"/>
  <c r="D4" i="1"/>
</calcChain>
</file>

<file path=xl/sharedStrings.xml><?xml version="1.0" encoding="utf-8"?>
<sst xmlns="http://schemas.openxmlformats.org/spreadsheetml/2006/main" count="32202" uniqueCount="7341">
  <si>
    <t>Component</t>
  </si>
  <si>
    <t>Component name</t>
  </si>
  <si>
    <t>Note number</t>
  </si>
  <si>
    <t>Note version</t>
  </si>
  <si>
    <t>Note description</t>
  </si>
  <si>
    <t>BW</t>
  </si>
  <si>
    <t>SAP Business Information Warehouse</t>
  </si>
  <si>
    <t>BW-BCT</t>
  </si>
  <si>
    <t>Business Content and Extractors</t>
  </si>
  <si>
    <t>BW-BCT-LSO</t>
  </si>
  <si>
    <t>SAP-Learning Solution</t>
  </si>
  <si>
    <t>BW-BCT-PA</t>
  </si>
  <si>
    <t>Personnel Management</t>
  </si>
  <si>
    <t>BW-BCT-PY</t>
  </si>
  <si>
    <t>Payroll Accounting</t>
  </si>
  <si>
    <t>FI</t>
  </si>
  <si>
    <t>Financial Accounting</t>
  </si>
  <si>
    <t>FI-TV</t>
  </si>
  <si>
    <t>Business Trip Management</t>
  </si>
  <si>
    <t>FI-TV-COS</t>
  </si>
  <si>
    <t>Trip Costs</t>
  </si>
  <si>
    <t>PA</t>
  </si>
  <si>
    <t>PA-BN</t>
  </si>
  <si>
    <t>Benefits</t>
  </si>
  <si>
    <t>PA-OS</t>
  </si>
  <si>
    <t>Organizational Plan</t>
  </si>
  <si>
    <t>PA-OS-ST</t>
  </si>
  <si>
    <t>Staffing</t>
  </si>
  <si>
    <t>Checkman correction</t>
  </si>
  <si>
    <t>PA-PA</t>
  </si>
  <si>
    <t>Personnel Administration</t>
  </si>
  <si>
    <t>PA-PA-AT</t>
  </si>
  <si>
    <t>Austria</t>
  </si>
  <si>
    <t>PA-PA-BE</t>
  </si>
  <si>
    <t>Belgium</t>
  </si>
  <si>
    <t>PA-PA-CN</t>
  </si>
  <si>
    <t>China</t>
  </si>
  <si>
    <t>PA-PA-DE</t>
  </si>
  <si>
    <t>Germany</t>
  </si>
  <si>
    <t>PA-PA-FI</t>
  </si>
  <si>
    <t>Finland</t>
  </si>
  <si>
    <t>PA-PA-FR</t>
  </si>
  <si>
    <t>France</t>
  </si>
  <si>
    <t>PA-PA-FR-TNM</t>
  </si>
  <si>
    <t>Training Need Management</t>
  </si>
  <si>
    <t>Indonesia</t>
  </si>
  <si>
    <t>PA-PA-IN</t>
  </si>
  <si>
    <t>India</t>
  </si>
  <si>
    <t>PA-PA-IT</t>
  </si>
  <si>
    <t>Italy</t>
  </si>
  <si>
    <t>Checkman corrections</t>
  </si>
  <si>
    <t>PA-PA-JP</t>
  </si>
  <si>
    <t>Japan</t>
  </si>
  <si>
    <t>PA-PA-KR</t>
  </si>
  <si>
    <t>South Korea</t>
  </si>
  <si>
    <t>PA-PA-MY</t>
  </si>
  <si>
    <t>Malaysia</t>
  </si>
  <si>
    <t>PA-PA-RU</t>
  </si>
  <si>
    <t>HR master data: Russia</t>
  </si>
  <si>
    <t>PA-PA-TH</t>
  </si>
  <si>
    <t>Thailand</t>
  </si>
  <si>
    <t>PA-PA-US</t>
  </si>
  <si>
    <t>USA</t>
  </si>
  <si>
    <t>PA-PA-US-BN</t>
  </si>
  <si>
    <t>Benefits USA</t>
  </si>
  <si>
    <t>PA-PA-US-FML</t>
  </si>
  <si>
    <t>PA-PF</t>
  </si>
  <si>
    <t>Pension Schemes</t>
  </si>
  <si>
    <t>PA-PF-CH</t>
  </si>
  <si>
    <t>Pension Fund Switzerland</t>
  </si>
  <si>
    <t>PA-PF-DE</t>
  </si>
  <si>
    <t>Company Pension Scheme Germany</t>
  </si>
  <si>
    <t>PE</t>
  </si>
  <si>
    <t>Training and Event Management</t>
  </si>
  <si>
    <t>PE-OF</t>
  </si>
  <si>
    <t>Business Event Catalog</t>
  </si>
  <si>
    <t>PY</t>
  </si>
  <si>
    <t>Payroll</t>
  </si>
  <si>
    <t>PY-AR</t>
  </si>
  <si>
    <t>Argentina</t>
  </si>
  <si>
    <t>PY-AT</t>
  </si>
  <si>
    <t>PY-AT-PS</t>
  </si>
  <si>
    <t>Public Sector</t>
  </si>
  <si>
    <t>PY-AU</t>
  </si>
  <si>
    <t>Australia</t>
  </si>
  <si>
    <t>general usability enhancements</t>
  </si>
  <si>
    <t>PY-AU-CE</t>
  </si>
  <si>
    <t>Concurrent Employment - Payroll Australia</t>
  </si>
  <si>
    <t>PY-AU-PS</t>
  </si>
  <si>
    <t>PY-BE</t>
  </si>
  <si>
    <t>PY-BE-PS</t>
  </si>
  <si>
    <t>PY-BR</t>
  </si>
  <si>
    <t>Brazil</t>
  </si>
  <si>
    <t>Adjustment of Checkman errors (BR) (don't release it)</t>
  </si>
  <si>
    <t>PY-CA</t>
  </si>
  <si>
    <t>Canada</t>
  </si>
  <si>
    <t>PY-CH</t>
  </si>
  <si>
    <t>Switzerland</t>
  </si>
  <si>
    <t>PY-CL</t>
  </si>
  <si>
    <t>Chile</t>
  </si>
  <si>
    <t>PY-CN</t>
  </si>
  <si>
    <t>PY-DE</t>
  </si>
  <si>
    <t>PY-DE-BA</t>
  </si>
  <si>
    <t>Business to Administration</t>
  </si>
  <si>
    <t>PY-DE-CI</t>
  </si>
  <si>
    <t>Construction Industry</t>
  </si>
  <si>
    <t>PY-DE-FP</t>
  </si>
  <si>
    <t>Final Payroll Processing</t>
  </si>
  <si>
    <t>PY-DE-FP-DU</t>
  </si>
  <si>
    <t>DEUEV/Miners' DEUEV</t>
  </si>
  <si>
    <t>PY-DE-FP-EL</t>
  </si>
  <si>
    <t>ELENA</t>
  </si>
  <si>
    <t>PY-DE-FP-PJ</t>
  </si>
  <si>
    <t>Remuneration Statement, Payroll Account, Payroll Journal</t>
  </si>
  <si>
    <t>PY-DE-NT</t>
  </si>
  <si>
    <t>Net</t>
  </si>
  <si>
    <t>PY-DE-NT-CI</t>
  </si>
  <si>
    <t>Company Insurance</t>
  </si>
  <si>
    <t>PY-DE-NT-GR</t>
  </si>
  <si>
    <t>Garnishment/Cession</t>
  </si>
  <si>
    <t>PY-DE-NT-NI</t>
  </si>
  <si>
    <t>Social Insurance</t>
  </si>
  <si>
    <t>PY-DE-NT-TX</t>
  </si>
  <si>
    <t>Tax</t>
  </si>
  <si>
    <t>PY-DE-PS</t>
  </si>
  <si>
    <t>PY-DE-PS-NV</t>
  </si>
  <si>
    <t>Retroactive Pension Insurance</t>
  </si>
  <si>
    <t>PY-DE-PS-VA</t>
  </si>
  <si>
    <t>Pension Administration</t>
  </si>
  <si>
    <t>PY-DE-PS-ZV</t>
  </si>
  <si>
    <t>Supplemental Pension</t>
  </si>
  <si>
    <t>PY-DE-RP</t>
  </si>
  <si>
    <t>Reporting</t>
  </si>
  <si>
    <t>PY-DE-RP-ST</t>
  </si>
  <si>
    <t>Statements</t>
  </si>
  <si>
    <t>PY-ES</t>
  </si>
  <si>
    <t>Spain</t>
  </si>
  <si>
    <t>PY-FI</t>
  </si>
  <si>
    <t>PY-FR</t>
  </si>
  <si>
    <t>PY-GB</t>
  </si>
  <si>
    <t>United Kingdom</t>
  </si>
  <si>
    <t>GB : Usability Note</t>
  </si>
  <si>
    <t>PY-GB-PS</t>
  </si>
  <si>
    <t>PY-GB-RP</t>
  </si>
  <si>
    <t>PY-GB-RP-SR</t>
  </si>
  <si>
    <t>Statutory reporting</t>
  </si>
  <si>
    <t>PY-HK</t>
  </si>
  <si>
    <t>Hong Kong</t>
  </si>
  <si>
    <t>PY-ID</t>
  </si>
  <si>
    <t>PY-IE</t>
  </si>
  <si>
    <t>Ireland</t>
  </si>
  <si>
    <t>Ireland Test Note</t>
  </si>
  <si>
    <t>PY-IN</t>
  </si>
  <si>
    <t>PY-IN-PS</t>
  </si>
  <si>
    <t>INDIA PUBLIC SECTOR</t>
  </si>
  <si>
    <t>PY-IT</t>
  </si>
  <si>
    <t>PY-JP</t>
  </si>
  <si>
    <t>PY-JP-RP</t>
  </si>
  <si>
    <t>PY-KR</t>
  </si>
  <si>
    <t>PY-MX</t>
  </si>
  <si>
    <t>Mexico</t>
  </si>
  <si>
    <t>PY-MX-PS</t>
  </si>
  <si>
    <t>Public Sector Mexico</t>
  </si>
  <si>
    <t>PY-MY</t>
  </si>
  <si>
    <t>PY-NL</t>
  </si>
  <si>
    <t>Netherlands</t>
  </si>
  <si>
    <t>PY-NO</t>
  </si>
  <si>
    <t>Norway</t>
  </si>
  <si>
    <t>PY-NPO</t>
  </si>
  <si>
    <t>Payroll for Non-Profit-Organisationen (INTPSO)</t>
  </si>
  <si>
    <t>EhP6 developments</t>
  </si>
  <si>
    <t>PY-NZ</t>
  </si>
  <si>
    <t>New Zealand</t>
  </si>
  <si>
    <t>PY-PH</t>
  </si>
  <si>
    <t>Philippines</t>
  </si>
  <si>
    <t>PY-PT</t>
  </si>
  <si>
    <t>Portugal</t>
  </si>
  <si>
    <t>PY-PT-PS</t>
  </si>
  <si>
    <t>Public Sector Payroll</t>
  </si>
  <si>
    <t>PY-RU</t>
  </si>
  <si>
    <t>Payroll Accounting: Russia</t>
  </si>
  <si>
    <t>PY-SE</t>
  </si>
  <si>
    <t>Sweden</t>
  </si>
  <si>
    <t>PY-SE-PS</t>
  </si>
  <si>
    <t>Public sector (Sweden)</t>
  </si>
  <si>
    <t>PY-SG</t>
  </si>
  <si>
    <t>Singapore</t>
  </si>
  <si>
    <t>PY-SG-PS</t>
  </si>
  <si>
    <t>PY-TH</t>
  </si>
  <si>
    <t>PY-TW</t>
  </si>
  <si>
    <t>Taiwan</t>
  </si>
  <si>
    <t>PY-US</t>
  </si>
  <si>
    <t>PY-US-PS</t>
  </si>
  <si>
    <t>PY-US-PS-BN</t>
  </si>
  <si>
    <t>Public Sector Benefits</t>
  </si>
  <si>
    <t>PY-US-RP</t>
  </si>
  <si>
    <t>PY-US-TR</t>
  </si>
  <si>
    <t>Tax Reporter</t>
  </si>
  <si>
    <t>PY-US-TX</t>
  </si>
  <si>
    <t>Taxes</t>
  </si>
  <si>
    <t>PY-VE</t>
  </si>
  <si>
    <t>Venezuela</t>
  </si>
  <si>
    <t>CHECKMAN - VE</t>
  </si>
  <si>
    <t>PY-XX</t>
  </si>
  <si>
    <t>Payroll: General Parts</t>
  </si>
  <si>
    <t>PY-ZA</t>
  </si>
  <si>
    <t>South Africa</t>
  </si>
  <si>
    <t>XX</t>
  </si>
  <si>
    <t>Miscellaneous</t>
  </si>
  <si>
    <t>XX-CSC</t>
  </si>
  <si>
    <t>Country-Specific Developments</t>
  </si>
  <si>
    <t>Support Pack</t>
  </si>
  <si>
    <t>BC</t>
  </si>
  <si>
    <t>BC-BMT</t>
  </si>
  <si>
    <t>BC-BMT-OM</t>
  </si>
  <si>
    <t>Organizational Mgt</t>
  </si>
  <si>
    <t>BC-BMT-OM-ALE</t>
  </si>
  <si>
    <t>Distribution</t>
  </si>
  <si>
    <t>BW-BCT-PT</t>
  </si>
  <si>
    <t>Pers.Time Management</t>
  </si>
  <si>
    <t>CA</t>
  </si>
  <si>
    <t>CA-ESS</t>
  </si>
  <si>
    <t>CA-ESS-ITS</t>
  </si>
  <si>
    <t>ESS ITS</t>
  </si>
  <si>
    <t>CA-ESS-WD</t>
  </si>
  <si>
    <t>EP</t>
  </si>
  <si>
    <t>EP-PCT</t>
  </si>
  <si>
    <t>EP-PCT-MGR</t>
  </si>
  <si>
    <t>EP-PCT-MGR-HR</t>
  </si>
  <si>
    <t>BP for MSS HR</t>
  </si>
  <si>
    <t>CheckMan corrections for SAP_HR and EA-HR</t>
  </si>
  <si>
    <t>PA-BC</t>
  </si>
  <si>
    <t>Basis</t>
  </si>
  <si>
    <t>PA-BC-IN</t>
  </si>
  <si>
    <t>Basis - Integration</t>
  </si>
  <si>
    <t>PA-BN-AD</t>
  </si>
  <si>
    <t>Administration</t>
  </si>
  <si>
    <t>PA-BN-AD-PY</t>
  </si>
  <si>
    <t>Payroll Interface</t>
  </si>
  <si>
    <t>PA-BN-CO</t>
  </si>
  <si>
    <t>COBRA</t>
  </si>
  <si>
    <t>PA-BN-ES</t>
  </si>
  <si>
    <t>Empl. Self-Service</t>
  </si>
  <si>
    <t>PA-CE</t>
  </si>
  <si>
    <t>Conc.Empl.-Pers.Man.</t>
  </si>
  <si>
    <t>PA-IS</t>
  </si>
  <si>
    <t>Informations Systems</t>
  </si>
  <si>
    <t>HR_SELECT_PERSONS: Incorrect authorization check</t>
  </si>
  <si>
    <t>PA-OS-BS</t>
  </si>
  <si>
    <t>Bases</t>
  </si>
  <si>
    <t>PA-PA-AR</t>
  </si>
  <si>
    <t>PA-PA-CL</t>
  </si>
  <si>
    <t>Modifications to improve quality of ABAP Code</t>
  </si>
  <si>
    <t>Training Need Mgmt.</t>
  </si>
  <si>
    <t>PA-PA-GB</t>
  </si>
  <si>
    <t>Great Britain</t>
  </si>
  <si>
    <t>PA-PA-NL</t>
  </si>
  <si>
    <t>HR master data: Russ</t>
  </si>
  <si>
    <t>PA-PA-SG</t>
  </si>
  <si>
    <t>PA-PA-TW</t>
  </si>
  <si>
    <t>FMLA</t>
  </si>
  <si>
    <t>PA-PA-XX</t>
  </si>
  <si>
    <t>General Parts</t>
  </si>
  <si>
    <t>Changes of software components, package interface</t>
  </si>
  <si>
    <t>PA-PA-XX-BS</t>
  </si>
  <si>
    <t>PA-PA-XX-BS-PY</t>
  </si>
  <si>
    <t>Basis f.Payroll Data</t>
  </si>
  <si>
    <t>PA-PD</t>
  </si>
  <si>
    <t>PA-PD-PM</t>
  </si>
  <si>
    <t>Pension Fund CH</t>
  </si>
  <si>
    <t>Company Pension DE</t>
  </si>
  <si>
    <t>PA-PF-XX</t>
  </si>
  <si>
    <t>Pens.Fund: Gen.Parts</t>
  </si>
  <si>
    <t>PA-PM</t>
  </si>
  <si>
    <t>PA-PM-BM</t>
  </si>
  <si>
    <t>Pers. Budget Plan Mg</t>
  </si>
  <si>
    <t>PA-PM-TO</t>
  </si>
  <si>
    <t>Cross App Tools</t>
  </si>
  <si>
    <t>Job index: Follow-up to Note 1425867</t>
  </si>
  <si>
    <t>PA-RC</t>
  </si>
  <si>
    <t>Recruitment</t>
  </si>
  <si>
    <t>PE-LSO</t>
  </si>
  <si>
    <t>PE-LSO-TM</t>
  </si>
  <si>
    <t>PE-LSO-TM-DW</t>
  </si>
  <si>
    <t>PT</t>
  </si>
  <si>
    <t>PT-CE</t>
  </si>
  <si>
    <t>Conc.Empl.-Pers.Tim.</t>
  </si>
  <si>
    <t>PT-EV</t>
  </si>
  <si>
    <t>Time Evaluation</t>
  </si>
  <si>
    <t>PT-EV-QT</t>
  </si>
  <si>
    <t>Quota Accrual</t>
  </si>
  <si>
    <t>PT-IS</t>
  </si>
  <si>
    <t>Information System</t>
  </si>
  <si>
    <t>PT-RC</t>
  </si>
  <si>
    <t>Time Data Recording</t>
  </si>
  <si>
    <t>PA61: Error in batch input logging</t>
  </si>
  <si>
    <t>PT-RC-QT</t>
  </si>
  <si>
    <t>Quotas</t>
  </si>
  <si>
    <t>PT-RC-UI</t>
  </si>
  <si>
    <t>PT-RC-UI-TMW</t>
  </si>
  <si>
    <t>Time Man. Workplace</t>
  </si>
  <si>
    <t>PT-SP</t>
  </si>
  <si>
    <t>Shift Planning</t>
  </si>
  <si>
    <t>PT-WS</t>
  </si>
  <si>
    <t>Work Schedule</t>
  </si>
  <si>
    <t>Payroll Australia</t>
  </si>
  <si>
    <t>PY-CA-RP</t>
  </si>
  <si>
    <t>PY-CA-TP</t>
  </si>
  <si>
    <t>3rd Party Remittance</t>
  </si>
  <si>
    <t>Adjustment of Checkman errors (CL) (don't release it)</t>
  </si>
  <si>
    <t>Business to Admin.</t>
  </si>
  <si>
    <t>Payroll Journal</t>
  </si>
  <si>
    <t>PY-DE-GR</t>
  </si>
  <si>
    <t>Gross</t>
  </si>
  <si>
    <t>PY-DE-NT-RH</t>
  </si>
  <si>
    <t>Red.Hrs./BadWtherPay</t>
  </si>
  <si>
    <t>PY-DE-NT-SR</t>
  </si>
  <si>
    <t>Part time for pens.</t>
  </si>
  <si>
    <t>Minor corrections at time of synchronization</t>
  </si>
  <si>
    <t>Pension Administr.</t>
  </si>
  <si>
    <t>PY-DE-RP-ES</t>
  </si>
  <si>
    <t>Evaluation/Stats.</t>
  </si>
  <si>
    <t>PY-GB-NT</t>
  </si>
  <si>
    <t>PY-GB-NT-RP</t>
  </si>
  <si>
    <t>Retirement Pension</t>
  </si>
  <si>
    <t>Interf to Ext Pay Sy</t>
  </si>
  <si>
    <t>Interface</t>
  </si>
  <si>
    <t>PY-NO-PS</t>
  </si>
  <si>
    <t>Payroll Non-profit O</t>
  </si>
  <si>
    <t>Determine right payroll currency in off-cycle Payroll</t>
  </si>
  <si>
    <t>Public Sector Payrol</t>
  </si>
  <si>
    <t>PA: Russia</t>
  </si>
  <si>
    <t>PY-US-BSI</t>
  </si>
  <si>
    <t>Tax Interface BSI</t>
  </si>
  <si>
    <t>Pub. Sector Benefits</t>
  </si>
  <si>
    <t>PY-US-TP</t>
  </si>
  <si>
    <t>PY-XX-BS</t>
  </si>
  <si>
    <t>PY-XX-CE</t>
  </si>
  <si>
    <t>Conc.Empl.-Int.Pay.</t>
  </si>
  <si>
    <t>PY-XX-DME</t>
  </si>
  <si>
    <t>Preliminary DME</t>
  </si>
  <si>
    <t>PY-XX-DT</t>
  </si>
  <si>
    <t>Posting</t>
  </si>
  <si>
    <t>PY-XX-FO</t>
  </si>
  <si>
    <t>Forms</t>
  </si>
  <si>
    <t>PY-XX-IE</t>
  </si>
  <si>
    <t>PY-XX-OC</t>
  </si>
  <si>
    <t>Off-Cycle</t>
  </si>
  <si>
    <t>PY-XX-PF</t>
  </si>
  <si>
    <t>Payroll Functions</t>
  </si>
  <si>
    <t>PY-XX-RS</t>
  </si>
  <si>
    <t>Reuse Serv. for Co.D</t>
  </si>
  <si>
    <t>PY-XX-TL</t>
  </si>
  <si>
    <t>Tools</t>
  </si>
  <si>
    <t>Enterprise Portal</t>
  </si>
  <si>
    <t>Portal Content</t>
  </si>
  <si>
    <t>Manager functionality</t>
  </si>
  <si>
    <t>BP for Manager Self-Service (HR)</t>
  </si>
  <si>
    <t>PA-PA-PT</t>
  </si>
  <si>
    <t>Evaluation/Statistics</t>
  </si>
  <si>
    <t>Interface to External Payroll Systems</t>
  </si>
  <si>
    <t>Basis Components</t>
  </si>
  <si>
    <t>Business Management</t>
  </si>
  <si>
    <t>Organizational Management</t>
  </si>
  <si>
    <t>PE-DA</t>
  </si>
  <si>
    <t>Day-to-Day Activities</t>
  </si>
  <si>
    <t>PE-DA-CP</t>
  </si>
  <si>
    <t>Correspondence</t>
  </si>
  <si>
    <t>SAP Learning Solution</t>
  </si>
  <si>
    <t>Training Management</t>
  </si>
  <si>
    <t>PE-RA</t>
  </si>
  <si>
    <t>Recurring Activities</t>
  </si>
  <si>
    <t>Function QLVPR incorrectly populating the C1 cluster table</t>
  </si>
  <si>
    <t>Absence quota initialization (method A)</t>
  </si>
  <si>
    <t>PY-GB-GR</t>
  </si>
  <si>
    <t>PY-GB-GR-AP</t>
  </si>
  <si>
    <t>Absence payments (SSP, SMP, SAP, SPP)</t>
  </si>
  <si>
    <t>Adjustment of Checkman errors (PT) (don't release it)</t>
  </si>
  <si>
    <t>PA-CP</t>
  </si>
  <si>
    <t>Personnel Cost Planning and Simulation</t>
  </si>
  <si>
    <t>Bonus and Leave loading taxation in regular and retro runs</t>
  </si>
  <si>
    <t>PY-CA-YE</t>
  </si>
  <si>
    <t>Year End for Canada</t>
  </si>
  <si>
    <t>PY-FR-PS</t>
  </si>
  <si>
    <t>PY-GB-NT-NI</t>
  </si>
  <si>
    <t>National Insurance</t>
  </si>
  <si>
    <t>PY-US-NT</t>
  </si>
  <si>
    <t>PY-US-NT-GR</t>
  </si>
  <si>
    <t>Garnishments</t>
  </si>
  <si>
    <t>XX-TRANSL</t>
  </si>
  <si>
    <t>Translation</t>
  </si>
  <si>
    <t>XX-TRANSL-JA</t>
  </si>
  <si>
    <t>Component for translation correction of language Japanese</t>
  </si>
  <si>
    <t>Personnel Time Management</t>
  </si>
  <si>
    <t>New value for 'Limit not taxable Work-home' (T511P-BESA2)</t>
  </si>
  <si>
    <t>RAIS Enhancements</t>
  </si>
  <si>
    <t>Reduced Hours / Bad Weather Pay</t>
  </si>
  <si>
    <t>Absences spell report produces runtime error</t>
  </si>
  <si>
    <t>PY-GB-NT-TX</t>
  </si>
  <si>
    <t>Payroll Norway - Public Sector</t>
  </si>
  <si>
    <t>South Africa - COID Threshold changed</t>
  </si>
  <si>
    <t>Company Car Legal Change Enhancement</t>
  </si>
  <si>
    <t>Concurrent Employment - Personnel Management</t>
  </si>
  <si>
    <t>PA-PA-HK</t>
  </si>
  <si>
    <t>Leave Provision:  EOM check in function QLVPR</t>
  </si>
  <si>
    <t>SACC2 classification for PDF forms</t>
  </si>
  <si>
    <t>HRALE: Locked PA infotype (field SPRPS) present in IDoc</t>
  </si>
  <si>
    <t>Business Trip Mgmt.</t>
  </si>
  <si>
    <t>Web/WDA Completion and Search Help Reason not based on PERNR</t>
  </si>
  <si>
    <t>PA-BN-PL</t>
  </si>
  <si>
    <t>Plans</t>
  </si>
  <si>
    <t>PA-CM</t>
  </si>
  <si>
    <t>Compensation Manag.</t>
  </si>
  <si>
    <t>PA-PA-DK</t>
  </si>
  <si>
    <t>Denmark</t>
  </si>
  <si>
    <t>PA-PA-NO</t>
  </si>
  <si>
    <t>PA-PA-XX-TL</t>
  </si>
  <si>
    <t>PA-PA-XX-TL-SEN</t>
  </si>
  <si>
    <t>Calc. of empl.period</t>
  </si>
  <si>
    <t>PA-PD-DP</t>
  </si>
  <si>
    <t>Development Plans</t>
  </si>
  <si>
    <t>PA-PM-OM</t>
  </si>
  <si>
    <t>Day-to-Day Activity</t>
  </si>
  <si>
    <t>Prerequisite country-enhancement for Quota texts</t>
  </si>
  <si>
    <t>Data destruction in HCM (SP assignment SAP_HR, EA-HR)</t>
  </si>
  <si>
    <t>Corporate Pension, New Payroll Function Downport to EHP5</t>
  </si>
  <si>
    <t>Construction Industr</t>
  </si>
  <si>
    <t>PY-GB-NT-GR</t>
  </si>
  <si>
    <t>Court Orders</t>
  </si>
  <si>
    <t>SRD</t>
  </si>
  <si>
    <t>SRD-HR</t>
  </si>
  <si>
    <t>SRD-HR-PAD</t>
  </si>
  <si>
    <t>SRD-HR-PAD-US</t>
  </si>
  <si>
    <t>XX-TRANSL-EN</t>
  </si>
  <si>
    <t>Translation EN</t>
  </si>
  <si>
    <t>Cross-Application Components</t>
  </si>
  <si>
    <t>CA-GTF</t>
  </si>
  <si>
    <t>General Application Functions</t>
  </si>
  <si>
    <t>CA-TS</t>
  </si>
  <si>
    <t>Time Sheet</t>
  </si>
  <si>
    <t>CA-TS-IA</t>
  </si>
  <si>
    <t>Internet Applications</t>
  </si>
  <si>
    <t>CA-TS-IA-XS</t>
  </si>
  <si>
    <t>Self Services Web Dynpro</t>
  </si>
  <si>
    <t>WEB: Dump STRING_LENGTH_TOO_LARGE in milage view</t>
  </si>
  <si>
    <t>PRRW: Balance in transaction currency or incorrect postings</t>
  </si>
  <si>
    <t>FI-TV-COS-PS</t>
  </si>
  <si>
    <t>Travel Management Public Sector</t>
  </si>
  <si>
    <t>FI-TV-PL</t>
  </si>
  <si>
    <t>Travel Planning</t>
  </si>
  <si>
    <t>FI-TV-PL-AET</t>
  </si>
  <si>
    <t>Interface Amadeus e-Travel Management</t>
  </si>
  <si>
    <t>eTravel: External Approval Correction</t>
  </si>
  <si>
    <t>FI-TV-PL-SAB</t>
  </si>
  <si>
    <t>API Interface SABRE GetThere</t>
  </si>
  <si>
    <t>PA-AS</t>
  </si>
  <si>
    <t>HR Processes&amp;Forms</t>
  </si>
  <si>
    <t>DTT - Potential disclosure and modification of stored data</t>
  </si>
  <si>
    <t>PA-EC</t>
  </si>
  <si>
    <t>Enterprise Compensation Management</t>
  </si>
  <si>
    <t>PA-EC-AD</t>
  </si>
  <si>
    <t>Compensation Administration</t>
  </si>
  <si>
    <t>PA-EIC</t>
  </si>
  <si>
    <t>Employee Interaction Center</t>
  </si>
  <si>
    <t>Chinese Name Field Missing in a Scenario for China</t>
  </si>
  <si>
    <t>IT0210:EIC Status field no longer valid but still displayed.</t>
  </si>
  <si>
    <t>Personnel Development</t>
  </si>
  <si>
    <t>Objective Setting and Appraisals</t>
  </si>
  <si>
    <t>PM: Success message when changing a goal</t>
  </si>
  <si>
    <t>Funds and Position Management</t>
  </si>
  <si>
    <t>Personnel Budget Plan Management</t>
  </si>
  <si>
    <t>PA-PM-CP</t>
  </si>
  <si>
    <t>Automatic Commitment/Budget Creation</t>
  </si>
  <si>
    <t>Cross Application Tools</t>
  </si>
  <si>
    <t>PA-TM</t>
  </si>
  <si>
    <t>Talent Management</t>
  </si>
  <si>
    <t>PE-LSO-LPO</t>
  </si>
  <si>
    <t>Learning Portal</t>
  </si>
  <si>
    <t>PY-US-CE</t>
  </si>
  <si>
    <t>Concurrent Employment - Payroll USA</t>
  </si>
  <si>
    <t>WD CATS: Consolidated note 2 for Time Recording and Approval</t>
  </si>
  <si>
    <t>Personalization (settings) in OADP does not work</t>
  </si>
  <si>
    <t>WEB: Country/Region value not in the list of valid</t>
  </si>
  <si>
    <t>RPRTAX_FINLAND: Wrong number of per diems</t>
  </si>
  <si>
    <t>NO: Names of passengers are required entries</t>
  </si>
  <si>
    <t>WEB ABAP: Express Expense Sheet and TRIP_WEB_CUSTOMIZING</t>
  </si>
  <si>
    <t>Mileage : vehicle type class not updated after detail (Web)</t>
  </si>
  <si>
    <t>WEB: Wrong error message after empty Tax Jurisdiction Code</t>
  </si>
  <si>
    <t>WEB: Country/Region not populated properly in itemization</t>
  </si>
  <si>
    <t>WEB: Default country for mileage not determined as in PR05</t>
  </si>
  <si>
    <t>Missing tax jurisdiction code: Inconsistency with amount</t>
  </si>
  <si>
    <t>EES: Dump on the 29th or 30th of June</t>
  </si>
  <si>
    <t>Tooltip for roadmap steps in Floor Plan Manager</t>
  </si>
  <si>
    <t>NO: Per diem settlement, trip abroad, last travel day</t>
  </si>
  <si>
    <t>WD ABAP: Time entry is adjusted automatically</t>
  </si>
  <si>
    <t>TRIP: Company Code Change is not authorized but active</t>
  </si>
  <si>
    <t>KR1025: error raised when local amount is too high</t>
  </si>
  <si>
    <t>Web: Mileage details not saved if only one entry</t>
  </si>
  <si>
    <t>NO: Automatic calculation of 'FRI KOST' and 'Boligtypes'</t>
  </si>
  <si>
    <t>BRKG: Reiseunterbrechungen und Sachbezugsbelege</t>
  </si>
  <si>
    <t>PS-DE: Error: MESSAGE_TYPE_UNKNOWN during comparison calc.</t>
  </si>
  <si>
    <t>RGV DZ: falsches Dynpro bei Springen in Dienstantrittsreise</t>
  </si>
  <si>
    <t>NRW: Falscher Abzug vom Hotelbeleg im Ausland</t>
  </si>
  <si>
    <t>GetThere: Synchronization Error</t>
  </si>
  <si>
    <t>WEB :Paid by company not taken into account for XI Hotel</t>
  </si>
  <si>
    <t>FI-TV-PL-AMA</t>
  </si>
  <si>
    <t>API Interface AMADEUS</t>
  </si>
  <si>
    <t>DTT : Versioning of form scenarios clears value helps</t>
  </si>
  <si>
    <t>Incorrect events due to HRASR_FORM_WINDOW control (EhP5)</t>
  </si>
  <si>
    <t>Infotype 0666: Error in currency decimal places</t>
  </si>
  <si>
    <t>Flexibility enhancements for the manager UIs</t>
  </si>
  <si>
    <t>Currency conversion error in planning UI</t>
  </si>
  <si>
    <t>PA-EC-BD</t>
  </si>
  <si>
    <t>Compensation Budgeting</t>
  </si>
  <si>
    <t>Dokumentation zu BADI HRECM00_BDG_EE nicht klar</t>
  </si>
  <si>
    <t>HREIC BI extractor: 0PA_EIC_1 performance and load time</t>
  </si>
  <si>
    <t>HR-RU:CIA - Output of Several Cards in Single Adobe Form</t>
  </si>
  <si>
    <t>HR-RU: 4-FSS: Table 6 - Issues with Adobe Form and Content</t>
  </si>
  <si>
    <t>NWH: New Hire Report LC 2011</t>
  </si>
  <si>
    <t>Follow-up processing in a database LUW</t>
  </si>
  <si>
    <t>Category of personnel appraisals cannot be created</t>
  </si>
  <si>
    <t>PMP: Objective assignment for individual objectives</t>
  </si>
  <si>
    <t>PMP: Evaluation scales repeated in TM configuration</t>
  </si>
  <si>
    <t>Completion deletes potential/performance entries</t>
  </si>
  <si>
    <t>TMC search: Search attributes missing in Succession Planning</t>
  </si>
  <si>
    <t>Status change for successor deletes reason</t>
  </si>
  <si>
    <t>PDF document for talent grid in non-unicode systems</t>
  </si>
  <si>
    <t>Object translations not copied when creating a ET object</t>
  </si>
  <si>
    <t>LSO_PV15: Runtime error DBIF_RSQL_INVALID_RSQL</t>
  </si>
  <si>
    <t>Status not displayed in RHXBUCH0_LSO</t>
  </si>
  <si>
    <t>Pre-requisite check error when booking a pernnr</t>
  </si>
  <si>
    <t>Enhancement Spot, Section and Points for xLSO</t>
  </si>
  <si>
    <t>LSO_PV15: Pass field incorrectly set for external wbts</t>
  </si>
  <si>
    <t>ESS Loan corrections</t>
  </si>
  <si>
    <t>HR-RU: Form "Individual Account Card" - CE version</t>
  </si>
  <si>
    <t>EA-HR: Change in the structure PRU_GARN_DOC</t>
  </si>
  <si>
    <t>REC: Off-Cycle runs not taken into account for accumulation</t>
  </si>
  <si>
    <t>PY-XX-HF</t>
  </si>
  <si>
    <t>HR Smart Forms</t>
  </si>
  <si>
    <t>HRFORMS-Enhancements</t>
  </si>
  <si>
    <t>XX-TRANSL-NL</t>
  </si>
  <si>
    <t>Translation into Dutch</t>
  </si>
  <si>
    <t>CA-MSS</t>
  </si>
  <si>
    <t>Manager Self-service</t>
  </si>
  <si>
    <t>CA-MSS-HCM</t>
  </si>
  <si>
    <t>Manager Self-service (HR)</t>
  </si>
  <si>
    <t>Web: VAT Europe G/L Account of Company Code is not defined</t>
  </si>
  <si>
    <t>Itemization: only one private expense type is considered</t>
  </si>
  <si>
    <t>ITS: Cannot select entry for vehicle class / vehicle type</t>
  </si>
  <si>
    <t>Sales order Item description not shown in cost assignment.</t>
  </si>
  <si>
    <t>Field 'street' hidden for additional destination</t>
  </si>
  <si>
    <t>Plan Address: Street field not visible after EHP5 upgrade</t>
  </si>
  <si>
    <t>FI-TV-PL-HTL</t>
  </si>
  <si>
    <t>XI Interface Hotel</t>
  </si>
  <si>
    <t>Web : Hotel XI guarantee by company credit card</t>
  </si>
  <si>
    <t>HCM P&amp;F : Withdrawal of process does not work</t>
  </si>
  <si>
    <t>Employee Self-Service</t>
  </si>
  <si>
    <t>Adjust Compensation does not change values</t>
  </si>
  <si>
    <t>EIC SLA error message when resolving or closing an activity</t>
  </si>
  <si>
    <t>EIC Attachment does not open for https url.</t>
  </si>
  <si>
    <t>Incorrect inheritance for controlling area in Infotype 1008</t>
  </si>
  <si>
    <t>PPOME/PPOSE: Termination CX_SY_PROVIDE_INTERVAL_OVERLAP</t>
  </si>
  <si>
    <t>Correspondence sent to incorrect participants when Rebook</t>
  </si>
  <si>
    <t>Participant list not displayed in correspondence</t>
  </si>
  <si>
    <t>PE-LSO-CP</t>
  </si>
  <si>
    <t>Content Player</t>
  </si>
  <si>
    <t>PE-LSO-IPO</t>
  </si>
  <si>
    <t>Instructor and Tutor</t>
  </si>
  <si>
    <t>Location and Room name displayed are incorrect</t>
  </si>
  <si>
    <t>Multiple ET objects getting created when booking</t>
  </si>
  <si>
    <t>Incorrect search results in learning portal</t>
  </si>
  <si>
    <t>Event creation/change resource selection performance issue</t>
  </si>
  <si>
    <t>Incorrect name of resource and location in learning portal</t>
  </si>
  <si>
    <t>Incorrect fee assignment for N.N. booking</t>
  </si>
  <si>
    <t>Incorrect course owner displayed in admin portal</t>
  </si>
  <si>
    <t>Incorrect resources are displayed in admin portal</t>
  </si>
  <si>
    <t>Dump when assigning a resource or resource type</t>
  </si>
  <si>
    <t>Dump in view VI_SEARCH_HELP of component LSO_VC_SRCH_CATALOG</t>
  </si>
  <si>
    <t>Report RHUMBU00_LSO shows incorrect delivery method</t>
  </si>
  <si>
    <t>unable to book external web-based training</t>
  </si>
  <si>
    <t>PE-LSO-TM-TC</t>
  </si>
  <si>
    <t>Course Catalogue</t>
  </si>
  <si>
    <t>PE-PR</t>
  </si>
  <si>
    <t>Training and Event Preparation</t>
  </si>
  <si>
    <t>PE-PR-RM</t>
  </si>
  <si>
    <t>Resource Management</t>
  </si>
  <si>
    <t>Course program follow-up does not work</t>
  </si>
  <si>
    <t>Time Data Recording and Management</t>
  </si>
  <si>
    <t>User Interface</t>
  </si>
  <si>
    <t>PT-RC-UI-XS</t>
  </si>
  <si>
    <t>WT /E11 duplicates in CRT for back payments across fin yr</t>
  </si>
  <si>
    <t>REC: Regular Pays not taken into account for accumulation</t>
  </si>
  <si>
    <t>Reuse Services for Country Development</t>
  </si>
  <si>
    <t>Translation from German into English</t>
  </si>
  <si>
    <t>Part time for pensioners</t>
  </si>
  <si>
    <t>RPLEHAD3: Various errors</t>
  </si>
  <si>
    <t>PY-JP-RP-LI</t>
  </si>
  <si>
    <t>Labor Insurance Statement</t>
  </si>
  <si>
    <t>Transferring Public Holiday for employee using Infotype 2003</t>
  </si>
  <si>
    <t>IT0080 maternity protection: Sort sequence not chronological</t>
  </si>
  <si>
    <t>PY-DE-IE</t>
  </si>
  <si>
    <t>N4DS</t>
  </si>
  <si>
    <t>PY-FR-IE</t>
  </si>
  <si>
    <t>Directory traversal in PY-FR-IE</t>
  </si>
  <si>
    <t>The Reconciliation Report generates wrong MTD total</t>
  </si>
  <si>
    <t>XX-TRANSL-FR</t>
  </si>
  <si>
    <t>Translation into French</t>
  </si>
  <si>
    <t>Dummy Note for De-Coupling</t>
  </si>
  <si>
    <t>PY-BR-IE</t>
  </si>
  <si>
    <t>PY-DE-FP-MV</t>
  </si>
  <si>
    <t>SI Notifications</t>
  </si>
  <si>
    <t>PY-DE-NT-CF</t>
  </si>
  <si>
    <t>Capital Formation</t>
  </si>
  <si>
    <t>PY-NZ: Incorrect amount for termination leave wagetypes</t>
  </si>
  <si>
    <t>PAY: Warning message if no record in IT0221</t>
  </si>
  <si>
    <t>PY-US: Missing authorization check in garnishments</t>
  </si>
  <si>
    <t>CAT WD:Error Messages truncated when displayed in Webdynpro</t>
  </si>
  <si>
    <t>FI-TV-IPY</t>
  </si>
  <si>
    <t>Integration With Payroll Accounting</t>
  </si>
  <si>
    <t>FI-TV-PL-HRS</t>
  </si>
  <si>
    <t>API Interface HRS</t>
  </si>
  <si>
    <t>PA-ER</t>
  </si>
  <si>
    <t>E-Recruiting</t>
  </si>
  <si>
    <t>PA-ESS</t>
  </si>
  <si>
    <t>Personal Information ESS scenarios</t>
  </si>
  <si>
    <t>PA-ESS-XX</t>
  </si>
  <si>
    <t>Common Parts</t>
  </si>
  <si>
    <t>PA-ESS-XX-WDA</t>
  </si>
  <si>
    <t>ESS based on Webdynpro ABAP</t>
  </si>
  <si>
    <t>PA-GE</t>
  </si>
  <si>
    <t>Management of Global Employees</t>
  </si>
  <si>
    <t>PA-PA-SOA</t>
  </si>
  <si>
    <t>Enterprise Services - Personnel Administration</t>
  </si>
  <si>
    <t>Unable to book for past courses inspite of prerequisites</t>
  </si>
  <si>
    <t>Concurrent Employment - International Payroll</t>
  </si>
  <si>
    <t>CA-GTF-WFA</t>
  </si>
  <si>
    <t>Workforce Management Application</t>
  </si>
  <si>
    <t>CA-GTF-WFM</t>
  </si>
  <si>
    <t>Workforce Management Core</t>
  </si>
  <si>
    <t>FI-TV-PL-BIB</t>
  </si>
  <si>
    <t>API Interface Deutsche Bahn BIBE</t>
  </si>
  <si>
    <t>PA-BN-FB</t>
  </si>
  <si>
    <t>Flexible Benefits</t>
  </si>
  <si>
    <t>PA-BN-FB-GB</t>
  </si>
  <si>
    <t>Documentation Corrections for Enterprise Compensation Mgmt</t>
  </si>
  <si>
    <t>PA-PA-IE</t>
  </si>
  <si>
    <t>Concurrent employment (Sweden)</t>
  </si>
  <si>
    <t>PA-PA-US-EFR</t>
  </si>
  <si>
    <t>Effort Reporting</t>
  </si>
  <si>
    <t>Output of budgeting rules and reclassification rules</t>
  </si>
  <si>
    <t>PE-LSO-TM-PR</t>
  </si>
  <si>
    <t>Course Preparation</t>
  </si>
  <si>
    <t>XX-CSC-SK</t>
  </si>
  <si>
    <t>Slovakia</t>
  </si>
  <si>
    <t>XX-CSC-SK-TV</t>
  </si>
  <si>
    <t>Travel Management</t>
  </si>
  <si>
    <t>PA-PA-NZ</t>
  </si>
  <si>
    <t>PE-LSO-TM-RW</t>
  </si>
  <si>
    <t>Concurrent Employment - Personnel Time Management</t>
  </si>
  <si>
    <t>PT-EV-FO</t>
  </si>
  <si>
    <t>Time Statement Form</t>
  </si>
  <si>
    <t>Time Manager's Workplace</t>
  </si>
  <si>
    <t>PY-XX-FO-ESS</t>
  </si>
  <si>
    <t>ESS Payslip</t>
  </si>
  <si>
    <t>ADS error by running adobe form with RU language</t>
  </si>
  <si>
    <t>IT0021: Issue with Disability Date in family dependent data.</t>
  </si>
  <si>
    <t>XX-TRANSL-ES</t>
  </si>
  <si>
    <t>Translation into Spanish</t>
  </si>
  <si>
    <t>General Bases for Payroll Data</t>
  </si>
  <si>
    <t>Org. structure incorrect in compensation planning</t>
  </si>
  <si>
    <t>PA-PA-CH</t>
  </si>
  <si>
    <t>PA-PA-ES</t>
  </si>
  <si>
    <t>PY-SE-CE</t>
  </si>
  <si>
    <t>During hire process via PA40 warnings appear</t>
  </si>
  <si>
    <t>PA-PA-BR</t>
  </si>
  <si>
    <t>ESS Web Dynpro</t>
  </si>
  <si>
    <t>In ESS COD:Inconsistency showing due multiple photo upload</t>
  </si>
  <si>
    <t>Search help does not display the object</t>
  </si>
  <si>
    <t>Sabre and GetThere integration</t>
  </si>
  <si>
    <t>Enable case management authorization check for end user</t>
  </si>
  <si>
    <t>PA-ESS-XX-CE</t>
  </si>
  <si>
    <t>Concurrent Employment</t>
  </si>
  <si>
    <t>PA-PA-AU</t>
  </si>
  <si>
    <t>BW-BCT-PA-EIC</t>
  </si>
  <si>
    <t>Employee Interaction Center Analytics</t>
  </si>
  <si>
    <t>Confusing infotype overview in concurrent/global employment</t>
  </si>
  <si>
    <t>ESS LEA: Substitution Profile not considered in RPTARQEMAIL</t>
  </si>
  <si>
    <t>WD CATS: Payroll period web service is incorrectly called</t>
  </si>
  <si>
    <t>Additional destination row is invisible when making an entry</t>
  </si>
  <si>
    <t>Web: AT: Additional address fields in request</t>
  </si>
  <si>
    <t>Web:(2) VAT Europe G/L Account of Company Code not defined</t>
  </si>
  <si>
    <t>Trips set on hold are not updated in trip version history</t>
  </si>
  <si>
    <t>PR05: VAT Europe G/L Account of Company Code not defined</t>
  </si>
  <si>
    <t>WEB: Credit card number can't be decrypted in travel profile</t>
  </si>
  <si>
    <t>Web: Dump on receipt screen</t>
  </si>
  <si>
    <t>FR: Rounding up/down on first and last travel day</t>
  </si>
  <si>
    <t>South Sudan</t>
  </si>
  <si>
    <t>Travel data shown for incorrect tax reference number</t>
  </si>
  <si>
    <t>PRRW: Company code "" does not exist (F5 165)</t>
  </si>
  <si>
    <t>MEMORY_NO_MORE_PAGING in prog. RPR_UPDATE_TRAVEL_STATISTICS</t>
  </si>
  <si>
    <t>Web: Schemas with permitted overlap and address entry</t>
  </si>
  <si>
    <t>Web: Message if cost distribution lower than 100 %</t>
  </si>
  <si>
    <t>PRRW: Reversing posting runs</t>
  </si>
  <si>
    <t>BAPI_TRIP_CREATE_FROM_DATA and trips w/ more than 99 days</t>
  </si>
  <si>
    <t>Web: Field control for general data</t>
  </si>
  <si>
    <t>PS DE: Reisekostenformular mit unkorrekter Summenzeile</t>
  </si>
  <si>
    <t>BUS2089: Foreign currency amount displayed with local curr</t>
  </si>
  <si>
    <t>AT: PR05: Leading zeros of community code prevents saving</t>
  </si>
  <si>
    <t>Invalid date in Web Dynpro for travel applications</t>
  </si>
  <si>
    <t>AT: F4 search help returns no results</t>
  </si>
  <si>
    <t>AT: Total of additional amounts for meals is incorrect</t>
  </si>
  <si>
    <t>RPRTEF00: Selection incorrect when excluding trips</t>
  </si>
  <si>
    <t>Austria: Value transfer between F4 help and address popup</t>
  </si>
  <si>
    <t>Error message from validation of master account assignment</t>
  </si>
  <si>
    <t>PR03: Field control of spot advance</t>
  </si>
  <si>
    <t>After termination of addtnl receipt info: Deductions deleted</t>
  </si>
  <si>
    <t>PS AT: Web Dynpro Anw. TRV: kein autom. Anlegen von Tarif 2</t>
  </si>
  <si>
    <t>Austria: No value transfer between F4 help and address popup</t>
  </si>
  <si>
    <t>FITVPS729 nicht nur beim Anlegen eines Unterkunftsbelegs</t>
  </si>
  <si>
    <t>PS Bayern: Unterkunftsbeleg und Werbungskosten</t>
  </si>
  <si>
    <t>PS AT/DE: Sortierung der Dienstzuteilungen/Trennungsgelder</t>
  </si>
  <si>
    <t>PS-AT, PS-DE: Anzeige von DZ oder TG Perioden in PRAP</t>
  </si>
  <si>
    <t>PS-AT: Der Text 'letzter Tag' fehlt</t>
  </si>
  <si>
    <t>Nacht des Reisegeldes wird im Trennungstagegeld reduziert</t>
  </si>
  <si>
    <t>PS: Hintergrunddynpro bei Schema-Auswahl DZ/TRG gesetzt</t>
  </si>
  <si>
    <t>Field PTP42-ANUEP does not exist on screen SAPMP56T 1210</t>
  </si>
  <si>
    <t>PS:DZ/TRG: Falscher Aufbau des Perioden-Trees</t>
  </si>
  <si>
    <t>Web: Required entry fld 'Location' not filled in travel plan</t>
  </si>
  <si>
    <t>Flight option not correct for best price query (Time)</t>
  </si>
  <si>
    <t>WEB:Extra field displayed after address in general data view</t>
  </si>
  <si>
    <t>Request : Acommodation not displayed after warning mess.</t>
  </si>
  <si>
    <t>Address:  Street field not visible after upgrade</t>
  </si>
  <si>
    <t>Web :Address in travel plan lost</t>
  </si>
  <si>
    <t>Process selection step not skipped - EhP5 start application</t>
  </si>
  <si>
    <t>Sort Order of Input Helps not preserved</t>
  </si>
  <si>
    <t>Object key is not passed to BADI HRASR00PROCESS_START_RESTRI</t>
  </si>
  <si>
    <t>Special field 'INITIATOR_ROLE' not updated during execution</t>
  </si>
  <si>
    <t>Additional cost items incorrect</t>
  </si>
  <si>
    <t>Data collection from infotypes:Deduction wage type valuation</t>
  </si>
  <si>
    <t>Number of objects not taken into account in limit</t>
  </si>
  <si>
    <t>Authorization check does not consider org assignment date</t>
  </si>
  <si>
    <t>IMG step for BADI HRECM00_UI_SERVICES</t>
  </si>
  <si>
    <t>Authority check added to two reports</t>
  </si>
  <si>
    <t>Spent amounts incorrect after creating infotypes</t>
  </si>
  <si>
    <t>Error in HR_ECM_READ_BUDGET DATA</t>
  </si>
  <si>
    <t>Multiple frequencies not allowed for a single plan</t>
  </si>
  <si>
    <t>Parameter Compensation Review Item (CREVI) not passed</t>
  </si>
  <si>
    <t>HREIC: cannot save activity after visiting SLA tab.</t>
  </si>
  <si>
    <t>Adaption of applications using NW BTF Editor</t>
  </si>
  <si>
    <t>Updates on check classes for Belgium specific infotypes</t>
  </si>
  <si>
    <t>Enhancement of the LSO-TNM functionality in EhP</t>
  </si>
  <si>
    <t>Activation of Enhancement on the LSO-TNM functionality</t>
  </si>
  <si>
    <t>Update Decoupling Class for IT0145</t>
  </si>
  <si>
    <t>PA-PA-JP-ESS</t>
  </si>
  <si>
    <t>ESS Japan</t>
  </si>
  <si>
    <t>Short Dump in ESS JP Bank Service</t>
  </si>
  <si>
    <t>System Dumps When Creating Subtype Record for IT0021</t>
  </si>
  <si>
    <t>ESS Address Scenario: Various Corrections</t>
  </si>
  <si>
    <t>ESS address screen takes to long when editing records</t>
  </si>
  <si>
    <t>ESS: an incorrect street returned from the backend</t>
  </si>
  <si>
    <t>PA-PA-VE</t>
  </si>
  <si>
    <t>[VE] MP000600_CE:State field search help is empty (Scr.2017)</t>
  </si>
  <si>
    <t>[VE] Error when using transaction PUIT_UI for IT0021</t>
  </si>
  <si>
    <t>PMP: No browser 'X' to close the document overview</t>
  </si>
  <si>
    <t>PMP: No part appraisals in PDF for employee</t>
  </si>
  <si>
    <t>Enhancement for RPTMC_CREATE_CHANGEPOINT_AUTH</t>
  </si>
  <si>
    <t>Note text is linked together during talent assessment</t>
  </si>
  <si>
    <t>Qualifications for talent are not displayed</t>
  </si>
  <si>
    <t>TMC search: Short dump when search from Succession Planning</t>
  </si>
  <si>
    <t>Talent profile: Small grid for employee photo</t>
  </si>
  <si>
    <t>LSO-MSS: Role enabling the Course Catalog</t>
  </si>
  <si>
    <t>LSO_PSV1: Does not show who has locked the attendee</t>
  </si>
  <si>
    <t>Incorrect checks performed on alternative qualifications</t>
  </si>
  <si>
    <t>Incorrect text on button in manage participation</t>
  </si>
  <si>
    <t>Incorrect booking start date when booked in the admin portal</t>
  </si>
  <si>
    <t>Enhancement Options for xLSO - Wave2</t>
  </si>
  <si>
    <t>No warning message if a training had pre-requisite</t>
  </si>
  <si>
    <t>Incorrect language text displayed in correspondence</t>
  </si>
  <si>
    <t>Retrofit changes for note 1415752 related to RETT and ORETP</t>
  </si>
  <si>
    <t>PY-CA-CE</t>
  </si>
  <si>
    <t>Concurrent Employment - Payroll Canada</t>
  </si>
  <si>
    <t>YE Amendment Reason Report For CE</t>
  </si>
  <si>
    <t>Remuneration stmnt: ER contr. for HI/PI in SAP_PAYSLIP_DE_P</t>
  </si>
  <si>
    <t>Error while generating Form 16 through ESS portal</t>
  </si>
  <si>
    <t>Info message pop up on executing leave encashment report</t>
  </si>
  <si>
    <t>HR-RU-CE: No tax return to employee who becomes tax resident</t>
  </si>
  <si>
    <t>HR-RU: Several issues with off-cycle calculations</t>
  </si>
  <si>
    <t>HR-RU: CL_HRPAYRU_PLTAXRUN: TAXSCHEMA table sorting</t>
  </si>
  <si>
    <t>SPV reporting have multiple issues</t>
  </si>
  <si>
    <t>VETS: Mag Media output missing postal code of establishments</t>
  </si>
  <si>
    <t>XX-CSC-CZ</t>
  </si>
  <si>
    <t>Czech Republic</t>
  </si>
  <si>
    <t>XX-CSC-CZ-TV</t>
  </si>
  <si>
    <t>Translation of form GLO_EXPENSE_FORM</t>
  </si>
  <si>
    <t>Short dump in RPRSR4CZ or incorrect results in settlement</t>
  </si>
  <si>
    <t>Search help for field Type of Fuel</t>
  </si>
  <si>
    <t>Missing translation in report S_AHR_61016406</t>
  </si>
  <si>
    <t>All Trips (Travel Request) not shown in TC PRFI</t>
  </si>
  <si>
    <t>Child-Care Nursing-Care Project</t>
  </si>
  <si>
    <t>SPV-1: empty payments in the XML tags</t>
  </si>
  <si>
    <t>PT-RC-AA</t>
  </si>
  <si>
    <t>Attendances/Absences</t>
  </si>
  <si>
    <t>Problems with Excel print and macro storage in BDS</t>
  </si>
  <si>
    <t>Change Employer Class to Time-dependant: Feature RSZCA</t>
  </si>
  <si>
    <t>Personal Calendar Generation (RPTGENB0) enhancements</t>
  </si>
  <si>
    <t>Dimona 2010 - Prep. &amp; Duplicate Prevention if INSS Blank</t>
  </si>
  <si>
    <t>Termination Term: contract type description on field 21</t>
  </si>
  <si>
    <t>TAX : New Processing for Quebec Tax Levy</t>
  </si>
  <si>
    <t>WhTx: Output of cantonal withholding tax scale code in payr.</t>
  </si>
  <si>
    <t>Prohibited activities: Incorr adj. amnt for variable paymnts</t>
  </si>
  <si>
    <t>New version: Employment and interim statement</t>
  </si>
  <si>
    <t>PY-IT-PS</t>
  </si>
  <si>
    <t>PY-MY : Correction for release of withheld salary</t>
  </si>
  <si>
    <t>TAX: Connecticut State Income Tax effective August 1st</t>
  </si>
  <si>
    <t>EEA2: White employees with no disabilities reported</t>
  </si>
  <si>
    <t>Duplicate entries for IT 0439 subtype 1001, subtype 1002</t>
  </si>
  <si>
    <t>Extractor 0HR_PY_PP_1:msg"Could not read payroll table</t>
  </si>
  <si>
    <t>Performance improvement for report RPTWFMIF</t>
  </si>
  <si>
    <t>Wrapper Function module for calling the customer exit</t>
  </si>
  <si>
    <t>IT 0100 - only several combinations of EMPLP&amp;RSZWG possi</t>
  </si>
  <si>
    <t>Message 5V(800) on infotype 0007/0107 fields REMTY/REMES</t>
  </si>
  <si>
    <t>HR-BR: New legal document RIC-"Registro de Identidade C</t>
  </si>
  <si>
    <t>[CL] New standard subplans for old regimen</t>
  </si>
  <si>
    <t>[CL] Exception treatment for FM HR_CL_SEN_PROCESS_LOGIC</t>
  </si>
  <si>
    <t>[CL] New Chilean specific screen for Dependants Infotype</t>
  </si>
  <si>
    <t>Not possible to create more than record with RELAT 941</t>
  </si>
  <si>
    <t>TNM Booking F4-Help: Incorrect default search help</t>
  </si>
  <si>
    <t>Enhancement to the COPY action on the CRUD transaction</t>
  </si>
  <si>
    <t>Minor adjustments on RECO processing at REPMOD transaction</t>
  </si>
  <si>
    <t>Refine solution released on SAP Standard Note 1442488</t>
  </si>
  <si>
    <t>Enhancements to TNM-LSO objects (SAP_HCRFR) - III</t>
  </si>
  <si>
    <t>TN assign. report: "Select all"/"Deselect all</t>
  </si>
  <si>
    <t>Field Q1685-INTRN: label change</t>
  </si>
  <si>
    <t>Sub-Screen Adjustments in tabstrip Personal Assignment</t>
  </si>
  <si>
    <t>Wrong validity of Cost Items in CRUD transaction</t>
  </si>
  <si>
    <t>Enhancement of function module HRTNM_GET_HELP_VALUES_PERSTN</t>
  </si>
  <si>
    <t>Text replacement related to SIA and SI Offices</t>
  </si>
  <si>
    <t>LC2011: Revision of Employment Insurance Forms</t>
  </si>
  <si>
    <t>Missing Dependents in Infotype 0858</t>
  </si>
  <si>
    <t>PA-PA-MX</t>
  </si>
  <si>
    <t>[MX] INFONAVIT - Wrong value in the field "Current Disc</t>
  </si>
  <si>
    <t>IT0021-Invalid 'changed on' date on single screen display</t>
  </si>
  <si>
    <t>PA-PA-MY: Field OBJPS is not enabled in IT 0021 Subty '8'</t>
  </si>
  <si>
    <t>FlexBenNL: Eligibility date after end of enrollment period</t>
  </si>
  <si>
    <t>RPCNETN0: Wage types of employees mixed up</t>
  </si>
  <si>
    <t>Pension Return to APG: Basis Objects for CD Project I</t>
  </si>
  <si>
    <t>WCR: Missing Documentation for Report RPLWCON0</t>
  </si>
  <si>
    <t>T-53: Adobe form layout issues</t>
  </si>
  <si>
    <t>HR-RU: IT0298 subtype in dynamic actions</t>
  </si>
  <si>
    <t>SPV-1: XML tag &amp;lt;DataSostavleniyaNa&amp;gt;</t>
  </si>
  <si>
    <t>HR-RU: HRPADRUT7RUN Easier to Change the Processing Type</t>
  </si>
  <si>
    <t>Additional fields in IT0006 to capture address</t>
  </si>
  <si>
    <t>PEP: Reduction for person subject to equalization</t>
  </si>
  <si>
    <t>Accessibility issues in TEM</t>
  </si>
  <si>
    <t>Time Management Customizing: Incorrect IMG document</t>
  </si>
  <si>
    <t>Unauthorized use of application functions in PT-RC-UI-XS</t>
  </si>
  <si>
    <t>Runtime problems during ad hoc update</t>
  </si>
  <si>
    <t>Correction in table T7AR74 - INSSJyP contribution percentage</t>
  </si>
  <si>
    <t>[AR] Liquidation of CONTRATO PASANTIAS is wrongly calculated</t>
  </si>
  <si>
    <t>[AR] IT entries used at tax calculation even when locked</t>
  </si>
  <si>
    <t>[AR] Function ARTEP generates incorrect WT entries on IT</t>
  </si>
  <si>
    <t>[AR] Fix of Family Allowance SICOSS for Direct Pay Display</t>
  </si>
  <si>
    <t>[AR] SAC payment on termination creates /S06 instead of /S02</t>
  </si>
  <si>
    <t>[AR] Tax Simulation does not consider multiple tax amounts</t>
  </si>
  <si>
    <t>[AR] Missing Payroll result for Certification of Services</t>
  </si>
  <si>
    <t>[AR] Report HARCDGI1 is not considering payroll area changes</t>
  </si>
  <si>
    <t>Dokumentation Montageprivileg</t>
  </si>
  <si>
    <t>RR-Vorjahr: Falsche Überstundenversteuerung nach HW 1492602</t>
  </si>
  <si>
    <t>RR Vorjahre: Rückforderung steuerfreier Überstundenzuschläge</t>
  </si>
  <si>
    <t>Gewerkschaftsbeitrag bei (teilweiser) Steuerbefreiung</t>
  </si>
  <si>
    <t>HR-AT: RPCBETA1 - PDF download und Emailversand</t>
  </si>
  <si>
    <t>Jahressechstel bei untermonatigem Steuersplit (Grenzgänger)</t>
  </si>
  <si>
    <t>E-CARD Gebühr: Lohnart /3ZF im Monat Dezember</t>
  </si>
  <si>
    <t>RPCEKSA0: Median-Wert bei weiblichen Mitarbeitern fehlerhaft</t>
  </si>
  <si>
    <t>Jubiläumsgeld - Rückstellungen(RPCJUBA1)</t>
  </si>
  <si>
    <t>Abbruch Abrechnung wegen IT 527 mit highdate</t>
  </si>
  <si>
    <t>PCALZ: Vollzeitkennzeichen nicht gesetzt b.Unterbrechung L16</t>
  </si>
  <si>
    <t>IT0527: Kommunalsteuer, DB/DZ bei Sozialplanzahlung falsch</t>
  </si>
  <si>
    <t>PCALZ: Freibetrag bei Montageprivileg im Auslandslohnzettel</t>
  </si>
  <si>
    <t>PCALZ: BAdI für Prüfvorschriften</t>
  </si>
  <si>
    <t>Pfändung und Gemeinsame Versteuerung von Pensionen</t>
  </si>
  <si>
    <t>UEKV: Fehler bei untermonatigen  ST-Splits im Austrittsm.</t>
  </si>
  <si>
    <t>RPCSVBA2PBS: Prozentsätze für Sonderzahlungen nicht gefüllt</t>
  </si>
  <si>
    <t>IT0527:  Kontingentabgeltung in dynamischer Maßnahme</t>
  </si>
  <si>
    <t>Incorrect tax calculation when 10 year retro back pay</t>
  </si>
  <si>
    <t>RPLEAVQ0 not displaying correct hourly rate</t>
  </si>
  <si>
    <t>Flood Levy on termination pay not on Report RPLRECQ0</t>
  </si>
  <si>
    <t>Ver 600,604:SchemaQ000 errors after application of AUGUST SP</t>
  </si>
  <si>
    <t>Issues with Post Update ETP Rollover</t>
  </si>
  <si>
    <t>Incorrect Total Gross Calc. when 10 year retro back pay</t>
  </si>
  <si>
    <t>Quota description is not displayed in Infotype 0701</t>
  </si>
  <si>
    <t>IT0573: Corrections provided for simulation quota.</t>
  </si>
  <si>
    <t>Paging issue on Leave and Termination payment tab</t>
  </si>
  <si>
    <t>Equity and Diversity - Infotype 0619 has incorrect spelling</t>
  </si>
  <si>
    <t>Low wages and restructuring (empty reduction)</t>
  </si>
  <si>
    <t>BELCOTAX: ZONES 2.089, 2.090, 2.091 ending zero missing II</t>
  </si>
  <si>
    <t>Error message when maintaining view V_T5BAL</t>
  </si>
  <si>
    <t>Advance tax processing for Complementary Indemnity Payments</t>
  </si>
  <si>
    <t>DeCava - WPBP Split &amp; Cost Distribution</t>
  </si>
  <si>
    <t>RPI - correction absence before -  RPTGENB0</t>
  </si>
  <si>
    <t>Dimona 2010 - Preparation Report - IN, Cancel and DIMI Date</t>
  </si>
  <si>
    <t>Dimona: Legal Change for Students - Initial delivery</t>
  </si>
  <si>
    <t>DmfA - Conrtibutions for students (840 or 841)</t>
  </si>
  <si>
    <t>Educational Leave: error in selecting deduction rule</t>
  </si>
  <si>
    <t>Wrong checks for replaced employee on infotype 0100</t>
  </si>
  <si>
    <t>BELCOTAX: RPCBWPB0 - Printout Form  - Country name</t>
  </si>
  <si>
    <t>Educational Leave - output error in collective data</t>
  </si>
  <si>
    <t>Payroll Belgium stops incase of retrocalculation Q1/2010</t>
  </si>
  <si>
    <t>DmfA: Chem. Sector - no min.amt contr.</t>
  </si>
  <si>
    <t>BRPED: Evaluation of quota types is not correct</t>
  </si>
  <si>
    <t>RAIS: correction of record 2 - field 'Indicador Sindic.'</t>
  </si>
  <si>
    <t>SREP: electronic time register mirror - planned working time</t>
  </si>
  <si>
    <t>SREP: Reason of disregarded time events (2011 infotype)</t>
  </si>
  <si>
    <t>SREP: duplicated data in the HBRTMIF0 report</t>
  </si>
  <si>
    <t>HBRTMSH0 - absence/attendance nightly displayed on wrong day</t>
  </si>
  <si>
    <t>HBRTMSH0 - days with night time events displayed disordered</t>
  </si>
  <si>
    <t>HBRMANAD: retrocalculated amounts do not being generated</t>
  </si>
  <si>
    <t>Search help for 0267 infotype</t>
  </si>
  <si>
    <t>GARN: Error during adjustments</t>
  </si>
  <si>
    <t>Short Dump after application of Note 1609069</t>
  </si>
  <si>
    <t>PY-CA-NT</t>
  </si>
  <si>
    <t>PY-CA-NT-GR</t>
  </si>
  <si>
    <t>GARN: Incorrect Details on Garn. Stats Report (RPCPL3K0)</t>
  </si>
  <si>
    <t>ROE: Missing Reason Code P / Text change to Reason Code F</t>
  </si>
  <si>
    <t>Documentation: Date of birth key for AHV, various reports</t>
  </si>
  <si>
    <t>WHT VD:EMP ACI: Start date of notif. incorr/gross negative</t>
  </si>
  <si>
    <t>WHT: Imp tax scale file URI 2011, tax scale file 19.05.2011</t>
  </si>
  <si>
    <t>[CL] Vacation provision not prorated</t>
  </si>
  <si>
    <t>[CL] Unqualified Advance Payment report</t>
  </si>
  <si>
    <t>[CL] Reliquidation over Voluntary Severance</t>
  </si>
  <si>
    <t>[CL] Missing customizing in DAQ tables Wage Type MD11</t>
  </si>
  <si>
    <t>[CL] Family Allowance - Disabled Dependent addition</t>
  </si>
  <si>
    <t>[CL] General corrections for INE report layout</t>
  </si>
  <si>
    <t>[CL] Standard entries for Extreme Zone tables</t>
  </si>
  <si>
    <t>[CL] APV report with missing fields in PDF form</t>
  </si>
  <si>
    <t>[CL] Wrong Voluntary Severance wage types calculation</t>
  </si>
  <si>
    <t>[CL] Subsidy and Complement basis calculation report</t>
  </si>
  <si>
    <t>[CL] Additional WT for Monthly Legal Gratuity process</t>
  </si>
  <si>
    <t>[CL] Enhancements and Corrections for Reliquidation - v5</t>
  </si>
  <si>
    <t>[CL] Wrong Bank and Account number in Bank Transfer File</t>
  </si>
  <si>
    <t>The SI and PHF Amount is Incorrect During the Second Loop</t>
  </si>
  <si>
    <t>Corrections in the message handler: ADD_EXCEPTION</t>
  </si>
  <si>
    <t>SI reporting: Inbound files are not processed</t>
  </si>
  <si>
    <t>ELENA: Inbound notifications in "In Process/Waiting&amp;quo</t>
  </si>
  <si>
    <t>Changeover for leave in construction industry IT 0005-&amp;gt;20</t>
  </si>
  <si>
    <t>Vacation: Vacation allowance in current month III</t>
  </si>
  <si>
    <t>DEUEV: Preparation for year-end legal change 2011/2012</t>
  </si>
  <si>
    <t>EEL: Corrections and enhancements 14</t>
  </si>
  <si>
    <t>EEL: Determination of the last specific payroll dates</t>
  </si>
  <si>
    <t>EEL: Corrections and enhancements 16</t>
  </si>
  <si>
    <t>EEL: Determining absences for previous illness query</t>
  </si>
  <si>
    <t>RPUZILD0: Authorization check</t>
  </si>
  <si>
    <t>Prohibited activities: Sick pay supplement and BVV</t>
  </si>
  <si>
    <t>Allowance/message AAG incorrect: Interruption mat protection</t>
  </si>
  <si>
    <t>Maternity Protection Act: Prohibited Activities</t>
  </si>
  <si>
    <t>AAG: Incorrect ER portions for SI and PI</t>
  </si>
  <si>
    <t>Prohibition of employment: Missing fictitious run MBV3</t>
  </si>
  <si>
    <t>CORR: Notification procedure AAG when overriding suppl pay</t>
  </si>
  <si>
    <t>Mat. pay allowance/notificatn AAG: terminatn in functn DSVU</t>
  </si>
  <si>
    <t>Prohibited activities: Sick pay supplement and BVV (2)</t>
  </si>
  <si>
    <t>Prohibited Activities: Wage Maintenance (preparation)</t>
  </si>
  <si>
    <t>Prohibited activities: Sick pay supplement and BVV (3)</t>
  </si>
  <si>
    <t>Statement of contrib. made/ZMV year-end legal change 2011/12</t>
  </si>
  <si>
    <t>Year-end legal change 2011/2012: Social insurance</t>
  </si>
  <si>
    <t>Delivery of scope of functions for ELStAM procedure</t>
  </si>
  <si>
    <t>Program flowchart for December 2011</t>
  </si>
  <si>
    <t>Payroll result when determining flat-rate tax rate</t>
  </si>
  <si>
    <t>Indexes for infotypes tax and social insurance</t>
  </si>
  <si>
    <t>LStB: Statement incorr during retroactive acctg in DM times</t>
  </si>
  <si>
    <t>Error in PAP 12 2011</t>
  </si>
  <si>
    <t>Cumulation wage types: Entries in T596I not taken into accnt</t>
  </si>
  <si>
    <t>TV FlexAZ: Error in full-time fictitious runs, part 2</t>
  </si>
  <si>
    <t>New wage types for labor value credits</t>
  </si>
  <si>
    <t>Pension recipient statistics + pension equalization payment</t>
  </si>
  <si>
    <t>AAG: Sick pay suppl. calc. incorrect if subtype DEBV in IT 8</t>
  </si>
  <si>
    <t>Flat-rate payt Octbr 2011: PS type chnge in Col. agreemnt PS</t>
  </si>
  <si>
    <t>Err msg re incorrect nesting and DFLST PUT is not permitted</t>
  </si>
  <si>
    <t>Incorrect creation of split records for absences</t>
  </si>
  <si>
    <t>Data missing in pension administration</t>
  </si>
  <si>
    <t>Art. 84 BayBeamtVG: Combining pension payments 4</t>
  </si>
  <si>
    <t>Proprt family reduct acc to sec.25 in conj w/ sec.54 BeamtVG</t>
  </si>
  <si>
    <t>Pblic Srvices regultn Bavaria: Incrr rndng artcle 103 sctn 5</t>
  </si>
  <si>
    <t>Treaty on the sharing of pension costs (11)</t>
  </si>
  <si>
    <t>Additional texts missing for compulsory part-time service</t>
  </si>
  <si>
    <t>Alternative texts for Public Serv. regulation not included</t>
  </si>
  <si>
    <t>Inconsistent calculation results in VersStaatsV</t>
  </si>
  <si>
    <t>Not possible to hide manual child bonus for widow's pension</t>
  </si>
  <si>
    <t>Sec.53 para. 9 HBeamtVG not applied for surviving dependents</t>
  </si>
  <si>
    <t>Change of employee lump sum payt for income-related expenses</t>
  </si>
  <si>
    <t>Public Services reg. Hessen: Information to family court</t>
  </si>
  <si>
    <t>Error in notific. prog for supplementary pensions(Oct 2011)</t>
  </si>
  <si>
    <t>Inflow principle according to split for non-recurring pymnts</t>
  </si>
  <si>
    <t>Survey of earnings: Changes in year-end legal change 2011/12</t>
  </si>
  <si>
    <t>Certific@2: starting in ERE situation</t>
  </si>
  <si>
    <t>Delt@: Duplication of extra hours in Economic details prop.</t>
  </si>
  <si>
    <t>TC: 1110 field without I in case of next month treatment</t>
  </si>
  <si>
    <t>TC: Issue with number of days in EDL of L04 declaration</t>
  </si>
  <si>
    <t>RPIGA0E0: Issues after SAP notes 1612010 and 1624956</t>
  </si>
  <si>
    <t>Correction II: Contribution Amounts 2011 values - IT and IMS</t>
  </si>
  <si>
    <t>190: Issues when using other payment key in EC296 feature</t>
  </si>
  <si>
    <t>CALC: Issue with contribution base in split on the 31st day</t>
  </si>
  <si>
    <t>RPCALCE0: Contribution limits being exceeded in splits</t>
  </si>
  <si>
    <t>Wage type /33F is shown in payslip</t>
  </si>
  <si>
    <t>Contrat@: Changes of Royal Decree-Law 10/2011</t>
  </si>
  <si>
    <t>TC: Issue in distribution of two bonifications with VND</t>
  </si>
  <si>
    <t>Certific@2: wrong validation during the Payroll simulation</t>
  </si>
  <si>
    <t>TC: Blank incentive group for training contract with bonif.</t>
  </si>
  <si>
    <t>190: Wrong warning message when performing RPC190E0</t>
  </si>
  <si>
    <t>RED 10/2011</t>
  </si>
  <si>
    <t>Invalid reduction methods for contracts 150 and 239</t>
  </si>
  <si>
    <t>Contrat@: Wrong Appeal option label in the RPUINEE0 report</t>
  </si>
  <si>
    <t>IRPF: Correction on getting reason for adjustment II</t>
  </si>
  <si>
    <t>AFI: field description wrongly translated in 799 infotype</t>
  </si>
  <si>
    <t>Contrat@: Issue updating contracts after SAP note 1565169</t>
  </si>
  <si>
    <t>TC: Invalid CCC in TCT segment of FAN file</t>
  </si>
  <si>
    <t>TC: Short dump after SAP note 1639853</t>
  </si>
  <si>
    <t>Issues in case of retroactivity and legal person change II</t>
  </si>
  <si>
    <t>TC: Inconsistent TemSe file after SAP note 1639853</t>
  </si>
  <si>
    <t>Legal Change: Annual Tax Statement 2011</t>
  </si>
  <si>
    <t>DUCS EDI: incorrect use of "rounding of zeros" sim</t>
  </si>
  <si>
    <t>Syntax error in RPCMSVF0</t>
  </si>
  <si>
    <t>Implementation of BAdi HRPAYFR_ASSEDIC_ATST causes dump</t>
  </si>
  <si>
    <t>Fields added to the overview of IT0218</t>
  </si>
  <si>
    <t>Error in function FSIS for payroll offset</t>
  </si>
  <si>
    <t>New reasons in ASSEDIC statement</t>
  </si>
  <si>
    <t>RPCEDTF0: missing flag for T512D for RECOT in V_T514K</t>
  </si>
  <si>
    <t>Incorrect offsetting where ME employee has OMP but no SMP.</t>
  </si>
  <si>
    <t>Validation issue with IT0070 subtype CSL</t>
  </si>
  <si>
    <t>Issues with the court order arrears processing</t>
  </si>
  <si>
    <t>Issue with IT0070 subtype CSL 'Maintain Text' button</t>
  </si>
  <si>
    <t>Security Payments processing for Gross Up</t>
  </si>
  <si>
    <t>PY-GB-PS: School's Work Force Census (2011 Legal Changes)</t>
  </si>
  <si>
    <t>Additional Note for SWF changes 2011 (Follow up to 1583749).</t>
  </si>
  <si>
    <t>IYMV reports: change in selection screen processing</t>
  </si>
  <si>
    <t>PY-HK: IT0346 start date before hire date in report HHKCPFC0</t>
  </si>
  <si>
    <t>MPF Report Issue When Using Same Wage Type in the Plans</t>
  </si>
  <si>
    <t>Payroll function GON inconsistent with PCR IDSW</t>
  </si>
  <si>
    <t>Legal Change: Jamsostek Form 2 and Form 1B</t>
  </si>
  <si>
    <t>Incorrect Emergency cutoff for Rehired employee.</t>
  </si>
  <si>
    <t>User exit: Determine income tax rate for one time taxation</t>
  </si>
  <si>
    <t>ESI Form 5 alignment not proper in SAP script layout display</t>
  </si>
  <si>
    <t>Form 24Q not displaying latest results on execution</t>
  </si>
  <si>
    <t>Negative edu cess generated for no PAN cases in cross FY run</t>
  </si>
  <si>
    <t>Form 24Q displaying results inconsistently for rehired emp.</t>
  </si>
  <si>
    <t>Runtime error while computing conveyance exemption</t>
  </si>
  <si>
    <t>BAdI to override Customer Specific Tax Exemption Limit</t>
  </si>
  <si>
    <t>Quarter dates on Form 27A header are missing inconsistently</t>
  </si>
  <si>
    <t>SAP Script layout issue in PC00_M40_PTX for Gujarat state</t>
  </si>
  <si>
    <t>Form24Q inconsistency for company code transfer cases</t>
  </si>
  <si>
    <t>HCMPSIT-EHP5: Splitting DMA Files</t>
  </si>
  <si>
    <t>Corrections of F24_EP</t>
  </si>
  <si>
    <t>PNP Enhancement for Pension Reports</t>
  </si>
  <si>
    <t>RPCEADJ0:Wrong Output for Multiple Employees for Termination</t>
  </si>
  <si>
    <t>RPCALCJ0: Wrong Shoyo Taxable in Retro for Non-resident EE</t>
  </si>
  <si>
    <t>RPCNRPJ0: incorrect behavior on selection screen</t>
  </si>
  <si>
    <t>RPCKTOJ0: Retrieve Wage Type Data of Incorrect Period</t>
  </si>
  <si>
    <t>Invalid Report Key Date Reads Hiring Date from IT0041</t>
  </si>
  <si>
    <t>EI03 and EI04 not Included in EI Adjustment</t>
  </si>
  <si>
    <t>Payroll Dumps during EI Premium Proration</t>
  </si>
  <si>
    <t>Korea Year-End Adjustment Legal Changes for 2011</t>
  </si>
  <si>
    <t>[MX] FONACOT Credits layout</t>
  </si>
  <si>
    <t>[MX] Personal number initial in user exit EXIT_HMXCAGU0_002</t>
  </si>
  <si>
    <t>[MX] Wrong warning message of SDI on payroll</t>
  </si>
  <si>
    <t>[MX] State Tax - Data from tables T7MX12 or T7MX15</t>
  </si>
  <si>
    <t>[MX] Customizing correction for WT M120</t>
  </si>
  <si>
    <t>[MX] Wrong generation of SDI entry on IT0372</t>
  </si>
  <si>
    <t>PY-MY: Incorrect EPF calculation for negative arrears</t>
  </si>
  <si>
    <t>PY-MY :Child relief incorrect when child turns 18 yrs of age</t>
  </si>
  <si>
    <t>Incorrect tax due to excess EPF during semi-monthly payroll</t>
  </si>
  <si>
    <t>PY-MY : Changes in hiring and leaving date for EA/EC form</t>
  </si>
  <si>
    <t>P0897: Invalid product choice displayed on payslip</t>
  </si>
  <si>
    <t>Aangifte LH: Cancellation is not created on BSN change</t>
  </si>
  <si>
    <t>Incorrect ERC for Svalbard Employees</t>
  </si>
  <si>
    <t>ATS: Report LTO 113 on 149 &amp; Employee rehired into same</t>
  </si>
  <si>
    <t>Changes to Svalbard and Pension ERC reporting</t>
  </si>
  <si>
    <t>SPK Issues - October 2011</t>
  </si>
  <si>
    <t>Issues in new solution for Reimbursement - October 2011</t>
  </si>
  <si>
    <t>Sick child quota for Reimbursement</t>
  </si>
  <si>
    <t>RPCALCV0: Tax free amount not handled in half tax period</t>
  </si>
  <si>
    <t>Reimbursement - Reading Infotype 0041 in Payroll</t>
  </si>
  <si>
    <t>Loans Report: Issue in Reporting and Form display</t>
  </si>
  <si>
    <t>Contract Working Hours in Overtime Report</t>
  </si>
  <si>
    <t>Change in the Interface of NAV 08-20.12 form</t>
  </si>
  <si>
    <t>Issues in Reimbursement solution - October 2011</t>
  </si>
  <si>
    <t>Reimbursement Issues</t>
  </si>
  <si>
    <t>Missing lables for few data elements -IT0021 (NPO)</t>
  </si>
  <si>
    <t>Error during Payroll run for Rental Subsidy</t>
  </si>
  <si>
    <t>Incorrect display of super fund code when feature 13SUP set</t>
  </si>
  <si>
    <t>Error message 'No entry in table V_T7NZLL' while termination</t>
  </si>
  <si>
    <t>HNZLREM0: Displays terminated employees in Employee Details</t>
  </si>
  <si>
    <t>New Parameters Available for Extra Pay Annualized Earnings</t>
  </si>
  <si>
    <t>RPTQTA00: incorrect generation of quotas</t>
  </si>
  <si>
    <t>PY-PT: IRS Christmas Allowance Surcharge - Corrections I</t>
  </si>
  <si>
    <t>RPCIIDP0: CA surcharge for individual income declaration</t>
  </si>
  <si>
    <t>Single Report: new method for absence reading in attachments</t>
  </si>
  <si>
    <t>PY-PT: IRS Christmas Allowance Surcharge - Corrections II</t>
  </si>
  <si>
    <t>Legal relationship for legal reports - Documentation</t>
  </si>
  <si>
    <t>ADSE XML report: Checking ADSE deduction from Infotype 0332</t>
  </si>
  <si>
    <t>HCM PT PS: Infotype 0021/0335 - percentage disability field</t>
  </si>
  <si>
    <t>HR-RU: RUOAV doesn't check reason for adjustment via 33BPC</t>
  </si>
  <si>
    <t>PY CE: Preparation SAP_HR objects for LC in CE</t>
  </si>
  <si>
    <t>HR-RU: 4-FSS shows negative values for fields with DAQ cust.</t>
  </si>
  <si>
    <t>SVZ-6-3: excess error message in the log</t>
  </si>
  <si>
    <t>HR-RU: Legal Change: Soc. Contributions Calculation (FZ-125)</t>
  </si>
  <si>
    <t>HR-RU: RUAVE doesn't include bonuses if APER splitted</t>
  </si>
  <si>
    <t>RPLSPPS2 - AV event missing and Juper Change scenario</t>
  </si>
  <si>
    <t>Employer Leaving Certificate reporting(RPLTCES0) issues</t>
  </si>
  <si>
    <t>Shortfall/excess calculation for inactive/retiree EE</t>
  </si>
  <si>
    <t>PY-TH: Social Security Contribution over the age of 60</t>
  </si>
  <si>
    <t>Adjust Income Tax Rates for Non-resident Employees in Taiwan</t>
  </si>
  <si>
    <t>HTWLIM00: Wrong NHI Amount Before Adjustment</t>
  </si>
  <si>
    <t>USCLM: IT909 Correction for Cleared CLM</t>
  </si>
  <si>
    <t>Pennsylvania Act 32 - November 2011 CLC</t>
  </si>
  <si>
    <t>TAX: Year to Date Pay Periods Incorrect</t>
  </si>
  <si>
    <t>PY-US-PS: Absence Donation issue when donate to another EE</t>
  </si>
  <si>
    <t>NWH:New Hire Report-Magnetic Media changes for Michigan(MI)</t>
  </si>
  <si>
    <t>ATC corrections for RPSVT1U0</t>
  </si>
  <si>
    <t>TR: Texas SUI UI Obligation Assessment Rate changes</t>
  </si>
  <si>
    <t>PY-US-TR: Second line of Address printed incorrectly</t>
  </si>
  <si>
    <t>TR: Tax type 89 incorrectly calculated in SUI Minnesota</t>
  </si>
  <si>
    <t>TR: Corrections to Out-of-state for OH magmedia</t>
  </si>
  <si>
    <t>Corrections to Online W-2: Wave 1</t>
  </si>
  <si>
    <t>Year End 2011 Phase I Additional U.S. Tax Reporter Changes</t>
  </si>
  <si>
    <t>TAX: Additional Withholding Percentage</t>
  </si>
  <si>
    <t>TAX: CT tax for Regular and Supplemental wages in same check</t>
  </si>
  <si>
    <t>[VE] Infinite processing of report HVECIVS0</t>
  </si>
  <si>
    <t>[VE] HVECARC0 report does not show the Employee RIF number</t>
  </si>
  <si>
    <t>Corrections to DAQ External Data API (1)</t>
  </si>
  <si>
    <t>IRP5 on PDF</t>
  </si>
  <si>
    <t>Equity Attributes Infotype requires request while saving</t>
  </si>
  <si>
    <t>ITREG: Records with "Registered" status not upload</t>
  </si>
  <si>
    <t>Temse &amp; Run No. not displaying in accessiblility mode</t>
  </si>
  <si>
    <t>ITA88 - Payment Reference Number is alphanumeric value</t>
  </si>
  <si>
    <t>SAPKE60441</t>
  </si>
  <si>
    <t>SAPKE60442</t>
  </si>
  <si>
    <t>HR_CHECK_AUTHORITY_PERNR: Incorr. result w/ different UNAME</t>
  </si>
  <si>
    <t>Deleting of unnecessary entries in HRP1000 with wildcard</t>
  </si>
  <si>
    <t>0HR_PA_PD_2: Only data in status '1' extracted</t>
  </si>
  <si>
    <t>Datasource 0HR_PA_PA_1 contains empty data</t>
  </si>
  <si>
    <t>0HR_PA_OS_1: runtime error ITAB_ILLEGAL_SORT_ORDER</t>
  </si>
  <si>
    <t>0HR_PA_OS_1: OCC_PERC calculated via infotyp 0008 is wrong</t>
  </si>
  <si>
    <t>0HR_PA_OS_1: Percentage unoccupied wrongly calculated</t>
  </si>
  <si>
    <t>Checkman-Formalie</t>
  </si>
  <si>
    <t>Rounding effects for time data extraction with 0HR_PT_2</t>
  </si>
  <si>
    <t>Time data BW extraction: Init/delta mode in RSA3</t>
  </si>
  <si>
    <t>HRUSER: Not able to select 'Central role assignment' in CUA</t>
  </si>
  <si>
    <t>HRUSER: More than one background job never completed</t>
  </si>
  <si>
    <t>Problem with CL_MSS_USER_DELEGATION in Team view</t>
  </si>
  <si>
    <t>CATS:Collision error when transfering records to HR</t>
  </si>
  <si>
    <t>In-Consistent Behavior in CAPS</t>
  </si>
  <si>
    <t>CATS: Incorrect collision message</t>
  </si>
  <si>
    <t>Syntax error in HRWPC_RFC_OADP_GET_OBJECTS</t>
  </si>
  <si>
    <t>Object manager not visible in transaction PRMM</t>
  </si>
  <si>
    <t>Entering country for trip break</t>
  </si>
  <si>
    <t>RPUACG00: Enhancement with variable UNAME</t>
  </si>
  <si>
    <t>Authorization check HR_CHECK_AUTHORITY_INFTY</t>
  </si>
  <si>
    <t>Context solution: Compressing IT0001 records</t>
  </si>
  <si>
    <t>Data element PEBZGME</t>
  </si>
  <si>
    <t>RHINTE00: JUPER change is considered as a termination</t>
  </si>
  <si>
    <t>Locked icon appearance incorrect in IT0378 overview screen</t>
  </si>
  <si>
    <t>EOI not proven, there should be atleast one active record</t>
  </si>
  <si>
    <t>RPUBEN46 does not display POST TAX amount for all entry</t>
  </si>
  <si>
    <t>HRBEN0047: Incorrect name displayed</t>
  </si>
  <si>
    <t>HRBEN0004 deleting the EOI proven plan</t>
  </si>
  <si>
    <t>Incompatible enhancements category in transaction HRBEN0047.</t>
  </si>
  <si>
    <t>RPUBENADJRSN - Locks all the employees unnecessary</t>
  </si>
  <si>
    <t>Extra Parameter in FM HR_BEN_SRV_GET_MOST_RCNT_RESUL</t>
  </si>
  <si>
    <t>Maintain text buttton is not displayed in Infotype 0219</t>
  </si>
  <si>
    <t>HRBEN0006: Second Address Line missing in Confirmation Form</t>
  </si>
  <si>
    <t>0HR_PA_BN_1 dumps with TSV_TNEW_OCCURS_NO_ROLL_MEMORY</t>
  </si>
  <si>
    <t>BEN: HIPAA Electronic Transaction Standards Legal Change</t>
  </si>
  <si>
    <t>Transaction HRBENUS02 missing dates in balance report</t>
  </si>
  <si>
    <t>Extended check corrections for RPUBEN52</t>
  </si>
  <si>
    <t>Enrollment transaction (HRBEN0001) dumps</t>
  </si>
  <si>
    <t>HR_BEN_ENRO:1st &amp; 2nd Program grouping not printed</t>
  </si>
  <si>
    <t>Savings Plan Pre-Tax / Post-Tax Contributions refund issue</t>
  </si>
  <si>
    <t>Benefits saving plan rollover post tax refund not correct</t>
  </si>
  <si>
    <t>PA-BN-CL</t>
  </si>
  <si>
    <t>Claims Proc. (Asia)</t>
  </si>
  <si>
    <t>HRCLM0001: Number of claims not working properly</t>
  </si>
  <si>
    <t>RUPCOB01:Not detecting loss of dependent status as second ev</t>
  </si>
  <si>
    <t>Dependent eligibility calculation not correct</t>
  </si>
  <si>
    <t>COBRA: City name in deny COBRA coverage letter not correct</t>
  </si>
  <si>
    <t>HRBENUSCOB03: Validity of cobra plans not correct</t>
  </si>
  <si>
    <t>COBRA: the system try to refund all what is already paid</t>
  </si>
  <si>
    <t>Incorrect Dependents appearing in ESS Benefits Application</t>
  </si>
  <si>
    <t>Locked Record Gets deleted if the Active Record is changed</t>
  </si>
  <si>
    <t>All the dependents appearing as Ineligible</t>
  </si>
  <si>
    <t>Invalid warning message for saving plan</t>
  </si>
  <si>
    <t>Enhancement to Pernr Selection logic for extraction via BAdI</t>
  </si>
  <si>
    <t>Queries of /SAPQUERY/HR_XX_CM_03 with empty survey job title</t>
  </si>
  <si>
    <t>RPIPSR00: Report name in a Batch input session</t>
  </si>
  <si>
    <t>RPLICO10 - selection texts with a period "."</t>
  </si>
  <si>
    <t>PA-MA</t>
  </si>
  <si>
    <t>HR Manager's Desktop</t>
  </si>
  <si>
    <t>Headcount planning: Error, plan cannot be saved</t>
  </si>
  <si>
    <t>CHECKPRIMARYCOSTS method of object BUS6031 contains errors</t>
  </si>
  <si>
    <t>T750X: Correction report</t>
  </si>
  <si>
    <t>Transaction PPOME/account assignment features/inheritance</t>
  </si>
  <si>
    <t>PP01/PPOME: dump SAPSQL_ARRAY_INSERT_DUPREC</t>
  </si>
  <si>
    <t>Termination action: erroneous warning message PB130</t>
  </si>
  <si>
    <t>PP01/PPOME: Tables T513, T5D13 are not updated for Jobs</t>
  </si>
  <si>
    <t>PPOME: Unnecessary acct assgmt splits in 1008 to high date</t>
  </si>
  <si>
    <t>Ad Hoc Query for organizational mgmt or position vacancies</t>
  </si>
  <si>
    <t>T750XADJUSTMENT: Incorr. msg. about unnecessary splits in DB</t>
  </si>
  <si>
    <t>Entry SEMIN/STORE cannot be maintained in the table T77S0</t>
  </si>
  <si>
    <t>PPOME/PP01: dump when change a Job name; update in T513</t>
  </si>
  <si>
    <t>Update of the table T513 is incorrect</t>
  </si>
  <si>
    <t>Encoding for applications in SAP_HR and EA-HR</t>
  </si>
  <si>
    <t>RHOMDETAIL: SLIN error</t>
  </si>
  <si>
    <t>PPOME- Focus(Cursor)in tab 'Quota Planning' and 'Max Budget'</t>
  </si>
  <si>
    <t>Error in search variants</t>
  </si>
  <si>
    <t>IT1007: Vacancies "open" or "occupied, filled"</t>
  </si>
  <si>
    <t>PPOME: Display of obsolete status from planned status</t>
  </si>
  <si>
    <t>PV1A in Batch Input: Corresponding attendance is not updated</t>
  </si>
  <si>
    <t>RHSCRP00: 'PREV' and 'NEXT' buttons without function</t>
  </si>
  <si>
    <t>Corrections to RHT750XADJUSTMENT</t>
  </si>
  <si>
    <t>LSO_PV1A: Batch input does not change time data</t>
  </si>
  <si>
    <t>[AR] Address links when copying subdivisions</t>
  </si>
  <si>
    <t>Mutterschutz/Karenz - IT 0367: Ende MVK nicht gefüllt</t>
  </si>
  <si>
    <t>Translation of infotype descriptions not correct</t>
  </si>
  <si>
    <t>Contribution area in IT0530 and IT0532 can not be changed</t>
  </si>
  <si>
    <t>Second Name field can be set in T588M; this is incorrect</t>
  </si>
  <si>
    <t>IT0080: Changed maternity protection periods</t>
  </si>
  <si>
    <t>Error in absence destruction I (November 2011)</t>
  </si>
  <si>
    <t>Information of Employee-Related Data (selection screen)</t>
  </si>
  <si>
    <t>Error in absence destruction II (November 2011)</t>
  </si>
  <si>
    <t>Garnishment master data: Assigning garnishment number</t>
  </si>
  <si>
    <t>Incorrect verification of "Code INSEE"</t>
  </si>
  <si>
    <t>Domain HRTNM_TNAST: label changed</t>
  </si>
  <si>
    <t>Enhancements to TNM-LSO objects (SAP_HCRFR) - V</t>
  </si>
  <si>
    <t>Additional Data subscreen for RELAT 941 does not go back</t>
  </si>
  <si>
    <t>P46 class 4 0T tax code in tax year 2012 &amp; P46 Expat</t>
  </si>
  <si>
    <t>RPLLIDJ2: Incorrect Total Amounts When Run for Multiple EE</t>
  </si>
  <si>
    <t>RPCEADJ0: PDF Enhancement to Output More Text in Tekiyo-Ran</t>
  </si>
  <si>
    <t>RPLDQOJ1: Prefecture Name Is Not Output</t>
  </si>
  <si>
    <t>Dummy Note for SAP_HRCJP 604</t>
  </si>
  <si>
    <t>Enhance Display for Expense Detail Infotype 0881 Screens</t>
  </si>
  <si>
    <t>[MX] Missing entries for table T7MX63</t>
  </si>
  <si>
    <t>Short dump occurs due to migrated record update via PA30</t>
  </si>
  <si>
    <t>New Electronic Illness Reporting: Delivery of Feature NLEI1</t>
  </si>
  <si>
    <t>Short dump in ESS for Flexible Benefits for Utilities</t>
  </si>
  <si>
    <t>Pension Return to APG: Basis Objects for CD Project II</t>
  </si>
  <si>
    <t>YELC 2011/2012: Change to 30% regeling</t>
  </si>
  <si>
    <t>YELC 2011/2012: Adjustments to Infotypes 0059 and 0303</t>
  </si>
  <si>
    <t>YELC 2011/2012: Changes to Company Car Regulation for NL</t>
  </si>
  <si>
    <t>RPTZKMN2: Feature NLR06 misinterpreted</t>
  </si>
  <si>
    <t>YELC 2011/2012: New calculation options for RPIBBLN0</t>
  </si>
  <si>
    <t>Infotype Saving Schemes: Adjustment of Translation for STy</t>
  </si>
  <si>
    <t>0337 Infotype: error message in infotype maintenance screen</t>
  </si>
  <si>
    <t>SySP: Changes Q3.2001 Synchronisation HRSP (600, 604)</t>
  </si>
  <si>
    <t>HR-RU: overwriting F4 for Details of Action Reason in IT0298</t>
  </si>
  <si>
    <t>The new format of the sickness certificate's number</t>
  </si>
  <si>
    <t>HR-RU: IT0293, maintaining more than 20 wagetypes</t>
  </si>
  <si>
    <t>RSV-1: CE and non-CE versions of the report</t>
  </si>
  <si>
    <t>HR-RU: Form P-4 NZ</t>
  </si>
  <si>
    <t>T-2: long name of profession</t>
  </si>
  <si>
    <t>SPV-1: customizing dates in the XML-file after Note 1639654</t>
  </si>
  <si>
    <t>Entry XX X SY-DATUM does not exist in T7RUOKSO</t>
  </si>
  <si>
    <t>Syntax error in program HRULPAY2 after upgrade</t>
  </si>
  <si>
    <t>SZV-6-1: maintaining of territorial codes RKSM and MKSR</t>
  </si>
  <si>
    <t>ADV-6-2: SZV rejecting forms are not processed</t>
  </si>
  <si>
    <t>HR-RU: Report HRULTAB0 does not print OKPO code</t>
  </si>
  <si>
    <t>IT0293, Decoupling</t>
  </si>
  <si>
    <t>HR-RU: Loan Retention in Case Zero Income</t>
  </si>
  <si>
    <t>VETS: Spelling error in message class 5U, msgs 278 and 279.</t>
  </si>
  <si>
    <t>IT:Lock infotype maintenance between End Date and Check Date</t>
  </si>
  <si>
    <t>IT0106: Not possible to hide frame "Physician"</t>
  </si>
  <si>
    <t>IT0002: Social Security Number(SSN) Randomization.</t>
  </si>
  <si>
    <t>ESS:Validation of EIC Status in W-4 Tax Withholding scenario</t>
  </si>
  <si>
    <t>EEO Report: Unit number with Z$$ prefix shown incorrectly</t>
  </si>
  <si>
    <t>BEN: Contributions going to wrong BT/AT bucket during refund</t>
  </si>
  <si>
    <t>BEN: Wrong employer match calculation.</t>
  </si>
  <si>
    <t>Limits for retirement, savings plans in tax year 2012.</t>
  </si>
  <si>
    <t>BEN: Employee rejected when processing GTL insurance plans</t>
  </si>
  <si>
    <t>BEN: ER match for catch-up savings plan not calculated</t>
  </si>
  <si>
    <t>FMLA: Requests cannot be maintained for inactive employees</t>
  </si>
  <si>
    <t>[VE] FAOV contributions removal for Retired employees</t>
  </si>
  <si>
    <t>[VE] Layout error in program SAPLEHV3 dynpro 200</t>
  </si>
  <si>
    <t>Infotype 0001: Payroll area is overwritten from ABKRS</t>
  </si>
  <si>
    <t>IT0003: Payroll correction not set (Matchcode "W")</t>
  </si>
  <si>
    <t>Personal data in HCM:PA Data destruction tool and HRLSO_CURR</t>
  </si>
  <si>
    <t>Error message when enhancing infotypes</t>
  </si>
  <si>
    <t>RPLERDX0: Personnel Development employee data</t>
  </si>
  <si>
    <t>RPUFIXDS: Output log is empty</t>
  </si>
  <si>
    <t>PA70: Runtime error DYNPRO_FIELD_CONVERSION occurs</t>
  </si>
  <si>
    <t>Deleting users: Exception CX_HRPA_VIOLATED_PRECONDITION</t>
  </si>
  <si>
    <t>Change documents of applicants without detail information</t>
  </si>
  <si>
    <t>PA70: Infotype text deleted or changed for record change</t>
  </si>
  <si>
    <t>PA42/PA70: error on screen for tablecontrol TC_MENU</t>
  </si>
  <si>
    <t>HRALX: Unneecessary RFC call with implicit DB-COMMIT</t>
  </si>
  <si>
    <t>BAPI creates record on DB despite parameter NO_COMMIT = 'X'</t>
  </si>
  <si>
    <t>PA41/Change leaving date in the future: Record not changed</t>
  </si>
  <si>
    <t>IT0016: Enablement of modification free add-on solution</t>
  </si>
  <si>
    <t>RPUPROTU: Dump COMPUTE_BCD_OVERFLOW</t>
  </si>
  <si>
    <t>Personnel action (PA40): Button 'Next record' not working</t>
  </si>
  <si>
    <t>PRAA: Changed IBAN is not transferred to vendor</t>
  </si>
  <si>
    <t>IT0009: Saving non-existent bank keys [3]</t>
  </si>
  <si>
    <t>Mapping of UGR with Molga for PA30/PA40- IMG changes</t>
  </si>
  <si>
    <t>IT0001:No retroactive accounting for staffing percentage chg</t>
  </si>
  <si>
    <t>Overlapping record: message PG208 is not triggered</t>
  </si>
  <si>
    <t>IT0001: Warning message is triggered several times</t>
  </si>
  <si>
    <t>PA30: all document types displayed via "Assign Original"</t>
  </si>
  <si>
    <t>Infotype 0001: Error KI 260 and/or 5A 325 during transfer</t>
  </si>
  <si>
    <t>Copy Organizational Assignment: Error message 5A367</t>
  </si>
  <si>
    <t>PU01: Error message CNHT003</t>
  </si>
  <si>
    <t>Infotype 0028: 'Examination data' table control disappears</t>
  </si>
  <si>
    <t>Change pointer for infotype 0003 is not triggered</t>
  </si>
  <si>
    <t>IT 0007: PDC retroactive accounting date set in IT 0003</t>
  </si>
  <si>
    <t>IT 0007: PDC retroactive accounting date not set in IT 0003</t>
  </si>
  <si>
    <t>Country reassignment: Incorrect value for P0002-KNZNM</t>
  </si>
  <si>
    <t>BAdI for checks during deletion of personnel numbers</t>
  </si>
  <si>
    <t>PA40 and Additional assignment: P_PERNR check not correct</t>
  </si>
  <si>
    <t>Performance improvement when calling BAdI HRPAD00INFTY</t>
  </si>
  <si>
    <t>Message not displayed when infotype record is saved</t>
  </si>
  <si>
    <t>SUBSCREEN_T582C too far from default fields</t>
  </si>
  <si>
    <t>HRALX: Missing RFC exceptions when calling BP integration</t>
  </si>
  <si>
    <t>Fields of screens from SAPMP5X0_CE cannot be hidden (T588M)</t>
  </si>
  <si>
    <t>IBAN/SEPA: Message RP 614 despite entering payee key [2]</t>
  </si>
  <si>
    <t>PA30: PCL1 entry created despite infotype text not existing</t>
  </si>
  <si>
    <t>Infotype w. subtype: false default values in dynamic action</t>
  </si>
  <si>
    <t>Object type PREL: no access restriction to transaction PA20</t>
  </si>
  <si>
    <t>RPLPAY00: Incorrect error message 70104</t>
  </si>
  <si>
    <t>IT0001: Proposal from IT1008 without position change</t>
  </si>
  <si>
    <t>CL_HRCCE_PERSON_READER-&gt;GET_PERNR_LIST_SELOPT: wrong results</t>
  </si>
  <si>
    <t>Dynamic action: Infotype not created despite authorization</t>
  </si>
  <si>
    <t>Message PG035 triggered as an error instead of a warning</t>
  </si>
  <si>
    <t>Previous record displayed when the infotype record is saved</t>
  </si>
  <si>
    <t>PBA7/T588Z: Default values are empty for infotype w. subtype</t>
  </si>
  <si>
    <t>Next set of AO 8wir doch in Deustch geändert)</t>
  </si>
  <si>
    <t>PA40/PA42/PA70: Vertical scrolling is not possible</t>
  </si>
  <si>
    <t>PA30: Incorrect sequence of infotype header with language AR</t>
  </si>
  <si>
    <t>IT0022: Content of field not ready for input can be modified</t>
  </si>
  <si>
    <t>Personal Data Destruction: tools</t>
  </si>
  <si>
    <t>PA30/Batch Input: System not asking for Delimitation Date</t>
  </si>
  <si>
    <t>IT0008: Annual salary incorrectly distributed to wage types</t>
  </si>
  <si>
    <t>Composite SAP Note for improving usability using keyboard</t>
  </si>
  <si>
    <t>NRP: Plausibility check incorrect in infotype 3250</t>
  </si>
  <si>
    <t>HR-PF-CH: Changes for BVG: Fiscal year change 2011/2012</t>
  </si>
  <si>
    <t>PA-PF-CH: Electronic capital payment message</t>
  </si>
  <si>
    <t>Pension receipt notification: New version as of 2012</t>
  </si>
  <si>
    <t>VA Reduction for the employee liable for PEP: Enhancements</t>
  </si>
  <si>
    <t>Carrying forward of overall budget not possible</t>
  </si>
  <si>
    <t>IT1018: No Funds Management-specific fields</t>
  </si>
  <si>
    <t>Err when creating budgeting rules after implementing 1491195</t>
  </si>
  <si>
    <t>Runtime errors when executing the report RHRFPM_LIFI</t>
  </si>
  <si>
    <t>Commitment/Budget Cr</t>
  </si>
  <si>
    <t>Error message 3G 300 when you execute RPCIPE00</t>
  </si>
  <si>
    <t>Commitment references not found when segment is active</t>
  </si>
  <si>
    <t>Job index: HRFPM_ADT_SUB_SCR, data not supplied before PAI</t>
  </si>
  <si>
    <t>Error during posting of retrocative acct in closed periods</t>
  </si>
  <si>
    <t>Support of "Business area" and "Segment"</t>
  </si>
  <si>
    <t>Job index: Various error corrections</t>
  </si>
  <si>
    <t>Job index: No texts for key (follow-on to Note 1553904)</t>
  </si>
  <si>
    <t>Job index and inactive plan versions in PPOME</t>
  </si>
  <si>
    <t>Job index: No object data for determining job index key</t>
  </si>
  <si>
    <t>ADT: Various errors when using BAdI HRFPM_ADT_SUBSCR</t>
  </si>
  <si>
    <t>Verbesserungen bei Bestimmung des ADT-Schlüssels</t>
  </si>
  <si>
    <t>PA40/PBA7:Unable to transfer infotypes with several subtypes</t>
  </si>
  <si>
    <t>PB40: Default value not getting set in screen 2000</t>
  </si>
  <si>
    <t>PA40: Incorrect applicant id defaulted</t>
  </si>
  <si>
    <t>T750X: Reading position short text</t>
  </si>
  <si>
    <t>Function SORT/operation TSORT: New parameter DZL</t>
  </si>
  <si>
    <t>PE04: Name interval for RPTIME00 customer functions used up</t>
  </si>
  <si>
    <t>P2004: Incorrect determination of on-call times</t>
  </si>
  <si>
    <t>Error in pair formation at change of the month</t>
  </si>
  <si>
    <t>RPTIME00: Employee name/address not displayed on form TF01</t>
  </si>
  <si>
    <t>HR_QTACC_PERIOD_DETERMINE: Countryexit has performance issue</t>
  </si>
  <si>
    <t>RPTXTX00: long texts not available</t>
  </si>
  <si>
    <t>RPTERL00: Infotype 0002 is superfluous</t>
  </si>
  <si>
    <t>RPTBPC10: Incorrect selection "Record Recounted"</t>
  </si>
  <si>
    <t>RPTBPC10: Rounding error when summing up deductions</t>
  </si>
  <si>
    <t>Infotype 0080: Error message during default value check</t>
  </si>
  <si>
    <t>Delimiting IT2012 (time transfer specifications) fails</t>
  </si>
  <si>
    <t>RPTIME00: Split indicator '00' for alternate payment ALP</t>
  </si>
  <si>
    <t>PA30/PA61: Incorrect Availability (IT2004) Collision Check</t>
  </si>
  <si>
    <t>IT0007: Feature TMSTA not executed during dynamic measure</t>
  </si>
  <si>
    <t>PA30/PA61:Dump when an attendance or an absence is delimited</t>
  </si>
  <si>
    <t>PA61: Recalulation of future absences</t>
  </si>
  <si>
    <t>Using report RPTBPC10 with activated CE-switch</t>
  </si>
  <si>
    <t>RPTLEACONV: Recalculate intervals for key date</t>
  </si>
  <si>
    <t>HR_GET_QUOTA_DATA returns incorrect quota type texts</t>
  </si>
  <si>
    <t>HR_BLP_TIMEDATA_CONTROL: Interface enhancement</t>
  </si>
  <si>
    <t>TMW: Fields concerning last change not filled (IT 2004)</t>
  </si>
  <si>
    <t>RPTPSH10: 'Name' column truncated after 23 characters</t>
  </si>
  <si>
    <t>[AR] Not possible to use ARDIV processing at off-cycles</t>
  </si>
  <si>
    <t>[AR] Report HARCF649 missing data for place and date</t>
  </si>
  <si>
    <t>[AR] HARCDGI0 - Absences incorrectly discounted</t>
  </si>
  <si>
    <t>[AR] Incorrect format for numeric values in report HARCF649</t>
  </si>
  <si>
    <t>[AR] Error in SAC limit calculation</t>
  </si>
  <si>
    <t>Dienstzettel Österreich (Bescheinigungswesen)</t>
  </si>
  <si>
    <t>Bescheinigungswesen: Erweiterung der Adressdaten</t>
  </si>
  <si>
    <t>ASV00 SV-Berechnung ohne SV-Tage mit WPBP-Splits</t>
  </si>
  <si>
    <t>UE/KUE und Lohnarten mit Kumulation /153</t>
  </si>
  <si>
    <t>Doku: Meldungsart P5, div. Korrekturen Schreibfehler</t>
  </si>
  <si>
    <t>BV: Der Beitrag nicht richtig bei Wiedereintritt/ruhend</t>
  </si>
  <si>
    <t>UEKV: Rückrechnung bis zum Austritt nicht möglich</t>
  </si>
  <si>
    <t>UEKV: UE + unbez Abwesenheit, falscher SV-Split</t>
  </si>
  <si>
    <t>RPCUBSA0RA: Druckknopf "Befreiungsgründe" und ALV-Liste</t>
  </si>
  <si>
    <t>Vorankündigung Jahreswechsel 2011/2012 Österreich</t>
  </si>
  <si>
    <t>Pfändung: Fehler in Personalrechenregel A527</t>
  </si>
  <si>
    <t>PCALZ: Fehler auf dem PDF-Formular HR_AT_LZ_GLZ_02</t>
  </si>
  <si>
    <t>PCALZ: Lohnzettel SV mit UE im Austrittsmonat zu erstellen</t>
  </si>
  <si>
    <t>SV-Werte: IESG-Beitrag für lohnsteuerpflichtige Vorstände</t>
  </si>
  <si>
    <t>Steuerberechnung für freiw. Abfertigung &amp; Sozialplanzahlung</t>
  </si>
  <si>
    <t>HR-AT - RPCURLA1 - Tagesteiler BAdI</t>
  </si>
  <si>
    <t>JW 2011/12: SV Mindest- und Höchstbeitragsgrundlagen ab 2012</t>
  </si>
  <si>
    <t>JW 2011/12: Neue AV-Grenzbeträge ab 2012</t>
  </si>
  <si>
    <t>JW 2011/12: ELDA Änderungen Lohnzettel</t>
  </si>
  <si>
    <t>JW 2011/12: ELDA Arbeits-/Entgeltbest. Kranken-/Wochengeld</t>
  </si>
  <si>
    <t>Auslieferung: ELDA Krankenstandsmeldung</t>
  </si>
  <si>
    <t>JW 2011/12: Auslandspension ( KV-pflicht und Lst-frei)</t>
  </si>
  <si>
    <t>JW 2011/12: Pensionsabfindungen Grenzbetrag für 2012</t>
  </si>
  <si>
    <t>JW 2011/12: Pension, Aufwertungzahl SV</t>
  </si>
  <si>
    <t>JW 2011/12: ELDA Änderung BVA</t>
  </si>
  <si>
    <t>HCM AU: Usability issues in list output</t>
  </si>
  <si>
    <t>P0057 &amp; P0011 not available in PE51</t>
  </si>
  <si>
    <t>Incorrect Flat Tax calculated when cents are not dropped.</t>
  </si>
  <si>
    <t>Payment Summary Enhancements 2012</t>
  </si>
  <si>
    <t>Australia Non-CE Solution: 2012/2013 Tax Legal Changes</t>
  </si>
  <si>
    <t>DeCavaA - Documentation enhancements</t>
  </si>
  <si>
    <t>Spec. SI contr.: Wrong basis change Blue Collar to WC</t>
  </si>
  <si>
    <t>Activa Allowance - ONEM/RVA code D15</t>
  </si>
  <si>
    <t>DmfA - Field 00042 LocalUnitID</t>
  </si>
  <si>
    <t>Students 2012 - Changes for SI Contributions</t>
  </si>
  <si>
    <t>Usage of field RSZNA on infotype 0101 is obsolete</t>
  </si>
  <si>
    <t>Belgium specific changes to international IMG</t>
  </si>
  <si>
    <t>DMFA Update: runtime error in Consult Answer processing</t>
  </si>
  <si>
    <t>Dimona: Legal Change for Students - Delivery II</t>
  </si>
  <si>
    <t>ZERODIVIDE in RPCACLB0 when PSP is used instead of RFSCH</t>
  </si>
  <si>
    <t>Belcotax: B2A &amp; Temse Viewer integration</t>
  </si>
  <si>
    <t>CAPELO: Sections not set for retroactive calculation</t>
  </si>
  <si>
    <t>DMFA Update: runtime error in Update Notification processing</t>
  </si>
  <si>
    <t>Payroll Function BFIRE: Documentation Clarification</t>
  </si>
  <si>
    <t>Tax reduction group insurance not applied for prepensioners</t>
  </si>
  <si>
    <t>PY-BE/DMFA: restructuring of includes</t>
  </si>
  <si>
    <t>Dimona students 2012 - Quarter declaration with 0 days</t>
  </si>
  <si>
    <t>Replace usage of P15_FACTOR by P12_FACTOR (for Belgium)</t>
  </si>
  <si>
    <t>BELCOTAX: RPCBWPB0 - Printout Form  - Employee address II</t>
  </si>
  <si>
    <t>DeCavaA - Incorrect limitation of contribution ER early ret.</t>
  </si>
  <si>
    <t>DIRF: Seniority amounts being reported in incorrect column</t>
  </si>
  <si>
    <t>HBRCEDT0: The number of dependents is incorrect</t>
  </si>
  <si>
    <t>GPS: Amounts paid in AJUS payroll not reported</t>
  </si>
  <si>
    <t>Termination Term: Output in PDF format</t>
  </si>
  <si>
    <t>SREP:Attendances longer than work schedule wrongly displayed</t>
  </si>
  <si>
    <t>HBRRAIS0 - Underage apprentice employment relationship</t>
  </si>
  <si>
    <t>Exception class for infotypes</t>
  </si>
  <si>
    <t>GRRF: alimony defined by number of salaries is not reported</t>
  </si>
  <si>
    <t>Homolognet: Non-vacation quotas being reported</t>
  </si>
  <si>
    <t>SREP: data source and data saving process of HBRTMIF0</t>
  </si>
  <si>
    <t>OMBR: Documentos E1HR_BRD segments repeat exporting</t>
  </si>
  <si>
    <t>IT221: Unable to leave the QC Tax ID blank</t>
  </si>
  <si>
    <t>EHT: 'Province of Health Tax' not hidable in overview screen</t>
  </si>
  <si>
    <t>IT0001 Screen 2007 some screen fields missing in V_T588M</t>
  </si>
  <si>
    <t>Reporting : Amounts doubling for split payroll results</t>
  </si>
  <si>
    <t>AUD : Audit report does not display results for details</t>
  </si>
  <si>
    <t>3PR : Reconciliation report gives incorrect error message</t>
  </si>
  <si>
    <t>Year-end bonus for mid-month employee subgroup change</t>
  </si>
  <si>
    <t>CH: Documentation for various reports</t>
  </si>
  <si>
    <t>Adjustment of employer statement to official templates</t>
  </si>
  <si>
    <t>FamZReg: Rev.indic. incorrect if SI no. added retroactively</t>
  </si>
  <si>
    <t>FAK: Sorting of date specifications is incorrect</t>
  </si>
  <si>
    <t>[CL] Search Help and Validation for field BKONT at IT0009</t>
  </si>
  <si>
    <t>[CL] PREVIRED - No data displayed for reliquidated period</t>
  </si>
  <si>
    <t>[CL] Wrong Family Allowances concepts generation</t>
  </si>
  <si>
    <t>[CL] General Garnishment Corrections</t>
  </si>
  <si>
    <t>[CL] Payroll results selection for Chilean Reports</t>
  </si>
  <si>
    <t>[CL] Social Insurance basis proration by Tax Data</t>
  </si>
  <si>
    <t>[CL] Income Certificate sequential number correction</t>
  </si>
  <si>
    <t>[CL] Incorrect Social Insurance basis in function CLLIC</t>
  </si>
  <si>
    <t>[CL] PREVIRED: Addition of APVC and AV groups</t>
  </si>
  <si>
    <t>[CL] Reliquidation wage types reprocessing on Reliquidation</t>
  </si>
  <si>
    <t>[CL] Documentation for Subsidy and Complement in Absences</t>
  </si>
  <si>
    <t>[CL] Wrong Subisy and Complement wage types processing</t>
  </si>
  <si>
    <t>[CL] Gratuity and Retroactive calculation with IMM changes</t>
  </si>
  <si>
    <t>[CL] Authorization Objects for Chilean Transactions Delivery</t>
  </si>
  <si>
    <t>[CL] PREVIRED with Reliquidation / Gratuity file</t>
  </si>
  <si>
    <t>New Indicator for SI Contribution Calculation Base</t>
  </si>
  <si>
    <t>Fixed Amount as PHF Exemption</t>
  </si>
  <si>
    <t>Enhance Payroll Log in Chinese</t>
  </si>
  <si>
    <t>Documentation Correction</t>
  </si>
  <si>
    <t>Enhancement of China Year End Individual Tax Report</t>
  </si>
  <si>
    <t>The Version Table in Payroll Result Misses Schema Name</t>
  </si>
  <si>
    <t>Implementing a refresh for running payroll again</t>
  </si>
  <si>
    <t>SI: DEUEV immediate notifications using communication server</t>
  </si>
  <si>
    <t>B2A: Error messages in batch for B2A Manager</t>
  </si>
  <si>
    <t>SI: New inbound procedures for SI notifications</t>
  </si>
  <si>
    <t>ZfA/RBM: Status change after transfer</t>
  </si>
  <si>
    <t>ETNotif./ETStmt: New XML version for 2012</t>
  </si>
  <si>
    <t>SI: Unnecessary entries with the status "In Process/Waiting"</t>
  </si>
  <si>
    <t>SFP: Inclusion of data record BEMEL in report RPUBKAD0</t>
  </si>
  <si>
    <t>Expenses: Extended runtime if AUF05 is used</t>
  </si>
  <si>
    <t>Year-end legal change 2011/2012 2011/2012 DEUEV</t>
  </si>
  <si>
    <t>DEUEV immediate notifications created w/o module DBSO</t>
  </si>
  <si>
    <t>DEUEV immed. notif.: Confirm. of PI number using module DBVR</t>
  </si>
  <si>
    <t>ELENA: Changes due to discontinuation of procedure I</t>
  </si>
  <si>
    <t>EEL: Process view - corrections and enhancements 2</t>
  </si>
  <si>
    <t>EEL: Notification creation after change in legal person</t>
  </si>
  <si>
    <t>EEL: Corrections and enhancements 17</t>
  </si>
  <si>
    <t>EEL: Runtime optimization of RPCEEVD0_OUT</t>
  </si>
  <si>
    <t>Last relevant tax data (after ELStAM start date)</t>
  </si>
  <si>
    <t>HR payrll journl: Flat-rate emplymnt tx accrdng to sectn 37b</t>
  </si>
  <si>
    <t>Prohibited activities: Additional averages (preparation)</t>
  </si>
  <si>
    <t>Prohibited activities: Wage Maintenance (part 2)</t>
  </si>
  <si>
    <t>Termination in DSVU in case of prohibited activities</t>
  </si>
  <si>
    <t>Maternity Protection Act: Prohibited Activities subapp.(2)</t>
  </si>
  <si>
    <t>Prohib. activities in assessment period for supp. to mat.pay</t>
  </si>
  <si>
    <t>Maternity Protection Act: Prohibited Activities subapp (3)</t>
  </si>
  <si>
    <t>OTMD: Adding New Legislative Fields</t>
  </si>
  <si>
    <t>Wage types for value credit start values</t>
  </si>
  <si>
    <t>AAG fictitious run "Incapacity to work": Corrections IV</t>
  </si>
  <si>
    <t>RHC: Changes for year-end legal change 2011/2012</t>
  </si>
  <si>
    <t>Imputed income in T512C splitting in notional net amount</t>
  </si>
  <si>
    <t>Add. amts for supp pens taxed at flat rate in SI val. credit</t>
  </si>
  <si>
    <t>Year-end legal change tax 2011/2012</t>
  </si>
  <si>
    <t>ELStAM: Corrections 12 2011</t>
  </si>
  <si>
    <t>Changes to program flowchart in 2012</t>
  </si>
  <si>
    <t>New values for non-monetary remuneration as of 2012</t>
  </si>
  <si>
    <t>Function DFLST: Saving infotype tables</t>
  </si>
  <si>
    <t>TV FlexAZ:Supplementary pension supplement in work/ex. phase</t>
  </si>
  <si>
    <t>DFLST: Termination "incorrect nesting" despite Note 1644775</t>
  </si>
  <si>
    <t>Personal bonus (TV-L): WPBP determines incorrect basis</t>
  </si>
  <si>
    <t>CA of public sec.of states: Std pay increases 2011 and 2012</t>
  </si>
  <si>
    <t>TV FlexAZ and TV Bund: Reduction of SI value credit</t>
  </si>
  <si>
    <t>Gross overpayment:Traffic light symbols not printed RPLBUZD0</t>
  </si>
  <si>
    <t>Dump in payroll function DOLGU</t>
  </si>
  <si>
    <t>TV FlexAZ: Wage type halved in rule D012</t>
  </si>
  <si>
    <t>Retroact.Pens.Insur.</t>
  </si>
  <si>
    <t>Update of pension-relevant assessment amounts 2012</t>
  </si>
  <si>
    <t>Regular Reimbursement According to Sec.10 VersStaatsV (1)</t>
  </si>
  <si>
    <t>Art. 84 BayBeamtVG: Combining pension payments (5)</t>
  </si>
  <si>
    <t>Maint payt accrdng to sctn 38: Accidnt eqlztn payt (min amt)</t>
  </si>
  <si>
    <t>State of Bavaria: Payments adjustment on January 01, 2012</t>
  </si>
  <si>
    <t>PS reg. Bavaria: Imputation of income for maintenance payts</t>
  </si>
  <si>
    <t>Sequence of infotype 0781 (imputations section 53)</t>
  </si>
  <si>
    <t>Art. 84 BayBeamtVG: Combining pension payments (6)</t>
  </si>
  <si>
    <t>Reason for orphan's benefit in pension payments infotype</t>
  </si>
  <si>
    <t>Pension equalization payment 2010: Interrupting payment</t>
  </si>
  <si>
    <t>Treaty on the sharing of pension costs (13)</t>
  </si>
  <si>
    <t>Process scenario is not recognized as simulation</t>
  </si>
  <si>
    <t>Pension equalization payment 2010: Data change ineffective</t>
  </si>
  <si>
    <t>Art. 84 BayBeamtVG: Combining pension payments (7)</t>
  </si>
  <si>
    <t>Treaty on the sharing of pension costs (14)</t>
  </si>
  <si>
    <t>DATUEV-ZVE 1.04: Notional gross amt for mat. prot. from 2012</t>
  </si>
  <si>
    <t>Inflow principle accrdng to split for non-recurrng pymnts II</t>
  </si>
  <si>
    <t>RPLEHAD3: Changes for display year 2011</t>
  </si>
  <si>
    <t>Corrections for statements 12/2011</t>
  </si>
  <si>
    <t>New versions of statement of employment or secondary income</t>
  </si>
  <si>
    <t>Income statement sect. 58 SGB II (ALG II) Version 04.2011</t>
  </si>
  <si>
    <t>Stmnt of earnings child bonus: Version KIZ5 - November 01</t>
  </si>
  <si>
    <t>ERE: Constant SEERE does not work properly for CP basis</t>
  </si>
  <si>
    <t>HEXTRAS: optional retro-control for SAP note 1576339</t>
  </si>
  <si>
    <t>IRPF 2011 - Problems in case of 1/10 regularization reasons</t>
  </si>
  <si>
    <t>Increase formula missing in temporary contracts methods</t>
  </si>
  <si>
    <t>Certific@2: New BAdI method to determine active periods</t>
  </si>
  <si>
    <t>TC: CD01 with no contribution base</t>
  </si>
  <si>
    <t>TC: Bonification ending in the middle of a month</t>
  </si>
  <si>
    <t>IGA: wrong batch input data in consequence of note 1624940</t>
  </si>
  <si>
    <t>CALC: Absence in the 31st day and not whole month active</t>
  </si>
  <si>
    <t>IRPF: Change evaluating extension of work activity and WERTX</t>
  </si>
  <si>
    <t>TC: Issue with compensation of contribution bases in A76</t>
  </si>
  <si>
    <t>CALC: Issue with value from daily strike basis on EVD00</t>
  </si>
  <si>
    <t>TC: Issue with ordinary declaration after SAP note 1580357</t>
  </si>
  <si>
    <t>VND calculation in periods with no active days for part time</t>
  </si>
  <si>
    <t>TC: L04 classifier does not accept Payment mode</t>
  </si>
  <si>
    <t>TC: Incorrect side literal texts in TC1 form</t>
  </si>
  <si>
    <t>CALC: Unpaid absences not discounted for contingency basis</t>
  </si>
  <si>
    <t>CALC: Incorrect Allowances when VND with splits present</t>
  </si>
  <si>
    <t>IGA: Different tax percentage calculation due to dependants</t>
  </si>
  <si>
    <t>CALC: Negative bonifications during an unpaid absence</t>
  </si>
  <si>
    <t>TC: Contrib. bases lesser than minimum for training contract</t>
  </si>
  <si>
    <t>Contrat@: Changes of Royal Decree-Law 10/2011 II</t>
  </si>
  <si>
    <t>CALC: Incorrect work schedule used by EBPI0 payroll function</t>
  </si>
  <si>
    <t>190: Issues evaluating arrears from previous years</t>
  </si>
  <si>
    <t>CALC: SI bases exceeding upper limit for part-time employees</t>
  </si>
  <si>
    <t>TC: Subarea CAC not considered in CAC selection-screen field</t>
  </si>
  <si>
    <t>Infotype 0061: unable to configure fields via V_T588M</t>
  </si>
  <si>
    <t>TC: Issues with Test indicator 'N' in L04 declarations</t>
  </si>
  <si>
    <t>Addn of para BAdI HR_IT0002  - Method perid_gbdat_check</t>
  </si>
  <si>
    <t>TYEL yearly Report:Employee termination on 31st Dec handling</t>
  </si>
  <si>
    <t>Legal Change 2011:  White collar statistics</t>
  </si>
  <si>
    <t>Legal Change 2011: Blue Collar Statistics</t>
  </si>
  <si>
    <t>FITAX - reset tax in Correction off-cycle</t>
  </si>
  <si>
    <t>Issues when hiring in the reference period</t>
  </si>
  <si>
    <t>Correction of B2A integration of French legal reports</t>
  </si>
  <si>
    <t>N4DS Corrections 1</t>
  </si>
  <si>
    <t>N4DS Corrections 2</t>
  </si>
  <si>
    <t>N4DS Corrections 3</t>
  </si>
  <si>
    <t>Accumulation not reset when retro and several actions</t>
  </si>
  <si>
    <t>N4DS Corrections 4</t>
  </si>
  <si>
    <t>N4DS Corrections 5</t>
  </si>
  <si>
    <t>E-Filing Business Error for P46 PEN report</t>
  </si>
  <si>
    <t>Modification in GB Payroll Journal for missing wagetypes.</t>
  </si>
  <si>
    <t>PENS holds incorrect values when DDNTK causes 2nd GTN pass</t>
  </si>
  <si>
    <t>Issue with GTAX for inactive employees</t>
  </si>
  <si>
    <t>Incorrect calculation of recurring payments in SWF report</t>
  </si>
  <si>
    <t>Additional payment issue with SWF report as per 2011.</t>
  </si>
  <si>
    <t>PY-GB-PS: SWF Census 2011 (Multiple Corrections)</t>
  </si>
  <si>
    <t>PY-GB-PS: SWF Census 2011: Various Issues</t>
  </si>
  <si>
    <t>PY-GB-PS: SWF Census 2011: CONTRACT Continuous Assessment</t>
  </si>
  <si>
    <t>Missing fields in IT442 for release 604</t>
  </si>
  <si>
    <t>Error while executing P46 report for replacement car</t>
  </si>
  <si>
    <t>Changes missing in note 1603872</t>
  </si>
  <si>
    <t>IR56B Printing incorrect format in Background job mode</t>
  </si>
  <si>
    <t>Payroll Simulation Error for Hongkong</t>
  </si>
  <si>
    <t>Jamsostek monthly cumulation - monthly capping limits</t>
  </si>
  <si>
    <t>'Page no' not displayed on Jamsostek 'Pay changes' form</t>
  </si>
  <si>
    <t>Pension Related Development (PRD) DRQ's Effective 2011 (2)</t>
  </si>
  <si>
    <t>Annualisation incorrect for EE's with BB in the final period</t>
  </si>
  <si>
    <t>Pension Related Development (PRD) DRQ's Effective 2011 (3)</t>
  </si>
  <si>
    <t>Pension Related Development (PRD) DRQ's Effective 2011 (4)</t>
  </si>
  <si>
    <t>Superannuation calculated incorrect,no original result exist</t>
  </si>
  <si>
    <t>Inconsistency in PDF layout for PF Form 12A in ECC 6.04</t>
  </si>
  <si>
    <t>Leaving date inconsistent on PF Form 3A for excel upload</t>
  </si>
  <si>
    <t>HR-IT: CUD 2011 - user-input-data for different income years</t>
  </si>
  <si>
    <t>HR-IT: Rettifica not generated when changing recursive elem.</t>
  </si>
  <si>
    <t>HR-IT: Issues with INAL &amp; Pension Fund contributions</t>
  </si>
  <si>
    <t>HR-IT: UniEmens 1.2.3</t>
  </si>
  <si>
    <t>HR-IT: Uniemens wrong calculation of weekly hours</t>
  </si>
  <si>
    <t>DMA corrections</t>
  </si>
  <si>
    <t>LC2010 Tax System Revision Phase 4: Data File Updates</t>
  </si>
  <si>
    <t>Incorrect Taxable Amount of Commuter Allowance During Retro</t>
  </si>
  <si>
    <t>EI Enhancement: Deduction Type Change from Menjo to Insured</t>
  </si>
  <si>
    <t>LC2011: Revision of Total Payment Record for Non-Residents</t>
  </si>
  <si>
    <t>LC2011: Revision of Life Insurance Premium Exemption</t>
  </si>
  <si>
    <t>EI: Incorrect Kijun-Gai Begin Date When Retro</t>
  </si>
  <si>
    <t>LC2011: Revision of Corporate Type DC Plans</t>
  </si>
  <si>
    <t>KR YEA 2011: Medical Expense Receipt</t>
  </si>
  <si>
    <t>Enhancement on Maximum Monthly Compensation to HI</t>
  </si>
  <si>
    <t>Additional Legal Changes for 2011 Year-End Adjustment</t>
  </si>
  <si>
    <t>Calculate EI and WCI Premium to Retirement Date</t>
  </si>
  <si>
    <t>[MX] Wrong Cost Center retrieval in Saving Funds reports</t>
  </si>
  <si>
    <t>[MX] Saving Funds - Employee and Employer Contribution</t>
  </si>
  <si>
    <t>[MX] Additional Corrections for report HMXCFON0</t>
  </si>
  <si>
    <t>Background processing and general issues in SOCSO 8B report</t>
  </si>
  <si>
    <t>PY-MY: File Payment Date in SOCSO8A, CP39, EPF payment files</t>
  </si>
  <si>
    <t>Issues in CP39 report and Leave Passage amount in EA form</t>
  </si>
  <si>
    <t>PY-MY : Reporting of cross years arrears income in CP21 form</t>
  </si>
  <si>
    <t>Incorrect Identity Card number in SOCSO 8A report</t>
  </si>
  <si>
    <t>Issues in child record in IT0021 and headcount in Borang E</t>
  </si>
  <si>
    <t>PY-MY : Corrections in SOCSO8A, SOCSO8B and TP3 report</t>
  </si>
  <si>
    <t>YELC 2011/2012: Small Jobs Regulation ends as of 01-01-2012</t>
  </si>
  <si>
    <t>YELC 2011/2012: Delimit Saving Schemes (IT0854) records</t>
  </si>
  <si>
    <t>Aangifte LH: Changes to Loonaangifte for 2012</t>
  </si>
  <si>
    <t>Jaaropgave WN: Form display in English possible</t>
  </si>
  <si>
    <t>YELC 2011/2012: Old Special Exp. Reg. Codes (IT0060-ONKST)</t>
  </si>
  <si>
    <t>YELC 2011/2012: End of Saving Schemes (Payroll Const. LLSAL)</t>
  </si>
  <si>
    <t>YELC 2011/2012: Payroll Function Saving Schemes Calculation</t>
  </si>
  <si>
    <t>New statutory minimum wages as of January 1st, 2012</t>
  </si>
  <si>
    <t>Transitional Rule SI Exemption, Company Break-up &amp; Back pay</t>
  </si>
  <si>
    <t>New Reimbursement Solution -  Issues November 2011</t>
  </si>
  <si>
    <t>Reimbursement Issues - November 2011</t>
  </si>
  <si>
    <t>ATS issues Oct-Nov 2011</t>
  </si>
  <si>
    <t>Corrections to Reimbursement Reconciliation report</t>
  </si>
  <si>
    <t>IT0006 Displays multiple NAV numbers</t>
  </si>
  <si>
    <t>Norway Legal Changes for year 2011/12: Part 1</t>
  </si>
  <si>
    <t>Reimbursement Solution - Issues with PDF, Holiday Pay</t>
  </si>
  <si>
    <t>CONSULT : Configuration of feature p0001 for UN</t>
  </si>
  <si>
    <t>Corrections to Rental Subsidy</t>
  </si>
  <si>
    <t>Additional Customizing for EVE Specific Wagetypes</t>
  </si>
  <si>
    <t>Missing fields in Maintenance View V_T7UNPAD_DDSA</t>
  </si>
  <si>
    <t>Corrections to EVE Dependency Allowance Report</t>
  </si>
  <si>
    <t>Missing maintenance view for Duty Station Rotation Cycle</t>
  </si>
  <si>
    <t>HCM NZ: Usability issues in list output and PDF</t>
  </si>
  <si>
    <t>PY-NZ: Compulsory KiwiSaver Contributions</t>
  </si>
  <si>
    <t>EMS:Incorrect start date &amp; duplicate header in download file</t>
  </si>
  <si>
    <t>PY-NZ : Incorrect ADP rate in leave liability report</t>
  </si>
  <si>
    <t>PY-NZ : Error 'Invalid IRD Number' on Fast Entry for Actions</t>
  </si>
  <si>
    <t>PY-NZ : Change to rule NZTG</t>
  </si>
  <si>
    <t>PY-NZ: Incorrect amount for termination leave</t>
  </si>
  <si>
    <t>Rounding error in retro over offcycle termination payments</t>
  </si>
  <si>
    <t>PY-PH:De-minimis Daily Meal Allowance- Taxable &amp; Non-taxable</t>
  </si>
  <si>
    <t>HR-PT: New fields in report RPPSTMP0</t>
  </si>
  <si>
    <t>RPCSSRP0: Some remuneration codes are not being displayed</t>
  </si>
  <si>
    <t>Single Report: Attachment 0 for Azores</t>
  </si>
  <si>
    <t>PY-PT: IRS Christmas Allowance Surcharge - Corrections III</t>
  </si>
  <si>
    <t>SIADAP: Wrongly clearing fields during insertion at IT 3218</t>
  </si>
  <si>
    <t>PY-PT: IRS Christmas Allowance Surcharge - Corrections IV</t>
  </si>
  <si>
    <t>RPCIIDP0: corrections for Christmas Allowance Surcharge</t>
  </si>
  <si>
    <t>CGA Magnetic File: Situation codes mapped in T5PPBSRM</t>
  </si>
  <si>
    <t>Payroll log shows wrong entries for Russian internal tables</t>
  </si>
  <si>
    <t>Retro change processing of the income in reporting</t>
  </si>
  <si>
    <t>HR-RU: Doubled SI bases from infotype 0293 in RUAVE</t>
  </si>
  <si>
    <t>Legacy data transfer and table TAX generation (including CE)</t>
  </si>
  <si>
    <t>HR-RU: 4-FSS doesn't process det. subdivisions data properly</t>
  </si>
  <si>
    <t>HR-RU: Calculation of SI Contribution (NSP&amp;PZ) w. Mat. Help</t>
  </si>
  <si>
    <t>HR-RU: field PERNR in HRULSICK</t>
  </si>
  <si>
    <t>PY-CE: HRUCALC0_CE error in off-cycle type B with retro runs</t>
  </si>
  <si>
    <t>Legal change 2011-2012 for Vacation Law</t>
  </si>
  <si>
    <t>New Wagetype for One-off tax payment</t>
  </si>
  <si>
    <t>ATS Legal change 2011/2012 for new form KU20</t>
  </si>
  <si>
    <t>RPCEDTS0: Payslip Absence Issues</t>
  </si>
  <si>
    <t>Sweden : Year end legal changes 2011/2012 - Phase 1</t>
  </si>
  <si>
    <t>RPLTCES0: Issues with the Chapter 11 of PDF</t>
  </si>
  <si>
    <t>Legal change: Additional IR21 to be generated after leaving</t>
  </si>
  <si>
    <t>PY-SG: IR8A e-Submission and IRASLine validations 2011</t>
  </si>
  <si>
    <t>Voluntary CPF contribution display in CPF monthly report</t>
  </si>
  <si>
    <t>Incorrect shortfall/excess rounding and excess calculation</t>
  </si>
  <si>
    <t>HTWCDTA0: Payee Name Is Truncated</t>
  </si>
  <si>
    <t>HTWLIM00: Wrong Insurance amount for NP after adjustment</t>
  </si>
  <si>
    <t>Wrong NHI Exemption Amount in Payroll and IT0355</t>
  </si>
  <si>
    <t>PY-US-NT-AJ</t>
  </si>
  <si>
    <t>US Payr. Adjustment</t>
  </si>
  <si>
    <t>CFG: T511 Customizing correction for tax WT's.</t>
  </si>
  <si>
    <t>GRN: Wrong garn. document data retrieved in Ad-hoc Query.</t>
  </si>
  <si>
    <t>Wrong M-T-D Amount in the Reconciliation Report</t>
  </si>
  <si>
    <t>NWH: NY New Hire Report-Dependent Health Insurance Benefit</t>
  </si>
  <si>
    <t>3PR: Incorrect company code/business area due to C1ZNR split</t>
  </si>
  <si>
    <t>TR: Old SSN Field for W-2c magmedia reporting 0</t>
  </si>
  <si>
    <t>Corrections to Online W-2: Wave 2</t>
  </si>
  <si>
    <t>Corrections to Online W-2: Wave 2 - DUMMY</t>
  </si>
  <si>
    <t>TR: Alignment issues and incorrect Code EE in W-2 for 2011</t>
  </si>
  <si>
    <t>Year End 2011 Phase II for U.S. Tax Reporter</t>
  </si>
  <si>
    <t>TAX: Vacation Method for Inactive EE's</t>
  </si>
  <si>
    <t>[VE] Misplaced column labels at form HRVE_MIN_LAB_01</t>
  </si>
  <si>
    <t>[CL] Activation of operation VAKEYPAYTY for molga 39</t>
  </si>
  <si>
    <t>Payroll function DRSMU: Runtime error CX_SY_OPEN_SQL_DB</t>
  </si>
  <si>
    <t>New Electronic Illness Reporting: Adjustment of Payroll Driv</t>
  </si>
  <si>
    <t>New software subcomponents for HCM country version Qatar</t>
  </si>
  <si>
    <t>RPCALCx0 - check PA03 earliest retro date</t>
  </si>
  <si>
    <t>Payroll: Determination of next payment date</t>
  </si>
  <si>
    <t>Performance issue while updating HRPY_RGDIR</t>
  </si>
  <si>
    <t>Payroll log of ENAME: text in processing part is truncated</t>
  </si>
  <si>
    <t>RPUCTP00: Mapping of Permo with Molga - Language settings</t>
  </si>
  <si>
    <t>T500L: New country grouping for South Sudan</t>
  </si>
  <si>
    <t>Failed to pick choosen layout from background job</t>
  </si>
  <si>
    <t>Public attribute of class CL_HR_PAYROLL_AREA not filled.</t>
  </si>
  <si>
    <t>Field PAYDT not filled when transferring legacy data</t>
  </si>
  <si>
    <t>PU01:delete two results successively within the same session</t>
  </si>
  <si>
    <t>Table view V_T52DZ</t>
  </si>
  <si>
    <t>Payroll function LIMIT does not get correct CRT</t>
  </si>
  <si>
    <t>MPSD: Posting does not evaluate selected contracts</t>
  </si>
  <si>
    <t>Persons without infotype 6/subtype 1 record are not selected</t>
  </si>
  <si>
    <t>Error message R55/R56 when IT11 with payment method cash</t>
  </si>
  <si>
    <t>Long runtime for deletion of payroll posting run</t>
  </si>
  <si>
    <t>RPCIPE00_OLD:Cost planning:Start date/change of payroll area</t>
  </si>
  <si>
    <t>Missing activity in Implementation Guide</t>
  </si>
  <si>
    <t>Updating the table PAYR for posting the payment</t>
  </si>
  <si>
    <t>RPCIPE01: No distribution to C0 if FUND exists</t>
  </si>
  <si>
    <t>RPCIPE01: Creditor/debtor not found in table PPKIX</t>
  </si>
  <si>
    <t>RPCIPE00 does not process void periods in CE environment.</t>
  </si>
  <si>
    <t>RPCIPE01CE: Unavailable sequence number is evaluated</t>
  </si>
  <si>
    <t>H99_POST_PAYMENT: paying CoCode, account assgnmnt derivation</t>
  </si>
  <si>
    <t>Text for specification 3 is missing in the domain P_CODIST</t>
  </si>
  <si>
    <t>RPCIP_DOCUMENT_ANALYSE: Selection "Text on Posting Run"</t>
  </si>
  <si>
    <t>PY-XX-DT-NGL</t>
  </si>
  <si>
    <t>Posting with NEW GL</t>
  </si>
  <si>
    <t>RPCIPE01CE: Posting balance is not cleared for MPSD</t>
  </si>
  <si>
    <t>Journal : Incorrect Totals in case of Retroactive runs</t>
  </si>
  <si>
    <t>Dump with F4 on field in PE51 Forms</t>
  </si>
  <si>
    <t>Language of country name in Pay slip</t>
  </si>
  <si>
    <t>OTxx: short dump PERFORM_CONFLICT_TYPE begda/endda IT491</t>
  </si>
  <si>
    <t>OTMX: Ttl # segments on TL is incorrect</t>
  </si>
  <si>
    <t>OTMx: Adding SWIFT to Banking Segment</t>
  </si>
  <si>
    <t>PY-XX-IT</t>
  </si>
  <si>
    <t>Interface Toolbox</t>
  </si>
  <si>
    <t>PU12:  Non-payroll exports having no IT7/8 causes errors</t>
  </si>
  <si>
    <t>PU12 : change validation settings are not saved</t>
  </si>
  <si>
    <t>PU12 : E099 is thrown up when delimit of wage type happens</t>
  </si>
  <si>
    <t>Offcycle: New feature OCCAL to determine variant for payroll</t>
  </si>
  <si>
    <t>Absences from locked IT2001 records are displayed</t>
  </si>
  <si>
    <t>PIT, PRT, ACTIO, ADDWT: Enhancing the documentation</t>
  </si>
  <si>
    <t>PRPRI: Endless loop / 'Maximum of 999 loops' error</t>
  </si>
  <si>
    <t>AVERA: Average period incorrect as per customizing</t>
  </si>
  <si>
    <t>RPCLOG00: Short dump with large selection of data.</t>
  </si>
  <si>
    <t>RPCLOG00: Incorrect data for payroll periods with split</t>
  </si>
  <si>
    <t>No currency conversion for DT table in PRPRI</t>
  </si>
  <si>
    <t>IT0014 with payment model pays remaining balance</t>
  </si>
  <si>
    <t>Long text of message P0 826 not current</t>
  </si>
  <si>
    <t>Payroll Function AVERA</t>
  </si>
  <si>
    <t>Payment model: adjustment for IT0014</t>
  </si>
  <si>
    <t>IT0014: Incorrect remaining balance after note 1621964</t>
  </si>
  <si>
    <t>Table T5D45 missing in transport request after note 1571371</t>
  </si>
  <si>
    <t>Loan payment batch input issue for IT0045</t>
  </si>
  <si>
    <t>RPCLOH00 statistics section does not display correctly</t>
  </si>
  <si>
    <t>FUTRANS does not clear previous currency amount and rate</t>
  </si>
  <si>
    <t>PY-XX-PT</t>
  </si>
  <si>
    <t>Eval.of Time Data</t>
  </si>
  <si>
    <t>RPCALCD0: Termination when calling routine CONVERT_TIMES_7</t>
  </si>
  <si>
    <t>Display DAQ log when executing RPUDAQ9S_VIEW</t>
  </si>
  <si>
    <t>[CL] Payroll function 9LD30 enabling for Chile</t>
  </si>
  <si>
    <t>Status Handler Viewer: Redefinition of DELETE function II</t>
  </si>
  <si>
    <t>[CL] Correction for generation of WTs /TTK, /TTA and /TTS</t>
  </si>
  <si>
    <t>[MX] Lost differences in 9LRET w/ Off-Cycle 1st calc. period</t>
  </si>
  <si>
    <t>Conversion of Temse objects generated by the DAQ</t>
  </si>
  <si>
    <t>HRPAL: Missing node texts in flat output</t>
  </si>
  <si>
    <t>HRPAL: Line breaks in flat output and in spool request</t>
  </si>
  <si>
    <t>HRPAL: Missing node texts in flat output for Num type titles</t>
  </si>
  <si>
    <t>[MX] Reversal Payments out of sequence</t>
  </si>
  <si>
    <t>Temse Viewer: XML creation interface enhancement</t>
  </si>
  <si>
    <t>HRPAL: Layout variants for General and Person spec. messages</t>
  </si>
  <si>
    <t>DAQ: performance issue</t>
  </si>
  <si>
    <t>HRPAL: Order of nodes</t>
  </si>
  <si>
    <t>TemSe Viewer: option for files with &gt; 36 nodes available</t>
  </si>
  <si>
    <t>Process Model: Email from print parameter not in spool</t>
  </si>
  <si>
    <t>Inconsistency while copying wage type in PCR (PE02)</t>
  </si>
  <si>
    <t>PU01: Error HRPAYNA001 when deleting a result</t>
  </si>
  <si>
    <t>Revising the report display of cleanup programs</t>
  </si>
  <si>
    <t>Recall of payroll for a personnel number (IV)</t>
  </si>
  <si>
    <t>Moving the software component of check class for IT0283</t>
  </si>
  <si>
    <t>Missing SARS codes in IRP5 Download file (Foreign Earnings)</t>
  </si>
  <si>
    <t>ESS IRP5 Application</t>
  </si>
  <si>
    <t>Addition of parameter to the BADI - MOdify screen</t>
  </si>
  <si>
    <t>FBP: Indirect evaluation inconsistent in Salary pakaging</t>
  </si>
  <si>
    <t>All-in-One / Service-enabled</t>
  </si>
  <si>
    <t>Human Resources</t>
  </si>
  <si>
    <t>AIO: All In One Best Practices Migration for US Data</t>
  </si>
  <si>
    <t>SAPKE60443</t>
  </si>
  <si>
    <t>YELC 2011/2012: Update Payment Reduction (IT0303) records</t>
  </si>
  <si>
    <t>YELC 2011/2012: Changes to Payment Reductions</t>
  </si>
  <si>
    <t>YELC 2011/2012: Report RPISPRN0 (second part)</t>
  </si>
  <si>
    <t>PA-PF-CH: New format for capital payments</t>
  </si>
  <si>
    <t>TAX: QC Tax Levy calculated for employees of all provinces</t>
  </si>
  <si>
    <t>TAX: Legal changes effective January 1, 2012</t>
  </si>
  <si>
    <t>YE11: Form and XML changes for Year End 2011</t>
  </si>
  <si>
    <t>Professional Tax for Bihar State</t>
  </si>
  <si>
    <t>PTAX: Retrospective State Change with no Refund inconsistent</t>
  </si>
  <si>
    <t>Carryover Donation in YEA&amp;YED Report/Union Fee/EI Adjust</t>
  </si>
  <si>
    <t>LC2012: Health Insurance, Non-Taxable and Mutual Treaty</t>
  </si>
  <si>
    <t>YELC 2011/2012: New Tax tables and SI percentages</t>
  </si>
  <si>
    <t>YELC 2011/2012: Adjustment of Tax Table Check (RPCSVCN0)</t>
  </si>
  <si>
    <t>Aangifte LH 2012: Validation Error regarding Premiekorting</t>
  </si>
  <si>
    <t>YELC 2011/2012: Changes to Wage Tax Table Display (RPCLWPNC)</t>
  </si>
  <si>
    <t>Norway Legal Changes (new forms) for year 2011/12: Part 2</t>
  </si>
  <si>
    <t>PY CE: Sickness calculation in CE after legal change FZ-343</t>
  </si>
  <si>
    <t>HR-RU: LC of artic.218 of Tax Code with FZ-330 at 21.11.2011</t>
  </si>
  <si>
    <t>Sweden : Year end legal changes 2011/2012 - Phase 2</t>
  </si>
  <si>
    <t>PY-SG: IR8A and IR8S Sapscript form changes 2011</t>
  </si>
  <si>
    <t>CE: Wage type /5U3 incorrectly cumulated into RT table.</t>
  </si>
  <si>
    <t>GRN: IRS Publication 1494 for tax year 2012</t>
  </si>
  <si>
    <t>TAX: /5U3 wagetype incorrect in CRT for CT employees.</t>
  </si>
  <si>
    <t>Unexpected change of feature LEAVE</t>
  </si>
  <si>
    <t>ST/CST:Field PAYEREF,UIFREF and SPAYER more than 4 char long</t>
  </si>
  <si>
    <t>Medical Aid - New category member dependents</t>
  </si>
  <si>
    <t>SAPKE60444</t>
  </si>
  <si>
    <t>MSS- OADP email column is displaying link incorrectly</t>
  </si>
  <si>
    <t>Travel Management: 60-day rule for travel costs in Denmark</t>
  </si>
  <si>
    <t>Compl.comp.calc:Acc.per diem &amp; mileage for trips to strt</t>
  </si>
  <si>
    <t>[AR] General Resolution AFIP Nº 3224/2011</t>
  </si>
  <si>
    <t>Infotype 0016/0109 Screen error with customer enhancement</t>
  </si>
  <si>
    <t>Master Data Belgium: Performance problem for infotype 0016</t>
  </si>
  <si>
    <t>Dump in infotype Social Insurance Belgium 0100</t>
  </si>
  <si>
    <t>[CL] Customizable Family Allowance Variant</t>
  </si>
  <si>
    <t>MP00062M - County doesn't work when regions are referenced</t>
  </si>
  <si>
    <t>Garnishment: Field IBAN does not show value on infotype 0887</t>
  </si>
  <si>
    <t>MP006400: dump in screen 2040 for negative amounts</t>
  </si>
  <si>
    <t>TNM booking process: impossible to redefine TN</t>
  </si>
  <si>
    <t>SH "TN by employee": child not taken into accont (</t>
  </si>
  <si>
    <t>Incorrect tax year check in IT0069 for a late starter</t>
  </si>
  <si>
    <t>RPCEWCJ0: More default periods in output form</t>
  </si>
  <si>
    <t>RPCELVJ0&amp;RPCEWCJ0: County Name Display Incorrectly</t>
  </si>
  <si>
    <t>Incorrect grouping of fields in Infotype 0021 screen 2114</t>
  </si>
  <si>
    <t>Feature NLWPB</t>
  </si>
  <si>
    <t>Infotype 0337: unable to configure fields via V_T588M</t>
  </si>
  <si>
    <t>CHECKMAN errors correction in 470x/ECC500/ECC60x</t>
  </si>
  <si>
    <t>HR-RU: CL_HRPADRU_VACATIONS Reads Locked Records of IT0298</t>
  </si>
  <si>
    <t>T-7: allowing multiple lines for field "Reason(document</t>
  </si>
  <si>
    <t>SPV-1: correctional form doesn't pass the CheckXML checking</t>
  </si>
  <si>
    <t>HR-RU: Form T-13 Incorrect Output in 6 Column</t>
  </si>
  <si>
    <t>ADV-6-2: synchronous run for correctional and rejecting XMLs</t>
  </si>
  <si>
    <t>IC type update w.e.f. January 01, 2012</t>
  </si>
  <si>
    <t>[VE] TAXPC decimals reduction from 4 to 2 in IT0399</t>
  </si>
  <si>
    <t>PK: EMZ: Error during output of IBAN in form</t>
  </si>
  <si>
    <t>CPS: Corrections to report RPCWPZD0 (Actuarial assessors)</t>
  </si>
  <si>
    <t>PRN: Notif. is also displayed for subsequent notifications</t>
  </si>
  <si>
    <t>PRN: Foreign address is not imported in inbound processing</t>
  </si>
  <si>
    <t>Translation of message PV778 not happened to other languages</t>
  </si>
  <si>
    <t>First participant does not receive qualification in PSV2</t>
  </si>
  <si>
    <t>PP61: Employee selection incorrect</t>
  </si>
  <si>
    <t>HR-AR: Libro Ley Personal Eventual</t>
  </si>
  <si>
    <t>[AR] Income Tax for employee at Tierra del Fuego</t>
  </si>
  <si>
    <t>[AR] HARCDGI0 - SICOSS Reserved Job position</t>
  </si>
  <si>
    <t>[AR] Tax tables - values for 2012</t>
  </si>
  <si>
    <t>[AR] Config.Option ADE30 is not configured in all releases</t>
  </si>
  <si>
    <t>[AR] Incorrect Off-cycle processing in HARCOS00 report</t>
  </si>
  <si>
    <t>[AR] Documentation for HARCDGI0 - SICOSS reserved job posit.</t>
  </si>
  <si>
    <t>[AR] Incorrect check for retroactive SAC calculation</t>
  </si>
  <si>
    <t>[AR] Law 26.731 - Changes to Art. 23 for Income Tax</t>
  </si>
  <si>
    <t>[AR] Remove BREAK-POINT statement from include PCEDXAR0</t>
  </si>
  <si>
    <t>JW 2011/12: unpfändbare Freibeträge</t>
  </si>
  <si>
    <t>BV: Der Beitrag falsch beim Eintritt am 31sten des Monats</t>
  </si>
  <si>
    <t>Nachlieferung Cluster-Anbindung UEKV</t>
  </si>
  <si>
    <t>SV: Neue Operation ASVTG um SV Tage zu bestimmen</t>
  </si>
  <si>
    <t>UEKV: Simulation bei Zahlungen zum Austritt</t>
  </si>
  <si>
    <t>RPCPCNA0: Unsinnige Fehlermeldung (PC im Vorjahr fehlt)</t>
  </si>
  <si>
    <t>Zyklus AJS4 im Release 604 fehlerhaft ausgeliefert</t>
  </si>
  <si>
    <t>UEKV e-card Gebühr: Berücksichtigung von Ausnahmefällen</t>
  </si>
  <si>
    <t>JW 2011/12: Erhöhter Pensionistenabsetzbetrag für 2012</t>
  </si>
  <si>
    <t>JW 2011/12:Verlängerung der Gültigkeitszeiträume (DM und DB)</t>
  </si>
  <si>
    <t>JW 2011/12: Formular L16(Lohnzettel) im PDF-Format</t>
  </si>
  <si>
    <t>JW 2011/12: Kammerumlage II für Steiermark</t>
  </si>
  <si>
    <t>SP-Auslieferungsfehler im Zusammenhang mit Hinweis 1562213</t>
  </si>
  <si>
    <t>PCALZ Formular HR_AT_LZ_GLZ_03 ohne SV Blöcke</t>
  </si>
  <si>
    <t>PCALZ: Korrektur wegen Jahreswechsel 2011/12</t>
  </si>
  <si>
    <t>Incorrect additional details displayed on Payslip AU</t>
  </si>
  <si>
    <t>Payment Summary and Termination Organizer changes</t>
  </si>
  <si>
    <t>Infotype 188: 'Maintain text' Icon missing</t>
  </si>
  <si>
    <t>Dismissal Allowaces by montly payments: SV and SVEVL split</t>
  </si>
  <si>
    <t>Garnishment: Processing of DAVO-SECAL alimonies</t>
  </si>
  <si>
    <t>Garnishments: Retrocalculation for Second Base</t>
  </si>
  <si>
    <t>SV &amp; ST split assigned to an inactive WPBP split</t>
  </si>
  <si>
    <t>BELCOTAX: Error when evaluating customizing of T5BX4 II</t>
  </si>
  <si>
    <t>DMFA Update: Problems with changed INSS number II</t>
  </si>
  <si>
    <t>Incorrect DMFA computes with cumulated lgart in /C01</t>
  </si>
  <si>
    <t>Capelo &amp; DmfA: Capelo End Date and End Reason relation</t>
  </si>
  <si>
    <t>DMFA Update: CodeSubjected change not relevant for update</t>
  </si>
  <si>
    <t>Company Car - Parameters - ER Contribution / EE Advantage</t>
  </si>
  <si>
    <t>DmfA/DmfAPPL - Legal Changes 2011 Q4</t>
  </si>
  <si>
    <t>SOCIAL BALANCE: Company changed not detected as leave/entry</t>
  </si>
  <si>
    <t>BELCOTAX: Fiche 281.17 customer specifics with call errors</t>
  </si>
  <si>
    <t>Working Regulations Ending Date (DDEDT) conversion missing</t>
  </si>
  <si>
    <t>Dimona - In Process (Planned) declarations are reproccessed</t>
  </si>
  <si>
    <t>Non Recurring Result Bonus - New Maximum as of of 01.01.2012</t>
  </si>
  <si>
    <t>RPCALCB0: Balance Method has Zero Divide</t>
  </si>
  <si>
    <t>Activa allowance - Calc. for each period (SI) - Corr. 2</t>
  </si>
  <si>
    <t>Advance Tax Calculation - Key Formula 01.01.2012</t>
  </si>
  <si>
    <t>Capelo &amp; DmfA: Enhancements to Capelo Exempted Processin</t>
  </si>
  <si>
    <t>Dimona - Check infotype 735</t>
  </si>
  <si>
    <t>Advance Tax Calculation - Annex III - 01.01.2012</t>
  </si>
  <si>
    <t>BELCOTAX: Legal Changes at January 2012 for incomes on 2011</t>
  </si>
  <si>
    <t>Dimona Student 2012 - Planned Days in XML file</t>
  </si>
  <si>
    <t>Infotype 0011 for Belgium - Field "Street" missing</t>
  </si>
  <si>
    <t>Activa allowance - Correction entry date in case of rehiring</t>
  </si>
  <si>
    <t>BELCOTAX: Error when evaluating customizing of T5BX4 III</t>
  </si>
  <si>
    <t>BELCOTAX: RPCBWPB0 - Printout Form  - Employee address III</t>
  </si>
  <si>
    <t>Termination Term: description of field 67 is not displayed</t>
  </si>
  <si>
    <t>HBR3RDE0 - Unexpected value due to accounting of WT /348</t>
  </si>
  <si>
    <t>CAGED - PIS/PASEP must not be empty</t>
  </si>
  <si>
    <t>HBRSALC0: Unorganized output layout</t>
  </si>
  <si>
    <t>MANAD: Dependent deduction not reported in record K250</t>
  </si>
  <si>
    <t>HomologNet: Alimony paid with "Salary no" not repo</t>
  </si>
  <si>
    <t>SREP:data import of electronic time register -fired employee</t>
  </si>
  <si>
    <t>SREP: data import of electronic time register - statistics</t>
  </si>
  <si>
    <t>SREP: new consistency validations for HBRTMIF0</t>
  </si>
  <si>
    <t>CPP: Additional Changes to CPP calculation</t>
  </si>
  <si>
    <t>YE11: T4 box 26 incorrect when EI exempt</t>
  </si>
  <si>
    <t>TAX :  Additional changes effective Jan 1, 2012</t>
  </si>
  <si>
    <t>YE11: Box G incorrectly set to zero in some cases</t>
  </si>
  <si>
    <t>Unnecessary amendments generated with multiple T4 Forms</t>
  </si>
  <si>
    <t>YE11: Delta Form and XML changes for Year End 2011</t>
  </si>
  <si>
    <t>YE11: T4 Box 24 and 26 showing zero adjusted amounts</t>
  </si>
  <si>
    <t>Withholding tax for Vaud: EMP-ACI: No. of entitled children</t>
  </si>
  <si>
    <t>CH documentation: Expense rule LAW 2005</t>
  </si>
  <si>
    <t>Employer statement: Bar code A42 added</t>
  </si>
  <si>
    <t>FamZReg: Error due to subsequent change to difference bonus</t>
  </si>
  <si>
    <t>HR-CH: Family-relatd bonuses - Yr-end legal change 2011/2012</t>
  </si>
  <si>
    <t>WHT: Importing 2012 scale files, changes for various cantons</t>
  </si>
  <si>
    <t>[CL] Payroll Log and Error Messages for Subsidy</t>
  </si>
  <si>
    <t>[CL] Wrong Dependant Age validation for Family Allowances</t>
  </si>
  <si>
    <t>[CL] Income Tax Brackets Miscalculation</t>
  </si>
  <si>
    <t>[CL] New field for Disability and Survivorsh in AFP report</t>
  </si>
  <si>
    <t>[CL] Limit wage types (/T**) being doubled on salary change</t>
  </si>
  <si>
    <t>[CL]Documentation:Search Help and Validation for field BKONT</t>
  </si>
  <si>
    <t>[CL] Documentation: Garnishments on Termination</t>
  </si>
  <si>
    <t>[CL]Documentation: Absences evaluation for Monthly Gratuity</t>
  </si>
  <si>
    <t>Golden Audit China - HCM report</t>
  </si>
  <si>
    <t>Tax Reduction for Disability Employees</t>
  </si>
  <si>
    <t>Enhance China Year End Income Tax report</t>
  </si>
  <si>
    <t>Enhancement of China Year End Individual Tax Declaration</t>
  </si>
  <si>
    <t>SI: E-mail with PDFs - Termination during client copy</t>
  </si>
  <si>
    <t>SI: Inbound processing - use of code page</t>
  </si>
  <si>
    <t>B2A: ELStAM - advance delivery of corrections</t>
  </si>
  <si>
    <t>ETStmt:Corrections for XML for employment tax statement 2012</t>
  </si>
  <si>
    <t>SV: Corrections to report RPUSVKD1</t>
  </si>
  <si>
    <t>ETStmt: Corrections for XML employment tax statement II</t>
  </si>
  <si>
    <t>Construction: Adjusting contribution rates</t>
  </si>
  <si>
    <t>DEUEV: Error corrections</t>
  </si>
  <si>
    <t>DEUEV occupational code TS2010: Corrections VII</t>
  </si>
  <si>
    <t>DEUEV: Rejection of "54" notifications with error</t>
  </si>
  <si>
    <t>EEL: Corrections and enhancements (01/2012)</t>
  </si>
  <si>
    <t>EEL: Determination of the last specific payroll dates II</t>
  </si>
  <si>
    <t>EEL: New wage type for employer's contr CFS w/o reduction</t>
  </si>
  <si>
    <t>AAG: Various corrections and enhancements</t>
  </si>
  <si>
    <t>EEL: Notif. creation after change in legal person or reentry</t>
  </si>
  <si>
    <t>Terminatn in DSVU in case of mid-month work schedule change</t>
  </si>
  <si>
    <t>Prohibited activities: Reimbursement amt for part-time work</t>
  </si>
  <si>
    <t>Prohibited activities: Incorr. reimbursement of SI ER cont.</t>
  </si>
  <si>
    <t>Prohibited Activities: Payroll termination (CL_HRPAY00_LOG)</t>
  </si>
  <si>
    <t>Prohibited activities: Error in case of overlapping absences</t>
  </si>
  <si>
    <t>Termination in payroll function DSVU</t>
  </si>
  <si>
    <t>IT 0010: New investment type "Loans"</t>
  </si>
  <si>
    <t>BVV: Release of procedure and corrections</t>
  </si>
  <si>
    <t>HR-DPF: Base interest rate was not changed</t>
  </si>
  <si>
    <t>Garn. acc. to principle of origin: Term. if mid-month entry</t>
  </si>
  <si>
    <t>Garnishment: Various corrections</t>
  </si>
  <si>
    <t>Check annual income limit for health insurance: Corrections</t>
  </si>
  <si>
    <t>Prof. pension scheme: Error when checking membership number</t>
  </si>
  <si>
    <t>SI reporting: Sortable name in adminsitrator lists</t>
  </si>
  <si>
    <t>Stmnt of contr. paid: Incorr creation date in notif. record</t>
  </si>
  <si>
    <t>Runtime problems in report RPISTJD0</t>
  </si>
  <si>
    <t>Year-end legal change 2011/2012 for tax: Corrections 01</t>
  </si>
  <si>
    <t>Print preview on the overview screen of the view V_T5D2S</t>
  </si>
  <si>
    <t>Adjusting report RPISTJD0 for delimiting IT 0012</t>
  </si>
  <si>
    <t>Year-end legal change 2011/2012 for tax: Corrections 02</t>
  </si>
  <si>
    <t>LStA: Correction for quarterly and annual registration</t>
  </si>
  <si>
    <t>Year-end legal change 2011/2012 for tax: Corrections 03</t>
  </si>
  <si>
    <t>TV FlexAZ: Removal of increase for sick pay suppl. &amp;gt; 26 w</t>
  </si>
  <si>
    <t>Child allowance stats.: Termination due to no. of children</t>
  </si>
  <si>
    <t>RPITRF01: Incorrect amounts of directly valuated wage types</t>
  </si>
  <si>
    <t>ZfA: KZ01 file number is incorrect</t>
  </si>
  <si>
    <t>Input help for field P0595-OZGRD for different subtypes</t>
  </si>
  <si>
    <t>ELSTER: Child allowance if leaving is mid-month</t>
  </si>
  <si>
    <t>Sick pay supplement with split assignment</t>
  </si>
  <si>
    <t>ZfA: Error 4005 with BZ01 reversal for years before 2008</t>
  </si>
  <si>
    <t>TV FlexAZ: SP gross amount in case of special payment</t>
  </si>
  <si>
    <t>TV FlexAZ: Correction wage types halved in value credit</t>
  </si>
  <si>
    <t>Correction for pay scale increase TV-L 2012</t>
  </si>
  <si>
    <t>ZfA: BZ02 return notificatn: No original notification found</t>
  </si>
  <si>
    <t>RPITRF01 does not support additional subtypes</t>
  </si>
  <si>
    <t>Incorrect grouping of entitlement periods</t>
  </si>
  <si>
    <t>Incorr appl of factor sec. 69e for dyn modif. reduc. sec. 57</t>
  </si>
  <si>
    <t>Tax exemption for pension: Activation of subapplication VAMV</t>
  </si>
  <si>
    <t>Treaty on the sharing of pension costs (12)</t>
  </si>
  <si>
    <t>PS reg. Hessen: Incorrect special payt for minimum pension</t>
  </si>
  <si>
    <t>Art. 84 BayBeamtVG: Combining pension payments (8)</t>
  </si>
  <si>
    <t>Publ Srvics regulatn for Bavaria: Incorr texts in input help</t>
  </si>
  <si>
    <t>Incorr legal retirement age limit w /new Public Servc. reg.</t>
  </si>
  <si>
    <t>Red. sec. 57: Dynamic modif. for death benefit is incorrect</t>
  </si>
  <si>
    <t>Payroll terminatn: Remaining pension/total pension quotient</t>
  </si>
  <si>
    <t>PS reg. Bavaria: Lowering pymt levels for war disability pen</t>
  </si>
  <si>
    <t>Tax exemptn for pensns: Recalculation due to eighth adjstmnt</t>
  </si>
  <si>
    <t>Reductn sectn 57: Dynamic modif. by comp. calc. not required</t>
  </si>
  <si>
    <t>Incorr consideratn pensionable pay uppr limit sec 50 BeamtVG</t>
  </si>
  <si>
    <t>Art. 84 BayBeamtVG: Combining pension payments 9</t>
  </si>
  <si>
    <t>Wage type with minus sign in payroll</t>
  </si>
  <si>
    <t>Sequence of infotype 0781 (imputations section 53) (2)</t>
  </si>
  <si>
    <t>SAP Note 1618242 in release up to ERP 6.0</t>
  </si>
  <si>
    <t>RPCEHBD0: Incorrect error message (for 2012 in 2011)</t>
  </si>
  <si>
    <t>Corrections for statements 01/2012</t>
  </si>
  <si>
    <t>CL_HRPAYDE_EMPLOYEE_PROPERTIES:sys.termintn for pub.sect.emp</t>
  </si>
  <si>
    <t>New Model 111 for tax reporting</t>
  </si>
  <si>
    <t>Off-Cycle: elimination of distribution by RGDIR Split</t>
  </si>
  <si>
    <t>TC: Zero days in DAT segment for VND collision</t>
  </si>
  <si>
    <t>Certific@2: support to ERE calendar day type 'Z'</t>
  </si>
  <si>
    <t>Incorrect minimum basis in BRD for fixed-discontinuous</t>
  </si>
  <si>
    <t>Off-Cycle: extra payment not registered in regular payroll</t>
  </si>
  <si>
    <t>TC: Missing EDTTT91 segment in FAN file</t>
  </si>
  <si>
    <t>CALC: Employee occup. training not considered for reductions</t>
  </si>
  <si>
    <t>TEMSE: Issue with codepage convertion when downloading TemSe</t>
  </si>
  <si>
    <t>Certific@2: missing XML tag &amp;lt;BaseCotizacionDesempleo&amp;gt;</t>
  </si>
  <si>
    <t>TC: Issue with Incentive group in case of two or more bonif.</t>
  </si>
  <si>
    <t>Contrat@: Issues updating field P0480-STACOP through BI</t>
  </si>
  <si>
    <t>Contract Printing: Issues during contract 183 generation</t>
  </si>
  <si>
    <t>CALC: Prorata function EPRO1 returning negative amounts</t>
  </si>
  <si>
    <t>TC: Issue with Test indicator 'N' in L04 declarations II</t>
  </si>
  <si>
    <t>IGA: wrong batch input message for records dated before 2011</t>
  </si>
  <si>
    <t>Issues with new training contract: COLIN and Unempl.contrib.</t>
  </si>
  <si>
    <t>4 bonification/reduction methods at the same time</t>
  </si>
  <si>
    <t>Certific@2: Wrong date of entry/leave for ERE certificates</t>
  </si>
  <si>
    <t>TC: Settlements with A70 classifier separated by period</t>
  </si>
  <si>
    <t>TC: Issue with Incentive group in DAT with two bonifications</t>
  </si>
  <si>
    <t>AFI: Filters per Action or Situation not working</t>
  </si>
  <si>
    <t>CALC: Wrong BRD for fixed-discontinuous with guardianship</t>
  </si>
  <si>
    <t>CALC: wrong SS contribution for training program employees</t>
  </si>
  <si>
    <t>Contrat@: Errors in SEPE responses are not being recorded</t>
  </si>
  <si>
    <t>IRPF 2012 - Tax percentages for Biscay and Gipuzkoa</t>
  </si>
  <si>
    <t>IRPF 2012 - Legal changes</t>
  </si>
  <si>
    <t>Correction of SAP note 1663619, BRD for fixed-discontinuous</t>
  </si>
  <si>
    <t>HPA Report Finland Future absences</t>
  </si>
  <si>
    <t>Finland Year End Legal Changes 2011/2012</t>
  </si>
  <si>
    <t>Correction to ATS(HFILTAX0) for LC 2012</t>
  </si>
  <si>
    <t>Legal Change Garnishment calculation 2012</t>
  </si>
  <si>
    <t>HFILTAX0:Correction in ATS Legal change 2011</t>
  </si>
  <si>
    <t>N4DS Corrections 6</t>
  </si>
  <si>
    <t>Special contracts: contract anniversary</t>
  </si>
  <si>
    <t>Wrong text for code 31 in ASSEDIC statement</t>
  </si>
  <si>
    <t>Contribution conditions have no effect</t>
  </si>
  <si>
    <t>Contribution with conditions not evaluated by default</t>
  </si>
  <si>
    <t>N4DS Corrections 7</t>
  </si>
  <si>
    <t>Error in rule FIP3</t>
  </si>
  <si>
    <t>Updates to processing class 63 and SAP wage types</t>
  </si>
  <si>
    <t>N4DS Corrections 8</t>
  </si>
  <si>
    <t>N4DS: leading spaces in field S40.G10.05.017</t>
  </si>
  <si>
    <t>New contract type for trainees 'ST' not used in RPLDMOF0</t>
  </si>
  <si>
    <t>N4DS Corrections 9</t>
  </si>
  <si>
    <t>Error message 139(5F) in profit sharing programs</t>
  </si>
  <si>
    <t>RPLASMF3 EDI : Wrong Date format in struct P06EDI_RAPPEL</t>
  </si>
  <si>
    <t>Correction of note 1228412 missing in 604 release.</t>
  </si>
  <si>
    <t>Incorrect NI calculation on payment after leaving</t>
  </si>
  <si>
    <t>Issue with IT0070 subtype EWP arrears</t>
  </si>
  <si>
    <t>Issue with CSL when arrestable earnings are negative</t>
  </si>
  <si>
    <t>Documentation of constants</t>
  </si>
  <si>
    <t>NI categories F,G,H,S (COMPS) phased out from 06.04.2012</t>
  </si>
  <si>
    <t>Statutory forms for Tax year 2011-12 (P11D,P11D(b),P46)</t>
  </si>
  <si>
    <t>P60 data mailer: incorrect temporary address</t>
  </si>
  <si>
    <t>Pre budget changes effective from 2012/13</t>
  </si>
  <si>
    <t>IR56B/E/F/G - Formats need to be updated</t>
  </si>
  <si>
    <t>HK Tax Report Enhancement: IR56B/E/F/G PDF Form Update</t>
  </si>
  <si>
    <t>MPF Report for Bermuda incorrect</t>
  </si>
  <si>
    <t>Error when generating Category 1 - cap or max not consider</t>
  </si>
  <si>
    <t>Incorrect Replacement Date on IR56F</t>
  </si>
  <si>
    <t>PY-ID: Form 1A changes</t>
  </si>
  <si>
    <t>Pay Changes form issue for retroactive payroll Runs</t>
  </si>
  <si>
    <t>PY:IE Payroll dump on application of Note 1577008</t>
  </si>
  <si>
    <t>PY IE: Electronic forms for P60</t>
  </si>
  <si>
    <t>PY-IE: P60 SAP Script for 2011</t>
  </si>
  <si>
    <t>USC END OF YEAR LEGAL CHANGES FOR THE YEAR 2011-2012.</t>
  </si>
  <si>
    <t>Pension Related Development (PRD) DRQ's Effective 2011 (5)</t>
  </si>
  <si>
    <t>PY-IE: PRSI table and IT360 changes effective from 2012</t>
  </si>
  <si>
    <t>PY-IE: Issue with P2C report after applying note 1660245</t>
  </si>
  <si>
    <t>Missing changes in 604 release for USC annualisation.</t>
  </si>
  <si>
    <t>USC Corrections to NOTE 1655612. [Legal Changes 2011-2012]</t>
  </si>
  <si>
    <t>PY-IE: Issue with Address fields in P45 report</t>
  </si>
  <si>
    <t>PY-IE-RP</t>
  </si>
  <si>
    <t>PY-IE-RP-TX</t>
  </si>
  <si>
    <t>PY-IE: P45 SAP Script and P45(1) V5 XML changes</t>
  </si>
  <si>
    <t>PY-IE: P46/P45p3 XML version 2 changes</t>
  </si>
  <si>
    <t>PY-IE: Changes to reporting for new P2C report</t>
  </si>
  <si>
    <t>Provision to make annexure to Form 16 optional on execution</t>
  </si>
  <si>
    <t>HINCPTX0: Error while generating form for Ptax West Bengal</t>
  </si>
  <si>
    <t>HR-IT: Different acconto 30% used by ITMUN Function</t>
  </si>
  <si>
    <t>HR-IT: Model 730 improvement for cases of reimbursements</t>
  </si>
  <si>
    <t>HR-IT: UniEmens - Parallel runs for report RPCUEDI0</t>
  </si>
  <si>
    <t>HR-IT: Payroll runtime error for emp. w/ more than 9 child.</t>
  </si>
  <si>
    <t>HR-IT: UniEmens 1.2.4</t>
  </si>
  <si>
    <t>RPCEADJ0: Incorrect Data Output for YEA Non-applicable</t>
  </si>
  <si>
    <t>RPCEWGJ1: Incorrect Output for Syoyo in Retro</t>
  </si>
  <si>
    <t>RPCEADJ0: Enhancement to Output YJ from Previous Releases</t>
  </si>
  <si>
    <t>Instructions On Commuter Allowance Retro Calculation</t>
  </si>
  <si>
    <t>PDF Form HR_JP_EWGJ2 Corrections on Value Display</t>
  </si>
  <si>
    <t>LC2011: End 10% Deduction of Indiv. Res. Tax on Ret. Income</t>
  </si>
  <si>
    <t>LC2011:JP SI Data via CD/DVD</t>
  </si>
  <si>
    <t>Accident Insurance for Hei-ran Employee</t>
  </si>
  <si>
    <t>RPLSIPJ1: Incorrect SI Premiums for 2-months SI deduction</t>
  </si>
  <si>
    <t>Incorrect V0 indicator when Flexible Payroll is OFF</t>
  </si>
  <si>
    <t>Incorrect commuting fee when payment by working days</t>
  </si>
  <si>
    <t>Correction on EI/WCI Adjustment Calculation &amp; Posting Is</t>
  </si>
  <si>
    <t>Education Expense Deduction &amp; Medical Expense Subtype Is</t>
  </si>
  <si>
    <t>HI/LCI Adjusted Premium Wage Type (/4N5/4T5) not Generated</t>
  </si>
  <si>
    <t>[MX] HMXCIES0 - Wrong off-cycle paytype</t>
  </si>
  <si>
    <t>[MX] Documentation for report HMXCFON0</t>
  </si>
  <si>
    <t>[MX] HMXTISS0 - Employees are not correctly selected</t>
  </si>
  <si>
    <t>[MX] New Minimum salaries for 2012</t>
  </si>
  <si>
    <t>LC 2011: EPF rate for employees with monthly wages &amp;lt; RM50</t>
  </si>
  <si>
    <t>PY-MY : Check for mandatory fields in CP8D download file</t>
  </si>
  <si>
    <t>PY-MY: Issues in CP22 and Borang E forms</t>
  </si>
  <si>
    <t>PY-MY : Issues in Hash Total for MBB and M2N formats</t>
  </si>
  <si>
    <t>PY-MY : Issues related to withheld salary</t>
  </si>
  <si>
    <t>PY-MY : Issues in CP8D download file</t>
  </si>
  <si>
    <t>Issues in hash total and other fields in Maybank Formats</t>
  </si>
  <si>
    <t>Aangifte LH: Delete data for the Work Cost Regulation</t>
  </si>
  <si>
    <t>YELC 2011/2012: Running RPIBBLN0 after payroll of January</t>
  </si>
  <si>
    <t>YELC 2011/2012: Label of field DLNOW in Infotype 0303</t>
  </si>
  <si>
    <t>FlexBen NL: Connecting report RPUFBUN0 to transport system</t>
  </si>
  <si>
    <t>Jaaropgave WN: Translation of form to English inconsistent</t>
  </si>
  <si>
    <t>New Electronic Illness Reporting: Update Documentation NLSIM</t>
  </si>
  <si>
    <t>YELC 2011/2012: Constant SVDGY set incorrectly</t>
  </si>
  <si>
    <t>JLO: Warning if open Wage Return exists for year</t>
  </si>
  <si>
    <t>YELC 2011/2012: No calculation of payment reduction in 2012</t>
  </si>
  <si>
    <t>YELC 2011/2012: Running RPIBBLN0 for EE with stat2 EQ '2'</t>
  </si>
  <si>
    <t>YELC 2011/2012: No Life Course Saving in 2012</t>
  </si>
  <si>
    <t>Reimbursement Solution - Issues December 2011</t>
  </si>
  <si>
    <t>Issues in output of Report RPLATSV0 and RPCATPV0</t>
  </si>
  <si>
    <t>Incorrect Tax Calculation in Half Tax Period</t>
  </si>
  <si>
    <t>Norway Legal Changes for year 2011/12: Part 2</t>
  </si>
  <si>
    <t>Incorrect updation of Infotype 0014/0015 by report RPURMBVO</t>
  </si>
  <si>
    <t>Incorrect handling of IT0057 in Correction Payroll run</t>
  </si>
  <si>
    <t>ERC: Cumulation WT selection for Svalbard &amp; Ordinary ter</t>
  </si>
  <si>
    <t>Reimburesment - Change in structure of Feature VRMB2</t>
  </si>
  <si>
    <t>ERC reporting to new Altinn-2 framework</t>
  </si>
  <si>
    <t>Incomplete output for CCAQ statistic of Education Grant</t>
  </si>
  <si>
    <t>Spouse offset is not calculated for professional staff</t>
  </si>
  <si>
    <t>EGCDF is set incorrectly in report HUNUEDGR_STATISTICS</t>
  </si>
  <si>
    <t>Corrections to Part time record in UNJSPF Monthly Interface</t>
  </si>
  <si>
    <t>Spouse work duty station is not visible on IT0021 screen</t>
  </si>
  <si>
    <t>Field DSNFI is not updated in database table T7UNPAD_DS1P</t>
  </si>
  <si>
    <t>Incorrect Subtype text in EVE Dependency report output</t>
  </si>
  <si>
    <t>PY-NZ : Retro Termination Taxation</t>
  </si>
  <si>
    <t>Account Name not prompted as compulsory field in IT0310</t>
  </si>
  <si>
    <t>No Vertical Scroll in Termination Workbench Details Screen</t>
  </si>
  <si>
    <t>PY-PH: Flexible effective date for MWE/Non-MWE changes 2011</t>
  </si>
  <si>
    <t>PY-PH: Inflow and outflow wage types for cross year retro</t>
  </si>
  <si>
    <t>PY-PH: Addition of Pay date field to Pre-DME program</t>
  </si>
  <si>
    <t>RPCOVRP0: Some columns are not being filled properly</t>
  </si>
  <si>
    <t>Single Report: outgoing employee in January 1st not shown</t>
  </si>
  <si>
    <t>Single Report: employees in a mission not shown in attach. 0</t>
  </si>
  <si>
    <t>Single Report: wrong code in field &amp;lt;nivel_qual&amp;gt; of att</t>
  </si>
  <si>
    <t>Indep. Workers: Tax reduction rate for EEs with disability</t>
  </si>
  <si>
    <t>RPPSTMP0: new date interval for master data reading</t>
  </si>
  <si>
    <t>CALC: Short dump when processing payroll function PVACG</t>
  </si>
  <si>
    <t>Single Report: Attachment C for Azores</t>
  </si>
  <si>
    <t>PY-PT: IRS Christmas Allowance Surcharge - Corrections V</t>
  </si>
  <si>
    <t>Single Report: wrong promotion date using 0041 infotype</t>
  </si>
  <si>
    <t>RPCSSRP0: TemSe is rejected when reporting codes 2 and I</t>
  </si>
  <si>
    <t>PSSD0: negative value in SS working days</t>
  </si>
  <si>
    <t>CA surcharge not transfered after law end date with retro</t>
  </si>
  <si>
    <t>RPCIIDP0: Duplicated value of Christmas Allowance Surcharge</t>
  </si>
  <si>
    <t>Family allowance not paid in double for child with 12 months</t>
  </si>
  <si>
    <t>SIADAP: Displaying more fields in search help of Scale ID</t>
  </si>
  <si>
    <t>Family allowance: IT 21/335 Issue in Scholarship entitlement</t>
  </si>
  <si>
    <t>Family allowance: Wrong message when child is one month old</t>
  </si>
  <si>
    <t>CALC: Rounding error when executing remuneration reduction</t>
  </si>
  <si>
    <t>CALC: Bases lower than 1.500 EUR in remuneration reduction</t>
  </si>
  <si>
    <t>HR-RU: improvement of accuracy of salary calculation</t>
  </si>
  <si>
    <t>HR-RU: Improvement of accuracy of vacation calculation</t>
  </si>
  <si>
    <t>HR-RU:RUOAV transfers wrong data if retro after note 1637055</t>
  </si>
  <si>
    <t>HR-RU: RUPRT L doubled deduction in leaving calculation</t>
  </si>
  <si>
    <t>CE: payroll driver stops in function LIMIT</t>
  </si>
  <si>
    <t>HR-RU: HRULNDFL: incorrect data in the Part 3 of the form</t>
  </si>
  <si>
    <t>HR-RU: Enable FUP processing during off-cycle correction run</t>
  </si>
  <si>
    <t>Processing of wage codes type 'L' in non-retro periods</t>
  </si>
  <si>
    <t>HR-RU: Legal Change with 379-FZ at 03.12.2011</t>
  </si>
  <si>
    <t>2-NDFL: Order FNS RF MMV-7-3/909@: New print form and XML</t>
  </si>
  <si>
    <t>HR-RU: reading off-cycle payroll results For-period</t>
  </si>
  <si>
    <t>Sweden ATS PDF's: Issue with the year and rounding amounts</t>
  </si>
  <si>
    <t>PY-SG: IR8E and Appendix-8B sapscript form changes 2011</t>
  </si>
  <si>
    <t>Enablement of 'Adjust' Option accross clients - Table T5R1F</t>
  </si>
  <si>
    <t>E-stamp in annual income tax forms 50 Bis and 1A</t>
  </si>
  <si>
    <t>PY-TH: Year End Report generates incorrect address</t>
  </si>
  <si>
    <t>PY-TH: ITF1 and ITF1A Legal change 2011</t>
  </si>
  <si>
    <t>Periodic Income Tax Report HTWCTXP0 Dump Due to Overflow</t>
  </si>
  <si>
    <t>2011 Changes on Taiwan Tax Medium File</t>
  </si>
  <si>
    <t>LC2012: New NHI, NP, and LI Grades</t>
  </si>
  <si>
    <t>New York Labor Law 195.1 - Employee Notice</t>
  </si>
  <si>
    <t>Year End 2011 Phase III for U.S. Tax Reporter</t>
  </si>
  <si>
    <t>TAX: Taxable amount inflated with WTA Override.</t>
  </si>
  <si>
    <t>[VE] HVECVCD1 - Dates desconsidered to select employees</t>
  </si>
  <si>
    <t>Unable to sort RPCOIDW0 by Company Code</t>
  </si>
  <si>
    <t>ITA88 Agent Appointment using Infotype 14 or 15</t>
  </si>
  <si>
    <t>ITA88 - Inactive employees updated and issue date format</t>
  </si>
  <si>
    <t>XX-CSC-ES</t>
  </si>
  <si>
    <t>XX-CSC-ES-PY</t>
  </si>
  <si>
    <t>CALC: RED 11/2011 Training Programs inclusion in payroll</t>
  </si>
  <si>
    <t>TC: Incremental arrears sucharge for L04 segment</t>
  </si>
  <si>
    <t>XX-PROJ</t>
  </si>
  <si>
    <t>Project-based solutions</t>
  </si>
  <si>
    <t>XX-PROJ-CDP</t>
  </si>
  <si>
    <t>SAP Custom Development Projects (see note 689050)</t>
  </si>
  <si>
    <t>XX-PROJ-CDP-045</t>
  </si>
  <si>
    <t>Custom Development Project 045</t>
  </si>
  <si>
    <t>Wrong cum WT assignment for Taxable Wage indicator</t>
  </si>
  <si>
    <t>SAPKE60445</t>
  </si>
  <si>
    <t>Missing overlap checks</t>
  </si>
  <si>
    <t>HR-AT: ELDA Krankenstandsmeldung delivery for SAP rel. 600</t>
  </si>
  <si>
    <t>Security: XSS vulnerability in SAP GUI for HTML</t>
  </si>
  <si>
    <t>IT0033: No Input Check in Screen 2044</t>
  </si>
  <si>
    <t>CRUD: "Reason Code" F4-Help Hit list is empty at P</t>
  </si>
  <si>
    <t>Unauthorized modification in ITS-Service</t>
  </si>
  <si>
    <t>Unauthorized Modification in ITS-Service in PA-PA-KR</t>
  </si>
  <si>
    <t>Aangifte LH: Dump due to long file name (RPCLAKN0/RPCEDKN0)</t>
  </si>
  <si>
    <t>Documentation for message HRPAYNLLA_EN401</t>
  </si>
  <si>
    <t>Delivery of documentation for features NLSIM and NLWPB</t>
  </si>
  <si>
    <t>T-2: Adobe layout improvements</t>
  </si>
  <si>
    <t>HR-RU: HRUA_T54, No Indirect Valuation W/T in IT0014</t>
  </si>
  <si>
    <t>CE: infotype 0006 screen 2033 - missing employee ID header</t>
  </si>
  <si>
    <t>HR-RU: HRULP4 F4 Action Reason Dismissal by Mutual Agreement</t>
  </si>
  <si>
    <t>IT: Short dump in hiring actions.</t>
  </si>
  <si>
    <t>PEP: Corrections / Enhancements 1/2012</t>
  </si>
  <si>
    <t>PEP Reduction for employee liable for the PEP: Corrections I</t>
  </si>
  <si>
    <t>PRN: Additional selection fields in administrator list</t>
  </si>
  <si>
    <t>PRN: Change of taxation standards or legal basis</t>
  </si>
  <si>
    <t>CPS: Minor corrections (01/2012)</t>
  </si>
  <si>
    <t>LSO/TEM: Error in correspondence by fax and mail</t>
  </si>
  <si>
    <t>PE-RE</t>
  </si>
  <si>
    <t>Information Menu</t>
  </si>
  <si>
    <t>Attendee name not displayed in report RHPREBO0</t>
  </si>
  <si>
    <t>PP61: Incorrect error msg when locking organizational unit</t>
  </si>
  <si>
    <t>[AR] Additional correction for RG AFIP Nº 3224/2011</t>
  </si>
  <si>
    <t>Darlehen: Berücksichtung Zinsvorteil</t>
  </si>
  <si>
    <t>PCALZ: Nachbesserung der Lösung UE im Austrittsmonat</t>
  </si>
  <si>
    <t>AT: Dokumentation freiw. Abfertigung und Sozialplanzahlung</t>
  </si>
  <si>
    <t>Hinweis 1562213 (Nachtrag)</t>
  </si>
  <si>
    <t>UEKV: Problem bei Wiedereintritt und anschließendem Austritt</t>
  </si>
  <si>
    <t>Elda: Arbeits- und Entgeltbest. Krankengeld fehlerhaft</t>
  </si>
  <si>
    <t>UEKV: Zu wenig SV-Tage bei UE mit 30 Kalendertagen</t>
  </si>
  <si>
    <t>RPLDETQ1(Employee Pay Details Report) - page numbering issue</t>
  </si>
  <si>
    <t>Protected Earning constants in table T511K for year 2012</t>
  </si>
  <si>
    <t>Incorrect Severence Payment when proration is set in T5QRS</t>
  </si>
  <si>
    <t>Negative payments displayed on ETP PS and Smartform changes</t>
  </si>
  <si>
    <t>Incorrect Severence Pay with proration in T5QRS</t>
  </si>
  <si>
    <t>Incorrect Tax using IT0817 and in multiple runs.</t>
  </si>
  <si>
    <t>Legal change :Outsourcing by ComSuper of the PSSAp(PIF Rep.)</t>
  </si>
  <si>
    <t>Superannuation contr. for EEs terminated before payment date</t>
  </si>
  <si>
    <t>Incorrect value picked from feature 13RIP</t>
  </si>
  <si>
    <t>DmfA: Notice Date incorrectly marked as mandatory</t>
  </si>
  <si>
    <t>DMFA: next quarter's SVEVL created differently</t>
  </si>
  <si>
    <t>Dimona Student 2012 - Preparation with incorrect check</t>
  </si>
  <si>
    <t>FINPROF: Problems when using the selection of Company Code</t>
  </si>
  <si>
    <t>PY-BE: Payroll driver minor improvements</t>
  </si>
  <si>
    <t>Dimona Student 2012 - Defaulting planned Days by quarter</t>
  </si>
  <si>
    <t>Company Car Regulation as of 01-Jan-2012</t>
  </si>
  <si>
    <t>Dismissal Allowaces by montly payments: DmfA covered period</t>
  </si>
  <si>
    <t>Dimona 2010 - Infotype screen - Use of DIMI Date</t>
  </si>
  <si>
    <t>Garnishment - New threshold values as of 01.01.2012</t>
  </si>
  <si>
    <t>New rates for factory shutdown fund 2012</t>
  </si>
  <si>
    <t>DmfA/DmfAPPL - Legal Changes 2011 Q4 addendum</t>
  </si>
  <si>
    <t>Dimona - XML Versions 2012</t>
  </si>
  <si>
    <t>Dimona Students 2012 - Planned Days Nbr not Mandatory field</t>
  </si>
  <si>
    <t>DmfA(PPL) - Multiple Special Contr. 864/5/6 as of 2012</t>
  </si>
  <si>
    <t>Rounding error in calculation of tax scales</t>
  </si>
  <si>
    <t>Dimona Students 2012 - Planned days hidden for non students</t>
  </si>
  <si>
    <t>HBRRAIS0: data from HRPAYBR_RAIS_RECORD2 BAdI not displayed</t>
  </si>
  <si>
    <t>SREP: generation of AFDT and ACJEF files - 'Primeiro hor.'</t>
  </si>
  <si>
    <t>Homolognet: Wage types with different incidences error</t>
  </si>
  <si>
    <t>Homolognet: Negative percentage for night shift</t>
  </si>
  <si>
    <t>HomologNet: Deduction data with no value - fields 85 and 86</t>
  </si>
  <si>
    <t>Homolognet - Vacation entitlement paid on termination</t>
  </si>
  <si>
    <t>SREP: Importar field removed from HBRTMIF0</t>
  </si>
  <si>
    <t>Absence Quotas service class returns future absence quotas</t>
  </si>
  <si>
    <t>YE11:RL1 footnote 235 for employee pvt health plan premiums</t>
  </si>
  <si>
    <t>RPCALCK0:Short Dump when absence name contains character '&amp;a</t>
  </si>
  <si>
    <t>YE11: Addition of Footnote Code 43 on the T4 form</t>
  </si>
  <si>
    <t>YE11:RL-1 Certification for 2011</t>
  </si>
  <si>
    <t>YE11: T4 XML not showing 0 for box 24 and box 26</t>
  </si>
  <si>
    <t>Year-end bonuses, paymt w/ mid-month change in legal pers</t>
  </si>
  <si>
    <t>CH: Documentation: Update of IMG structures</t>
  </si>
  <si>
    <t>Year-end bonuses: Validation of Customizing</t>
  </si>
  <si>
    <t>HR-CH: Canton TI, family-related bonuses - FYC 2011/2012</t>
  </si>
  <si>
    <t>WHT: Cross-border EE F: Default layout missng as of Rel 6.04</t>
  </si>
  <si>
    <t>Documentation: "Document Type" data element for EL</t>
  </si>
  <si>
    <t>[CL] Incorrect Health Insurance differences on Reliquidation</t>
  </si>
  <si>
    <t>[CL] APV payments not cumulated for PREVIRED report</t>
  </si>
  <si>
    <t>[CL] Minimum Salary and Legal Limits updates for 2011/2012</t>
  </si>
  <si>
    <t>Off-Cycle Payroll for Correction Accounting for Schema CN28</t>
  </si>
  <si>
    <t>Individual Income Tax Report(HCNCTAX0) Enhancement</t>
  </si>
  <si>
    <t>New packages for general tools Personnel Administration</t>
  </si>
  <si>
    <t>B2A: XML display for Germany</t>
  </si>
  <si>
    <t>DEUEV immediate notifications (part 3)</t>
  </si>
  <si>
    <t>SI: Corrections for Note 1645394 - DTART SAG</t>
  </si>
  <si>
    <t>SI: Composite SAP Note data exchange 1/2012</t>
  </si>
  <si>
    <t>RHC planned remun incorrect for constr wage/CFS/overtime hrs</t>
  </si>
  <si>
    <t>Delete DEUEV inbound notifications</t>
  </si>
  <si>
    <t>Plant data maintenance: Error with miner company numbers</t>
  </si>
  <si>
    <t>Year-end legal change 2011/2012 DEUEV: Corrections</t>
  </si>
  <si>
    <t>EEL: Corrections and enhancements (02/2012)</t>
  </si>
  <si>
    <t>Prohibited activities: Gross SI is duplicated</t>
  </si>
  <si>
    <t>Supplement to maternity pay with private health insurance</t>
  </si>
  <si>
    <t>Prohib. activities in assessment pd for supp. to mat. pay II</t>
  </si>
  <si>
    <t>Error when delimiting a module using the view V_T5DR4</t>
  </si>
  <si>
    <t>BVV: Corrections 02 2012</t>
  </si>
  <si>
    <t>BVV: Corrections 02 2012 (II)</t>
  </si>
  <si>
    <t>Garnishment: Various corrections February 2012</t>
  </si>
  <si>
    <t>Intermediate placement and farmers' health insurance scheme</t>
  </si>
  <si>
    <t>EDI stmnt of contr. paid: DSKO missng, creatn date incorrect</t>
  </si>
  <si>
    <t>Check for fund type in table T5D11</t>
  </si>
  <si>
    <t>Stmnt of contr. paid rejected if disruptive event contr.</t>
  </si>
  <si>
    <t>Year-end legal change 2011/2012 for tax: Corrections 04</t>
  </si>
  <si>
    <t>Tax year-end legal change corrections 2011/2012 Corr. 05</t>
  </si>
  <si>
    <t>ETStmt: Error 200033002 - tax-free amount</t>
  </si>
  <si>
    <t>Acty w/ higher rte of pay in case of individul highest level</t>
  </si>
  <si>
    <t>IT 265 for ASP: Assessment month February is not possible</t>
  </si>
  <si>
    <t>DNeuG: Restoration of the special payment</t>
  </si>
  <si>
    <t>TV FlexAZ: Special payment in full-time fictitious run</t>
  </si>
  <si>
    <t>AAG: Section 23c calculation incorr w/ subtype DEBV in IT 8</t>
  </si>
  <si>
    <t>Incorrect codings for some sample wage types</t>
  </si>
  <si>
    <t>Nursing service deducn incorrect if adjustment amount exists</t>
  </si>
  <si>
    <t>Upper limits accrding to sections 53, 54 and 55 are too high</t>
  </si>
  <si>
    <t>Various errors in SP notification program (February 2012)</t>
  </si>
  <si>
    <t>Wrong verification date for obsolete bonification check</t>
  </si>
  <si>
    <t>TC: Short dump RAISE_EXCEPTION with ABS_ATT_TYPE_NOT_FOUND</t>
  </si>
  <si>
    <t>RPCTC0E0: Deduction for Excluded Contigencies EDTCA20</t>
  </si>
  <si>
    <t>TC: LNR not considered for FAN field in position 13</t>
  </si>
  <si>
    <t>CALC: Incorrect amount for bonifications with splits</t>
  </si>
  <si>
    <t>Certific@2: Error in reply processing of ERE certificates</t>
  </si>
  <si>
    <t>CALC: Incorrect prorata computation for part-time employees</t>
  </si>
  <si>
    <t>CALC: IT days generated beyond number active days</t>
  </si>
  <si>
    <t>190: truncation in reduction field in Deduction Certificate</t>
  </si>
  <si>
    <t>Delt@: Economics details prop. when using off-cycle payroll</t>
  </si>
  <si>
    <t>TC: number of active days for part-time employee in FAN file</t>
  </si>
  <si>
    <t>TC: Issue with BA42 segment and non-taken vacation (VND)</t>
  </si>
  <si>
    <t>Academic title code not compulsory for Level of Training 60</t>
  </si>
  <si>
    <t>RED 13/2011</t>
  </si>
  <si>
    <t>Issue with RPUAUTE1 when creating leave entry in IT0000</t>
  </si>
  <si>
    <t>Off-cycle payroll record not found for IRPF(190) report</t>
  </si>
  <si>
    <t>CALC: Wrong BRD in case of IT for training program employee</t>
  </si>
  <si>
    <t>CALC: Wrong contribution base (/342) for non artist employee</t>
  </si>
  <si>
    <t>Some Employees are not Reported in TYEL Report HFILTYEL1</t>
  </si>
  <si>
    <t>HFILHPA0_FI: Correction in Future Absence Handling</t>
  </si>
  <si>
    <t>N4DS Corrections 10</t>
  </si>
  <si>
    <t>N4DS Corrections 11</t>
  </si>
  <si>
    <t>N4DS Corrections 12</t>
  </si>
  <si>
    <t>N4DS: incorrect amount/number distribution in marginal cases</t>
  </si>
  <si>
    <t>N4DS Corrections 13</t>
  </si>
  <si>
    <t>Entitlements Weeks are not accuartely displayed in IT2001.</t>
  </si>
  <si>
    <t>Starter Report notifying old tax code</t>
  </si>
  <si>
    <t>Payroll stops with an error when ASPP last week is part week</t>
  </si>
  <si>
    <t>No AWE calculated when one contract has WT AWES is given.</t>
  </si>
  <si>
    <t>Issue with multiple employment tax calculation</t>
  </si>
  <si>
    <t>P11D Email errors: duplicate loan details</t>
  </si>
  <si>
    <t>Issues in P11d with License plate numnber field in IT442</t>
  </si>
  <si>
    <t>Communication Error when P45 information is sent to HMRC</t>
  </si>
  <si>
    <t>Error when generating Category 1-cap or max not consider(2)</t>
  </si>
  <si>
    <t>PY-IE: New Report to check obsolete PRSI classes for 2012</t>
  </si>
  <si>
    <t>Incorrect error message for Obsolete PRSI class for yr 2011.</t>
  </si>
  <si>
    <t>PRSI END OF YEAR LEGAL CHANGES FOR THE YEAR 2011-2012.</t>
  </si>
  <si>
    <t>PY:IE EMERGENCY USC BAS ENTRY MISSING IN SAR FILES 2011-2012</t>
  </si>
  <si>
    <t>PY:IE ISSUE WITH YEARLY/MONTHLY/WEEKLY TAX CREDITS OF IT0359</t>
  </si>
  <si>
    <t>PY:IE ISSUE WITH DEFAULT CHECKBOX FOR EE ON USC BASIS 'E/X'.</t>
  </si>
  <si>
    <t>PY-IE: Issue with Levy related errors in End of year report</t>
  </si>
  <si>
    <t>Text of Ptax related functionalities revised</t>
  </si>
  <si>
    <t>Multiple Form 16:Reporting original result for transfer case</t>
  </si>
  <si>
    <t>Claims : Off-cycle disbursement &amp; status report inconsis</t>
  </si>
  <si>
    <t>Employer PAN not getting reported consistently on e-file</t>
  </si>
  <si>
    <t>NPS:Contribution To Central Govt Fund By Employee &amp; Empl</t>
  </si>
  <si>
    <t>Form 24Q not displaying Tel. number and E-mail consistently</t>
  </si>
  <si>
    <t>Parameters modified in BAdI to overwrite monthly taxable inc</t>
  </si>
  <si>
    <t>Form 16: Changes For Separate Company Code Based Reporting</t>
  </si>
  <si>
    <t>Rounding of ESI contributions and carryforward amounts</t>
  </si>
  <si>
    <t>EPF:Changes Introduced Through Notification TN/CBE/EDP/2011</t>
  </si>
  <si>
    <t>Form 3A E-file Output Inconsistent for Multiple Employees</t>
  </si>
  <si>
    <t>HR-IT: suppl. pension fund &amp; TFR management of /TLS</t>
  </si>
  <si>
    <t>HR-IT: UniEmens 1.2.3 - Correction Package I</t>
  </si>
  <si>
    <t>HR-IT: Wrong Sgravio percentage used for fixed amount cases</t>
  </si>
  <si>
    <t>HR-IT: ITQGF - TFR - Issues on retro-calculation</t>
  </si>
  <si>
    <t>HR-IT: UniEmens 1.2.4 - Correction Package I</t>
  </si>
  <si>
    <t>HR-IT: UniEmens 1.2.4 - Correction Package II</t>
  </si>
  <si>
    <t>HR-IT: CUD 2012</t>
  </si>
  <si>
    <t>EI Adjustment is Incorrect if Payroll Period is Cross Month</t>
  </si>
  <si>
    <t>Company Name by Logon Lang./Annual Hous.Paid/Uniform Expense</t>
  </si>
  <si>
    <t>Income Tax Rate Increase for Income Over KRW 300,000,000</t>
  </si>
  <si>
    <t>Tax Deferring for Two or More Separation Payments</t>
  </si>
  <si>
    <t>YEA2011: Designated Donation Limit and Financial Code</t>
  </si>
  <si>
    <t>LC2012: Simple Tax Table Effective on January 01</t>
  </si>
  <si>
    <t>[MX] New State Tax for Chihuahua 2012</t>
  </si>
  <si>
    <t>PY-MY : Changes in report RPCTEAL0_01</t>
  </si>
  <si>
    <t>PY-MY: Hash Total for retirees and File Payment Date issue</t>
  </si>
  <si>
    <t>PY-MY : Corrections in EPF legal change for 2012</t>
  </si>
  <si>
    <t>Aangifte LH: Display of Indicators 31, 82, 682 and 632</t>
  </si>
  <si>
    <t>Jaaropgave WN: Correction of Name Format</t>
  </si>
  <si>
    <t>Jaaropgave WN: Additional corrections to form</t>
  </si>
  <si>
    <t>Incorrect output by Report RPTEMFV0</t>
  </si>
  <si>
    <t>Introduction of new Postal Code and changes in NAV Offices</t>
  </si>
  <si>
    <t>Reimbursement - OREF rounding and handling</t>
  </si>
  <si>
    <t>Last payment amount not deducted for completed loans</t>
  </si>
  <si>
    <t>Reimbursement - vacation handling when sick/not sick</t>
  </si>
  <si>
    <t>Corrections to reading Wagetype in EVE Repatriation Grant</t>
  </si>
  <si>
    <t>Correction to assign Package PBUN_EVE to Switch</t>
  </si>
  <si>
    <t>View to maintain all Duty Station Time-Dependent Information</t>
  </si>
  <si>
    <t>Correction to maintenance view V_T7UNPAD_DS1P_A</t>
  </si>
  <si>
    <t>PY-NZ : To revert the changes of SAP Note 1602793</t>
  </si>
  <si>
    <t>HNZLUPDSA0 : Update Superannuation Infotype program changes</t>
  </si>
  <si>
    <t>PY-NZ: CRT values and previous year gross is incorrect</t>
  </si>
  <si>
    <t>PY-NZ : Student Loan and Tax Legal Changes for 2012</t>
  </si>
  <si>
    <t>Superannuation Legal Changes for 2012-13 (inc KiwiSaver)</t>
  </si>
  <si>
    <t>New format for Annual Income Declaration (RPCAIDP0)</t>
  </si>
  <si>
    <t>LC National Budget for 2012 - Lun. all. and lev. compens.</t>
  </si>
  <si>
    <t>Wrong format for Annual Income Declaration (RPCAIDP0)</t>
  </si>
  <si>
    <t>RPCIIDP0: Improvements in PPT_FORM_IID structure</t>
  </si>
  <si>
    <t>CALC: Corrections in Remuneration Reduction functionality</t>
  </si>
  <si>
    <t>Infotype 3218: unable to configure fields via V_T588M</t>
  </si>
  <si>
    <t>Infotype 0332 CGA: Issue reading T5P2Q table entry</t>
  </si>
  <si>
    <t>Infotype 0337: unable to hide SIADAP field via V_T588M</t>
  </si>
  <si>
    <t>HR-RU: Support the changing of tax schema in off-cycle</t>
  </si>
  <si>
    <t>HRULNDFL: additional changes according to Order MMV-7-3/909@</t>
  </si>
  <si>
    <t>HR-RU: minor corrections of table TAXSCHEMA generation</t>
  </si>
  <si>
    <t>RPITAXS0:Unable to update the Tax data for  some employees.</t>
  </si>
  <si>
    <t>RPCKU1S0 report Specification number issue</t>
  </si>
  <si>
    <t>Shortfall/excess calculation for last period AW payments</t>
  </si>
  <si>
    <t>PY-SG: CPF voluntary contribution for PR employees</t>
  </si>
  <si>
    <t>Incorrect output of disk download file for terminated EE</t>
  </si>
  <si>
    <t>PY-TH: Tax and PIT91 Legal Changes 2012</t>
  </si>
  <si>
    <t>Invalid record of IT0364 processed while generating PIT91</t>
  </si>
  <si>
    <t>HTWCTXW0: Wrong Value for From Field in DME</t>
  </si>
  <si>
    <t>Fast Formula Should Be Used When Tax Table is Insufficient</t>
  </si>
  <si>
    <t>New York Labor Law 195.1 - SAPscript, Dynamic Action and IMG</t>
  </si>
  <si>
    <t>Third Party Remittance</t>
  </si>
  <si>
    <t>3PR: Evaluation Run fails to post to right Symbolic Account</t>
  </si>
  <si>
    <t>3PR: Pennsylvania Act 32 - remittance to work TCD.</t>
  </si>
  <si>
    <t>Corrections to Online W-2: Wave 3</t>
  </si>
  <si>
    <t>Year End 2011 Additional Changes for U.S. Tax Reporter</t>
  </si>
  <si>
    <t>TR: Box 12 EE not added to W-3 Box 12a</t>
  </si>
  <si>
    <t>TR: Form UC-5A-S and UC-1-S for SUI Indiana</t>
  </si>
  <si>
    <t>TR: TCD code incorrectly retrieved based on as-of-date</t>
  </si>
  <si>
    <t>TR: Form 940 - Line 7a FUTA wages paid correction</t>
  </si>
  <si>
    <t>TR: Form 940 Puerto Rico: Line 7a FUTA wages paid correction</t>
  </si>
  <si>
    <t>TAX: WTA Override generates incorrect gross wages.</t>
  </si>
  <si>
    <t>IRP5: Tax directive not reported under the TEMSE option</t>
  </si>
  <si>
    <t>RED 13/2011: New Bonification method for ONCE contracts</t>
  </si>
  <si>
    <t>SAPKE60446</t>
  </si>
  <si>
    <t>RPRDTAA0 terminates on error</t>
  </si>
  <si>
    <t>Feature BE505 for Holiday Cert.(0505) Infotype: Improvements</t>
  </si>
  <si>
    <t>IT 3270 - subtype CAR1: SEREX maintainable in display mode</t>
  </si>
  <si>
    <t>Minor improvements in function group 0PB0</t>
  </si>
  <si>
    <t>Screen control with Detailed Address field  in IT0006 for CN</t>
  </si>
  <si>
    <t>MP00062M - State can't be saved without filling County</t>
  </si>
  <si>
    <t>TNM Booking Process: Validity Check Enhancements</t>
  </si>
  <si>
    <t>Tabstrip "Reporting" availability change and new a</t>
  </si>
  <si>
    <t>TNM, quota mngt: issue with quota tabstrip display</t>
  </si>
  <si>
    <t>IT0069:Incorrect error message in pension age check</t>
  </si>
  <si>
    <t>South Korea Defined-Contribution Retirement Pension</t>
  </si>
  <si>
    <t>Self-Insured National Pension &amp; HKRSEPR0 Report Category</t>
  </si>
  <si>
    <t>Inconsistency Between IT0002/IT0539 and IT0021/IT0540</t>
  </si>
  <si>
    <t>[MX] Match code for District field - IT0006</t>
  </si>
  <si>
    <t>[MX] Mexican infotype decoupling classes corrections</t>
  </si>
  <si>
    <t>PA-PA-MY: Incorrect population of PA0002 fields</t>
  </si>
  <si>
    <t>HCM NL: Corrections in IMG documentation for Company Car</t>
  </si>
  <si>
    <t>IT0442: Dutch translation of pollution category is incorrect</t>
  </si>
  <si>
    <t>SZV-6-1(SZV-6-2), SZV-6-3, SPV-1: cumulative updates 01.2012</t>
  </si>
  <si>
    <t>Infotype 0861, screen 2033: empty field "Law reference&amp;</t>
  </si>
  <si>
    <t>SZV-6-3: document without sums is created</t>
  </si>
  <si>
    <t>SZV-6-3: rejection form contains wrong reporting year</t>
  </si>
  <si>
    <t>T-2: birthplace and citizenship in Adobe form</t>
  </si>
  <si>
    <t>HR-RU: Infotype 0294 - list entry for seniority page</t>
  </si>
  <si>
    <t>HRULP4: P-4 Form Change by Article N 367 from 19.08.2011</t>
  </si>
  <si>
    <t>HTWCTXM0: Address Incosistent with IT0006's Town Text</t>
  </si>
  <si>
    <t>IT0001:Not possible to manage display of some screen fields.</t>
  </si>
  <si>
    <t>BEN: 401(k) Roth catch-up contribution not calculated</t>
  </si>
  <si>
    <t>WEF &amp; CAP: Sample implementation generates incorrect amo</t>
  </si>
  <si>
    <t>Pension equal paymnt: No calcul of length of marriage share</t>
  </si>
  <si>
    <t>BAV: Kleinere Korrekturen (02/2012)</t>
  </si>
  <si>
    <t>Issue with Subtype Text in BAPI_BUS_EVENTTYPE_INFO</t>
  </si>
  <si>
    <t>PP61: Daily on-call shifts not saved</t>
  </si>
  <si>
    <t>[AR] HARCDGI1 - Duplicated entries in SICORE</t>
  </si>
  <si>
    <t>Pfändung: Steuer- und  Massendifferenzberechnung bei RRVJ</t>
  </si>
  <si>
    <t>Pfändung: TILGT-Flag wird nicht mehr gesetzt</t>
  </si>
  <si>
    <t>IT 367: Adressdaten fehlt bei Abmeldung</t>
  </si>
  <si>
    <t>PCALZ: BAdI für Kundenapplikation</t>
  </si>
  <si>
    <t>Abrechnungsabbruch nach Sonderlauf bei Pfändung.</t>
  </si>
  <si>
    <t>KB B2A: Nachbesserung mit diversen Problemen (1)</t>
  </si>
  <si>
    <t>Unnötige Simulationen bei der alten Lösung UE</t>
  </si>
  <si>
    <t>UEKV: Merkmal APSIM nicht mehr notwendig</t>
  </si>
  <si>
    <t>Pensionistenabsetzbetrag und Permanenter Jahresausgleich</t>
  </si>
  <si>
    <t>SV-SZ HBG: Wechsel von geringf. Beschäftigt zu Vollzeit</t>
  </si>
  <si>
    <t>ELDA Krankenstandsbescheinigung: Verbesserungen (1)</t>
  </si>
  <si>
    <t>PCALZ: Sterbedatum in Zukunft ist nicht zulässig</t>
  </si>
  <si>
    <t>IT0367, Subtyp 04, Feldname ADAT0; Vorschlagswert</t>
  </si>
  <si>
    <t>PCALZ: Unterbrechung des Dienstverhältnisses und Teilzeit</t>
  </si>
  <si>
    <t>Termination: Avg. Taxable Gross used and ETP tax incorrect</t>
  </si>
  <si>
    <t>Payment summary reports run for employees of other countries</t>
  </si>
  <si>
    <t>Termination Organizer:Issues with Termination Display Log.</t>
  </si>
  <si>
    <t>Decoupling of CE and Non-CE includes</t>
  </si>
  <si>
    <t>Marginal tax on termination payments incorrect in retro runs</t>
  </si>
  <si>
    <t>Termination Organizer:Issues with Transitional Payments</t>
  </si>
  <si>
    <t>Incorrect generation of Rollover Wagetype</t>
  </si>
  <si>
    <t>Incorrect tax: Advance Pay with salary sacrifice deduction</t>
  </si>
  <si>
    <t>Flood Levy Corrections for Concurrent Employment (CE)</t>
  </si>
  <si>
    <t>Retro leave loading appears in the current period results</t>
  </si>
  <si>
    <t>Australia CE Solution: 2012/2013 Tax Legal Changes</t>
  </si>
  <si>
    <t>Normal I416 records not taken into account in Term Workbench</t>
  </si>
  <si>
    <t>PBSAUTRM not always called after HR_AUPBS_SENIORITY</t>
  </si>
  <si>
    <t>LSL taken at Half-pay during current service issue</t>
  </si>
  <si>
    <t>DmfA: Remuneration codes with no structural reduction</t>
  </si>
  <si>
    <t>Belcotax: B2A &amp; Temse Viewer integration II</t>
  </si>
  <si>
    <t>Activa - Various Improvements</t>
  </si>
  <si>
    <t>Display of table DAYDET on remuneration statement</t>
  </si>
  <si>
    <t>Net processing within Complementary Indemnity Payments</t>
  </si>
  <si>
    <t>Minimum amount advantage company car increased</t>
  </si>
  <si>
    <t>BELCOTAX: Entry/Leaving date 2.055/56 when reorg. assigment.</t>
  </si>
  <si>
    <t>SOCIAL BALANCE: V_T5BO1 customizing wrongly used</t>
  </si>
  <si>
    <t>Activa : Duration calculation and hiring date</t>
  </si>
  <si>
    <t>Dimona Students 2012 - Quarter data incorrect for Cancel Dec</t>
  </si>
  <si>
    <t>Printing of tax fiches 281.xx - Ja/Nein in German not poss.</t>
  </si>
  <si>
    <t>Student realized days calculation only based on cluster</t>
  </si>
  <si>
    <t>Belcotax - Customizing of printouts - fiches 281.xx - 2011</t>
  </si>
  <si>
    <t>PY-BE: ATC (ABAP Test Cockpit) corrections</t>
  </si>
  <si>
    <t>Dimona - B2A closed if Status Modifier not consistent</t>
  </si>
  <si>
    <t>BELCOTAX: Wrong results  - fiche change and retroactivity</t>
  </si>
  <si>
    <t>Message handling in report RPTGENB0 to be improved</t>
  </si>
  <si>
    <t>SEFIP: V3 movement code is not correct</t>
  </si>
  <si>
    <t>SEFIP: Christmas allowance amounts not reported in AJUS</t>
  </si>
  <si>
    <t>SEFIP: Christmas allowance not reported</t>
  </si>
  <si>
    <t>HBRDIRF1 - Employee's name truncated at 40 characters</t>
  </si>
  <si>
    <t>Income Declaration: legal change base year 2011</t>
  </si>
  <si>
    <t>HomologNet: Change on format of Prenotice field</t>
  </si>
  <si>
    <t>RAIS: Legal Change Base Year 2011</t>
  </si>
  <si>
    <t>SEFIP: Names longer than 40 characters are truncated</t>
  </si>
  <si>
    <t>DIRF: legal change base year 2011</t>
  </si>
  <si>
    <t>DIRF: Records longer than 250 characters are truncated</t>
  </si>
  <si>
    <t>YE11: RL1 - Changes to Box G and Box I processing</t>
  </si>
  <si>
    <t>YE11 : Box G value incorrect in case of multiple RL-1 forms</t>
  </si>
  <si>
    <t>YE11:T4 Box24 and Box26 incorrect on registration No change</t>
  </si>
  <si>
    <t>YE11: Box A tag name in xml incorrect for RL2</t>
  </si>
  <si>
    <t>YE11: T4 Box 24 and Box 26 incorrect with multiple reg nos.</t>
  </si>
  <si>
    <t>YE11: Magmedia error for Releve 1</t>
  </si>
  <si>
    <t>WHT for cross-border EE Fr: Incorr postl code for mid-yr chg</t>
  </si>
  <si>
    <t>WHT evaluation: Incorrect entries displayed</t>
  </si>
  <si>
    <t>ISEL: Error if "Create File" parameter is not set</t>
  </si>
  <si>
    <t>LAW2005: Canton of Vaud tax admin cannot read 2D bar code</t>
  </si>
  <si>
    <t>[CL] Vol. Severance Exemption not limited by paid amount</t>
  </si>
  <si>
    <t>[CL]Documentation: Retroactive differences in Payment period</t>
  </si>
  <si>
    <t>[CL] Regular fixed garnishment payment paid at Off-cycle</t>
  </si>
  <si>
    <t>[CL] PREVIRED - Corrections on column 13 (Working Days)</t>
  </si>
  <si>
    <t>[CL] Short Dump at social insurance calculation on offcycle</t>
  </si>
  <si>
    <t>[CL] Wrong proportional health basis calculation</t>
  </si>
  <si>
    <t>[CL] New maximum deductible Health Insurance amount for 2012</t>
  </si>
  <si>
    <t>[CL] Family Allowances wage types generation changes</t>
  </si>
  <si>
    <t>[CL] Legal Gratuity not paid on Termination</t>
  </si>
  <si>
    <t>Message handler: Log cannot be saved</t>
  </si>
  <si>
    <t>SI: Composite SAP Note 2/2012</t>
  </si>
  <si>
    <t>Leave: Enhancing vacatn allowance and previous employer data</t>
  </si>
  <si>
    <t>Gross wage: Wage type codng tchncl wage type for cumulatn 25</t>
  </si>
  <si>
    <t>SFP: Social fund procedure version 6</t>
  </si>
  <si>
    <t>DEUEV(UVMG): Corrections XII</t>
  </si>
  <si>
    <t>DEUEV: Corrections II</t>
  </si>
  <si>
    <t>Year-end legal change 2011/2012 DEUEV: Corrections 2</t>
  </si>
  <si>
    <t>ELENA: Deleting saved data for notification procedure</t>
  </si>
  <si>
    <t>Compensation benefits: Correctns and enhancements (03/2012)</t>
  </si>
  <si>
    <t>EEL: Calculation for wage type /57J is too high</t>
  </si>
  <si>
    <t>Supplement to MuSchG for splits in assessment months</t>
  </si>
  <si>
    <t>Prohibited activities: Termination within payroll</t>
  </si>
  <si>
    <t>AVmG and BVV: Enhancements</t>
  </si>
  <si>
    <t>Garn. Acc.to principle of origin:Remaining debt limit in sim</t>
  </si>
  <si>
    <t>Principle of origin garnishment: Corrections February 2012</t>
  </si>
  <si>
    <t>Garn. acc.to principle of origin : Logging lvl incrsed twice</t>
  </si>
  <si>
    <t>Creating a garnishment: Garnishment number duplicated</t>
  </si>
  <si>
    <t>IT 0112: Repayment sequence</t>
  </si>
  <si>
    <t>Paying office procedure: Error in authorization check</t>
  </si>
  <si>
    <t>SI reporting: Corrections to administrator lists (4)</t>
  </si>
  <si>
    <t>AAG fictitious run/incapacity to work: Corrections V</t>
  </si>
  <si>
    <t>Allowance for early retirees with private HI as of 2012</t>
  </si>
  <si>
    <t>RPCZIHD0: Assignment using insurance policy number fails</t>
  </si>
  <si>
    <t>PI fictitious contribution in sheltered workshops</t>
  </si>
  <si>
    <t>Error in screen control for SRA Master No. in infotype 0521</t>
  </si>
  <si>
    <t>ETStmt: Preventing collection of future empl. tax statements</t>
  </si>
  <si>
    <t>Tax year-end legal change 2011/2012: corrections 06</t>
  </si>
  <si>
    <t>Year-end legal change 2011/2012 tax: Corrections 07</t>
  </si>
  <si>
    <t>ETNotif.: Correcting manually created notifications</t>
  </si>
  <si>
    <t>RPCZFAD0_INBOUND: Display error in log</t>
  </si>
  <si>
    <t>ZfA: ZK01 assignment using child allowance number improved</t>
  </si>
  <si>
    <t>TV FlexAZ: Simulation with report RPCATXD0</t>
  </si>
  <si>
    <t>ZfA: Improvement of dialog box for manual assgmt of ZK01</t>
  </si>
  <si>
    <t>Pblc Srvcs. reg. Rhineland-Palatinate: Cost-of-living adj. I</t>
  </si>
  <si>
    <t>Termination in rule DOH4 in case of paid absence days only</t>
  </si>
  <si>
    <t>Berücksichtigung VL bei Mehrarbeit teilzeitbeschäft. Beamten</t>
  </si>
  <si>
    <t>ZfA: ZK01 notification not assigned due to uppercase letters</t>
  </si>
  <si>
    <t>Reg rmbrsmnts acc. to sect. 10 tty on shring pens. costs - 2</t>
  </si>
  <si>
    <t>Reduction section 57: Automatic amount not updated</t>
  </si>
  <si>
    <t>Maint. Paymt Sec.38 with Pension Sec.55</t>
  </si>
  <si>
    <t>User group not taken into account in screen control</t>
  </si>
  <si>
    <t>Different calculation date is not taken into account</t>
  </si>
  <si>
    <t>Tax exemption for pensions: Regular payment set to zero</t>
  </si>
  <si>
    <t>Activation of subapplications using GPA parameters</t>
  </si>
  <si>
    <t>Amnts of T510 for child bonus for widow's pensn nt considerd</t>
  </si>
  <si>
    <t>Unjustified outgoings for mid-month splits</t>
  </si>
  <si>
    <t>Payroll simulation IT0008 and tax-free contribution amounts</t>
  </si>
  <si>
    <t>Workers' comp.wage statement: Corrections</t>
  </si>
  <si>
    <t>Corrections for statements March 2012</t>
  </si>
  <si>
    <t>TC: Option 'No reportar diferencias bonif.' not working</t>
  </si>
  <si>
    <t>190: Wrong birthday year validation for Biscay and Gipuzkoa</t>
  </si>
  <si>
    <t>CALC: Unpaid absences incorrectly discounted</t>
  </si>
  <si>
    <t>TEMSE: "Error on reading TemSe file" message</t>
  </si>
  <si>
    <t>190: Issues in case of expatriate and national situation</t>
  </si>
  <si>
    <t>190: Dump when processing irregular incomes for Alava</t>
  </si>
  <si>
    <t>CRT2: XML TemSe file in Certific@2 infotype 3231</t>
  </si>
  <si>
    <t>AFI: New BadI for automatisms generation</t>
  </si>
  <si>
    <t>Contributions Amounts 2012</t>
  </si>
  <si>
    <t>DELT@: New field in selection screen for CCC selection</t>
  </si>
  <si>
    <t>Certific@2: wrong extinction/suspension date(TSUSE) for ERE</t>
  </si>
  <si>
    <t>190: Wrong values in the RPC190E0 report</t>
  </si>
  <si>
    <t>Missing Special work relationship information in FAN file</t>
  </si>
  <si>
    <t>TC: Issue with retroactive changes in ERE bonification</t>
  </si>
  <si>
    <t>Certific@2: Wrong end date for ERE certificate in IT3231</t>
  </si>
  <si>
    <t>IRPF 2012 - Legal changes II</t>
  </si>
  <si>
    <t>190: Issue with Total Amount field in new Model 111</t>
  </si>
  <si>
    <t>Off-cycle payroll record not found for IRPF(190) report - II</t>
  </si>
  <si>
    <t>CALC: Bonifications rejected in case of payroll split</t>
  </si>
  <si>
    <t>Wrong new line of irregular incomes reduction for Alava</t>
  </si>
  <si>
    <t>TC: Inconsistent FAN file in case of retroactive changes</t>
  </si>
  <si>
    <t>Bonification method 0011 not valid for contract 540</t>
  </si>
  <si>
    <t>New tax values for keys J(Image)and E(Counsellors)</t>
  </si>
  <si>
    <t>190: Wrong fields filled in 190 Model for Guipuzcoa</t>
  </si>
  <si>
    <t>New bonification method for employees from Ceuta and Melilla</t>
  </si>
  <si>
    <t>190: Wrong value of AHVNR when IRPF flag is not set</t>
  </si>
  <si>
    <t>TC: Empty Incentive group (COLIN) in case of 2 bonifications</t>
  </si>
  <si>
    <t>IRPF: Mandatory regularization reason 11 for IRPF 2012</t>
  </si>
  <si>
    <t>Issue with BRD for fixed-discontinuous</t>
  </si>
  <si>
    <t>Missing entry in search help of RPUTMSE0 report</t>
  </si>
  <si>
    <t>IRPF: wrong MIPAG field when copying a 0062 infotype entry</t>
  </si>
  <si>
    <t>CALC: Issue with regulatory basis for EE in training program</t>
  </si>
  <si>
    <t>IRPF 2012: Wrong Deduction percentage for 51 and 52 regions</t>
  </si>
  <si>
    <t>RED 01/2012</t>
  </si>
  <si>
    <t>Artists Contributions Amounts for 2012</t>
  </si>
  <si>
    <t>IRPF: Mandatory regularization reason 11 for February 1 2012</t>
  </si>
  <si>
    <t>Amount is incorrectly calculated in reports</t>
  </si>
  <si>
    <t>DUCS "corrections"</t>
  </si>
  <si>
    <t>RPLASMF3 EDI : Errors in sections RAPPEL and PRIMES</t>
  </si>
  <si>
    <t>N4DS Corrections 14</t>
  </si>
  <si>
    <t>N4DS amount distribution in case of cluster splits and retro</t>
  </si>
  <si>
    <t>Short dump while creating and downloading a final N4DS file</t>
  </si>
  <si>
    <t>N4DS Corrections 15</t>
  </si>
  <si>
    <t>'Bilan social' 171 and 172 indicators not initialized</t>
  </si>
  <si>
    <t>Several problems in RPUF1HF0</t>
  </si>
  <si>
    <t>Delimit contribution calculation base</t>
  </si>
  <si>
    <t>N4DS Corrections 16</t>
  </si>
  <si>
    <t>N4DS Corrections 17</t>
  </si>
  <si>
    <t>N4DS Runtime Error in 4.6C</t>
  </si>
  <si>
    <t>Documentation Update of the RPUF1GF0 report</t>
  </si>
  <si>
    <t>DN-AC AED</t>
  </si>
  <si>
    <t>No warning message when number of hours are negative</t>
  </si>
  <si>
    <t>Short dump TSV_TNEW_PAGE_ALLOC_FAILED in RPUTMSF0</t>
  </si>
  <si>
    <t>IJSS calculation change for illness</t>
  </si>
  <si>
    <t>Sections S65.G30.40 generated for population code 42</t>
  </si>
  <si>
    <t>N4DS: S80 subsections missing</t>
  </si>
  <si>
    <t>Subrogation data not saved in edi version of work accident</t>
  </si>
  <si>
    <t>Indicator 172 not filled for industrial companies</t>
  </si>
  <si>
    <t>Correction to note 1663960</t>
  </si>
  <si>
    <t>ME: Incorrect tax calculation for week 53, 54, 56 scenario</t>
  </si>
  <si>
    <t>End Of Year legal Changes 2011-12</t>
  </si>
  <si>
    <t>HK IR56E Long Name not correct after applying note 1614734</t>
  </si>
  <si>
    <t>IR56F-item14 and 13 are not be connected</t>
  </si>
  <si>
    <t>PY-HK: MPF Maximum Income Level Change from June 1, 2012</t>
  </si>
  <si>
    <t>IR56B: Issue date for replacement form</t>
  </si>
  <si>
    <t>Functional Cost for Re-hired employee is incorrect</t>
  </si>
  <si>
    <t>Pension Related Development (PRD) DRQ's Effective 2011 (6)</t>
  </si>
  <si>
    <t>PY-IE: Issue with P45 XML for employee address</t>
  </si>
  <si>
    <t>Changes to P45 XML V5 and ADDRS feature in P45 report</t>
  </si>
  <si>
    <t>Pension Related Development (PRD) DRQ's Effective 2011 (8)</t>
  </si>
  <si>
    <t>HINCALC0:Posting issue observed for mid month seperated emp.</t>
  </si>
  <si>
    <t>Provident Fund Details Inconsistent On Payroll Execution</t>
  </si>
  <si>
    <t>Region Code Change For Ptax As Per Government Guidelines</t>
  </si>
  <si>
    <t>HR-IT: Employee selection issue in RPULULI0</t>
  </si>
  <si>
    <t>HR-IT: Runtime error in function IDEDU</t>
  </si>
  <si>
    <t>HR-IT: IT0156 Multiple Municipal Tax code autofill</t>
  </si>
  <si>
    <t>HR-IT: Field label corrections in infotype 0483</t>
  </si>
  <si>
    <t>HR-IT: Addizionale regionale Provincia di Bolzano</t>
  </si>
  <si>
    <t>HR-IT: CUD 2012 Correction Package I</t>
  </si>
  <si>
    <t>HR-IT: Comuni maintenance 2012</t>
  </si>
  <si>
    <t>HR-IT: RPUCUDI0 report is wrongly filling screen fields</t>
  </si>
  <si>
    <t>HR-IT: CUD 2012 Correction Package II</t>
  </si>
  <si>
    <t>RPCRTSJ0: Incorrect Handicapped Flag for Retired Employee</t>
  </si>
  <si>
    <t>Incorrect LIable pay Amount in Payroll Calculation</t>
  </si>
  <si>
    <t>RPLHUOJ0: Acquisition date incorrect when multiple acquired</t>
  </si>
  <si>
    <t>/104 Not Cumulated During Santei/Geppen Evaluation</t>
  </si>
  <si>
    <t>RPCPRTJ0: Employee's details is inconsistent with Summary</t>
  </si>
  <si>
    <t>Medical Exp.&amp;Donation Deduction&amp;Non-taxable Bonus&amp;am</t>
  </si>
  <si>
    <t>Small Biz.Ins.Funds&amp;Prev.Withdrawn Stock Option&amp;Med.</t>
  </si>
  <si>
    <t>EI Premium Deduction(EI01/EI02) &amp; Calculation Method &amp;am</t>
  </si>
  <si>
    <t>Issues for YEA DME, Medical DME and Tax Deferring DME</t>
  </si>
  <si>
    <t>Incorrect Pre-paid Premium in EI Adjustment</t>
  </si>
  <si>
    <t>Political Donation in Donation Receipt &amp; Monthly Rental</t>
  </si>
  <si>
    <t>Employee Housing Saving Incorret in YEA and YED Receipts</t>
  </si>
  <si>
    <t>HKRCDON0: Display Donation Receipt Before YEA</t>
  </si>
  <si>
    <t>[MX] Wrong language in the output screen of HMXCGRB0 report</t>
  </si>
  <si>
    <t>[MX] Infonavit credit "Renueva tu hogar"</t>
  </si>
  <si>
    <t>[MX] SDI - New option for retroactive records in IT0372</t>
  </si>
  <si>
    <t>[MX] Legal change for State Taxes of the state of Oaxaca</t>
  </si>
  <si>
    <t>[MX] Wrong overlapping check of INFONACOT/FONACOT records</t>
  </si>
  <si>
    <t>[MX] Changes in output form and corrections for HMXTRTR0</t>
  </si>
  <si>
    <t>[MX] Information texts incorrect language in HMXCRUT0</t>
  </si>
  <si>
    <t>[MX] HMXCSARPBS - incorrectly date of "Salary Change&amp;qu</t>
  </si>
  <si>
    <t>[MX] Service sheet for employees of public sector</t>
  </si>
  <si>
    <t>Client code and application server file issues in CP39,CP39A</t>
  </si>
  <si>
    <t>PY-MY: Hire date and Termination date during Org Transfer</t>
  </si>
  <si>
    <t>PY-MY: Changes in Borang E, section B in EA form</t>
  </si>
  <si>
    <t>PY-MY : Enabling generation of CP8D old file format</t>
  </si>
  <si>
    <t>Issues in Passport field, Client Code in SOCSO, EPF reports</t>
  </si>
  <si>
    <t>PY-MY:EPF calculation for employees &amp;gt; 55 yrs before Feb 2</t>
  </si>
  <si>
    <t>PY-MY : Issues in reporting of arrears in CP21 form</t>
  </si>
  <si>
    <t>Change to include additional earnings to determine EPF rate</t>
  </si>
  <si>
    <t>WCR: Storage of Data for Previous Years</t>
  </si>
  <si>
    <t>Incorrect maximum tax amount for conversion rules</t>
  </si>
  <si>
    <t>Aangifte LH: Tag PrWgaWhk not filled in XML</t>
  </si>
  <si>
    <t>RPCNETN0: Not all records of infotype 0015 considered</t>
  </si>
  <si>
    <t>Change in documentation of payroll function NLSPR</t>
  </si>
  <si>
    <t>Jaaropgave WN: End Date is earlier than Begin Date</t>
  </si>
  <si>
    <t>Aangifte LH: Corrections for Terminated Legal Persons</t>
  </si>
  <si>
    <t>Jaaropgave WN: Legal Person Selection Not Taken Into Account</t>
  </si>
  <si>
    <t>WCR: Erroneous Authorization Check</t>
  </si>
  <si>
    <t>Jaaropgave WN: Correction in English Translation</t>
  </si>
  <si>
    <t>Jaaropgave WN: Indicator Selection not Taken Into Account</t>
  </si>
  <si>
    <t>NLLA0: Error Message After Correction of Entry Date</t>
  </si>
  <si>
    <t>Aangifte LH: Distribution of SI reductions</t>
  </si>
  <si>
    <t>NLSPR: Warning in NLSPR Although no Saldo Present</t>
  </si>
  <si>
    <t>Issue in output of Report RPCATPV0 and RPLATSV0: Part 2</t>
  </si>
  <si>
    <t>Reimbursement Solution - Issue January 2012</t>
  </si>
  <si>
    <t>RPSSBLV0: Negative pay reported as positive</t>
  </si>
  <si>
    <t>RPLLONV0: Issue with payment type remission</t>
  </si>
  <si>
    <t>Norway ATS(RPCATPV0) - Issues February 2012</t>
  </si>
  <si>
    <t>IT0057: Incorrect Wagetypes in Correction Payroll run</t>
  </si>
  <si>
    <t>Changes to SST reporting: February 2012</t>
  </si>
  <si>
    <t>Considering Quotas in Max Date calculation for Maternity Pay</t>
  </si>
  <si>
    <t>Integration of EVE Dependency with other functionalities</t>
  </si>
  <si>
    <t>Corrections to Spouse Allowance(EVE Override)</t>
  </si>
  <si>
    <t>Entry Level Salary (MINGS) Computed Incorrectly</t>
  </si>
  <si>
    <t>Qualifying assignments check in EVE Mobility calculation</t>
  </si>
  <si>
    <t>Correction to EVE Dependency report output</t>
  </si>
  <si>
    <t>Run Time Error while Computing SPA</t>
  </si>
  <si>
    <t>Special Post Allowance is Computed incorrectly</t>
  </si>
  <si>
    <t>PY-NZ : Adjustments to Superannuation Report</t>
  </si>
  <si>
    <t>PY-NZ : Adjustments to Student Loan/ESCT changes</t>
  </si>
  <si>
    <t>Additional adjustments to Mass Superannuation Update program</t>
  </si>
  <si>
    <t>PY-NZ : Documentation for the Legal changes 2012-2013</t>
  </si>
  <si>
    <t>Employee contribution is incorrect in superannuation report</t>
  </si>
  <si>
    <t>PY-PH: HDMF contribution for semi-monthly payroll</t>
  </si>
  <si>
    <t>Issues in Alphalist reporting amounts on screen &amp; text f</t>
  </si>
  <si>
    <t>PY-PH: Non-taxable amount reporting in BIR 2316 form</t>
  </si>
  <si>
    <t>PY-PH: Non-taxable amount reporting in Alphalist</t>
  </si>
  <si>
    <t>RPCSSRP0: New legal format to declare retrocalculated period</t>
  </si>
  <si>
    <t>Single Report: additional decision fields in feature PTRUT</t>
  </si>
  <si>
    <t>Single Report: Attachment D for Azores</t>
  </si>
  <si>
    <t>PY-PT: IRS Christmas Allowance Surcharge - Corrections VI</t>
  </si>
  <si>
    <t>RPCIIDP0: date in PDF certificate is showed wrongly</t>
  </si>
  <si>
    <t>CGA report: Definition of start date for Actions sit. codes</t>
  </si>
  <si>
    <t>CGA report: Corrections I - 2012</t>
  </si>
  <si>
    <t>PY-PT-PS: Reduction of Christmas and vacation allowances</t>
  </si>
  <si>
    <t>SIADAP: Scale ID description inclusion for IT3218</t>
  </si>
  <si>
    <t>ADSE deduction not created when contract type is Fixed Term</t>
  </si>
  <si>
    <t>SIADAP: Adjust in search help of Scale ID field</t>
  </si>
  <si>
    <t>HR-RU: Relevancy rule for compensation after note 1630087</t>
  </si>
  <si>
    <t>2-NDFL: corrections of displayed data in print-form P310</t>
  </si>
  <si>
    <t>HR-RU: Report HRUURU30 - Uploading old payroll data to SAP</t>
  </si>
  <si>
    <t>Consideration of uninsured periods at sick-list calculation</t>
  </si>
  <si>
    <t>HR-RU: HRULSICK dumps with GETWA_NOT_ASSIGNED exception</t>
  </si>
  <si>
    <t>Tax privileges for non-residents and for winnings</t>
  </si>
  <si>
    <t>HR-RU: HRULICO0 - incorrect results for 12 months</t>
  </si>
  <si>
    <t>Function SNAB -Incorrect Valuation rule for Sickness</t>
  </si>
  <si>
    <t>RPLAMFS0 - Incorrect amounts reported per companycode</t>
  </si>
  <si>
    <t>CPF OW capping for mid period scheme type change</t>
  </si>
  <si>
    <t>PY-SG : Correction to note 1655621</t>
  </si>
  <si>
    <t>IR8A hire fire dates, Sec 19, EE address, IR8S CPF indicator</t>
  </si>
  <si>
    <t>PY-SG-PS: Incorrect shortfall/excess rounding and excess</t>
  </si>
  <si>
    <t>LC-2012: Social security contribution rates and allowance</t>
  </si>
  <si>
    <t>PY-TH: Incorrect rounding difference leading to ABAP dump</t>
  </si>
  <si>
    <t>PY-TH: Correction to Note 1670270</t>
  </si>
  <si>
    <t>PY-TH: Incorrect PFUND table header in case of multiple EEs</t>
  </si>
  <si>
    <t>USCLM:IT recovery in Overpayment not taking gross in consid.</t>
  </si>
  <si>
    <t>3PR: Pennsylvania Act 32 - Evaluation via Payroll Driver</t>
  </si>
  <si>
    <t>3PR: Pennsylvania Act 32 correction documentation.</t>
  </si>
  <si>
    <t>TR: Log Manager enhancement - Employees not considered</t>
  </si>
  <si>
    <t>TR: Changes to Summary form for SUI FL for 2011</t>
  </si>
  <si>
    <t>TR: Year-to-date and Tips for Out-of-State XML FL</t>
  </si>
  <si>
    <t>Year End 2011 latest changes to magnetic media files</t>
  </si>
  <si>
    <t>TR: W-2 Reprint in ESS does not work for 2011</t>
  </si>
  <si>
    <t>TR: RT record not filled for RITA magmedia</t>
  </si>
  <si>
    <t>TR: Checkboxes of box 13 for Form W-2c not selected</t>
  </si>
  <si>
    <t>TAX: Incorrect amount of tax not taken wage types</t>
  </si>
  <si>
    <t>TAX: Connecticut State Income Tax effective Jan. 1, 2012.</t>
  </si>
  <si>
    <t>[VE] Missing entries in table T7VES2</t>
  </si>
  <si>
    <t>Corrections to DAQ External Data API (2)</t>
  </si>
  <si>
    <t>Medical scheme fees tax credit legal change 2012-2013</t>
  </si>
  <si>
    <t>IRP5: PAYE number determination check based on WPBP</t>
  </si>
  <si>
    <t>TC: RED 11/2011 inclusion of training programs in RPCTC0E0</t>
  </si>
  <si>
    <t>HCM: JA translation correction for Yes, No (P22J_DEPEN)</t>
  </si>
  <si>
    <t>SAPKE60447</t>
  </si>
  <si>
    <t>0HR_PA_OS_1: IS_LEADER and CONTROL_SPAN wrongly calculated</t>
  </si>
  <si>
    <t>RPRDTAA0 dumps: CX_SY_IMPORT_MISMATCH_ERROR</t>
  </si>
  <si>
    <t>Ensuring accessibility</t>
  </si>
  <si>
    <t>Departure/Arrival date complement not displayed in WD ABAP</t>
  </si>
  <si>
    <t>IT0367 - Prüfung nach Eingabe fehlt "ELDA Satz &amp; si</t>
  </si>
  <si>
    <t>IT0136: IBAN does not change bank key or bank account</t>
  </si>
  <si>
    <t>IT 0367: Deregistration with dereg. reason 14 not possible</t>
  </si>
  <si>
    <t>HR-AT: RPCKSBA0_MAT error in "Copy" operation</t>
  </si>
  <si>
    <t>Translation for value list on infotype 0016/0109 incomplete</t>
  </si>
  <si>
    <t>Infotype 0101 - Wrong display of ICON text</t>
  </si>
  <si>
    <t>Infotype 0101 - Wrong defaulting in case of cohabitant</t>
  </si>
  <si>
    <t>Checkman warnings in CL_HR_T5F43</t>
  </si>
  <si>
    <t>IT2001 might not be deleted when deleting IT0080 or IT0424</t>
  </si>
  <si>
    <t>Trainer costs into TNM</t>
  </si>
  <si>
    <t>Modify RC of TN after attendance maintenance</t>
  </si>
  <si>
    <t>No default time data in case the D object is not saved</t>
  </si>
  <si>
    <t>IT1681: table IT part not correctly refreshed in PP01</t>
  </si>
  <si>
    <t>Tabstrip "Reporting" additional changes</t>
  </si>
  <si>
    <t>TNM Booking Process, additional changes</t>
  </si>
  <si>
    <t>Copy action from TNM transaction, additional change</t>
  </si>
  <si>
    <t>TNM, quota mngt: issue with quota tabstrip display (2)</t>
  </si>
  <si>
    <t>TNM, IT1686: "Language-Specific" field wrongly def</t>
  </si>
  <si>
    <t>RPTZKMN2: New UWV Forms Q1/2012</t>
  </si>
  <si>
    <t>HR-RU Legal Change: Form 4-FSS (Order N216N, 12.03.2012)</t>
  </si>
  <si>
    <t>SZV-6-3: sums in the rejecting form</t>
  </si>
  <si>
    <t>RSV-1: Legal change, order 232n at 15.03.2012</t>
  </si>
  <si>
    <t>IT0006:Field Village, Nbhd, Street be Transfered double-byte</t>
  </si>
  <si>
    <t>CHK_FULLTY: Different parameters in FORM and PERFORM</t>
  </si>
  <si>
    <t>RBM: Corrections / enhancements MZ01 (1/2012)</t>
  </si>
  <si>
    <t>CPS: Minor Corrections (03/2012)</t>
  </si>
  <si>
    <t>Multiple event records delete while running Moveup</t>
  </si>
  <si>
    <t>Values not defaulted for Regulatory Compliance(IT1681)</t>
  </si>
  <si>
    <t>Incorrect cost center displayed in transaction LSO_PV18</t>
  </si>
  <si>
    <t>PP61: Information missing in error messages</t>
  </si>
  <si>
    <t>[AR] SAC is not generated in new ART calculation</t>
  </si>
  <si>
    <t>[AR] ARSES - Vacation compensation in AJUS off-cycle</t>
  </si>
  <si>
    <t>[AR] Duplicated amounts in SICOSS report</t>
  </si>
  <si>
    <t>[AR] Update Min. &amp; Max. Social Insurance for SUSS - Mar/</t>
  </si>
  <si>
    <t>MP036700: Fehlende Verprobung für Abmeldegrund (AGRD0)</t>
  </si>
  <si>
    <t>HR-AT: Teilzeit vor Beginn der Altersteilzeit</t>
  </si>
  <si>
    <t>BV: BZU Zuordnung in Operation ABMVA</t>
  </si>
  <si>
    <t>JW 2011/12 Nachtrag : Montageprivileg (Neuordnung für 2012)</t>
  </si>
  <si>
    <t>HR-AT: RPCBETA1 Finanzamt und Arbeitgebernummer Ermittl.</t>
  </si>
  <si>
    <t>UEKV e-card Gebühr: BAdI für Ausnahmefälle</t>
  </si>
  <si>
    <t>Betriebsratsumlageliste RPCBRUA1 - Text Empfängerschlüssel</t>
  </si>
  <si>
    <t>SV: Operation ASVTG - Parameter "S" (SV und WPBP s</t>
  </si>
  <si>
    <t>Aufstockungsbetrag ATZ bis auf Weiteres KS/DB/DZ-pflichtig</t>
  </si>
  <si>
    <t>UEKV: Lohnsteuer BMG bei Vergleichszahlung fehlerhaft</t>
  </si>
  <si>
    <t>Formular HR_AT_LZ_GLZ_03 - Rechtschreibfehler</t>
  </si>
  <si>
    <t>JW 2011/12: Lohnzettel 23 wegen Montageprivileg (2012)</t>
  </si>
  <si>
    <t>IT0367: Abmeldung ohne Vorbelegungen des Feldes Ende Besch</t>
  </si>
  <si>
    <t>UEKV - fehlerhafte Berechnung bei inaktivem WPBP-Split</t>
  </si>
  <si>
    <t>ELDA: Personalnummer bei Referenznummer LZ SV ergänzt</t>
  </si>
  <si>
    <t>UE über Jahreswechsel mit geschlossenem Verwaltungssatz</t>
  </si>
  <si>
    <t>UEKV: UE nicht berechnet bei Abbruch in Simulation</t>
  </si>
  <si>
    <t>Lohnartenbeschriftung und -dokumentation /9ZG und /9ZH</t>
  </si>
  <si>
    <t>PCALZ: Druck Lohnzettel</t>
  </si>
  <si>
    <t>PCALZ: Err. 5O533 Steuernummer xx aus T5A2L nicht in T5A0A</t>
  </si>
  <si>
    <t>SV BVA: Aufbau SV_TAB bei HBG-Überschreitung fehlerhaft</t>
  </si>
  <si>
    <t>UEKV: Steuerberechnung bei Kündigungsentschädigung RRVJ</t>
  </si>
  <si>
    <t>JW 2011/12: Auslieferung Montageprivileg (2012)</t>
  </si>
  <si>
    <t>PCALZ: Verbesserung Prüfvorschriften</t>
  </si>
  <si>
    <t>KB B2A: Nachbesserung mit diversen Problemen (2)</t>
  </si>
  <si>
    <t>Pflegeview V_T5A2H für Teilapplikation SVO geöffnet</t>
  </si>
  <si>
    <t>Funktion ANAB / unnötige SV-Splits</t>
  </si>
  <si>
    <t>SV ÖD: SV Berechnung bei unbezahltem Urlaub zu Lasten DN</t>
  </si>
  <si>
    <t>SGC calc for employees under age 18</t>
  </si>
  <si>
    <t>Change in Payroll Area - error in Report "RPCIPE00&amp;quot</t>
  </si>
  <si>
    <t>Leave Loading changes for retro runs across financial year</t>
  </si>
  <si>
    <t>Incorrect /116 and /ARF in retro scenarios</t>
  </si>
  <si>
    <t>Wagetype /130 is not cumulated to CRT</t>
  </si>
  <si>
    <t>Issue with Super in retro when there are indirectly val. WTs</t>
  </si>
  <si>
    <t>Private Health Insurance Extra Tax is not calculated</t>
  </si>
  <si>
    <t>Incorrect tax in mid period company code change</t>
  </si>
  <si>
    <t>Incorrect Lump sum A tax on separation</t>
  </si>
  <si>
    <t>Rollover Wagetype not generated during Post Update ETP</t>
  </si>
  <si>
    <t>Payment Summary: Changes for Allowances and Lump Sum E</t>
  </si>
  <si>
    <t>Incorrect tax due to fixed tax earnings.</t>
  </si>
  <si>
    <t>Incorrect tax in advance pay report.</t>
  </si>
  <si>
    <t>Off-Cycle Super Contribution removed during retro payrun</t>
  </si>
  <si>
    <t>Tax refund wagetype /ARF, generated within Financial Year</t>
  </si>
  <si>
    <t>Amendment to note 1682965</t>
  </si>
  <si>
    <t>Wagetype /116 incorrectly updated with bonus payment amount</t>
  </si>
  <si>
    <t>Payroll Dumps when there are WPBP or Infotype 0220 splits</t>
  </si>
  <si>
    <t>Missing corrections for 2012 legal changes (CE)</t>
  </si>
  <si>
    <t>PIF - Employee Status Effective Date</t>
  </si>
  <si>
    <t>Short Dump for simulated leave in PA0573</t>
  </si>
  <si>
    <t>Dismissal - Taxable Exemption</t>
  </si>
  <si>
    <t>Company Car : B0442 Adaptation Valid May 2012</t>
  </si>
  <si>
    <t>Legal changes for DmfA/DmfAPPL 2012 Quarter 1</t>
  </si>
  <si>
    <t>DeCavaA - Indexation Social Benefit Allowances</t>
  </si>
  <si>
    <t>Guaranteed wage limits: 3rd - 4th week illness</t>
  </si>
  <si>
    <t>Dismissal Allowaces by montly payments: Remunerat. Code 000</t>
  </si>
  <si>
    <t>Belgian Banktape - Communication truncated</t>
  </si>
  <si>
    <t>BELCOTAX: Legal Changes at February 2012 for incomes on 2011</t>
  </si>
  <si>
    <t>Wagetype /A01 NOT to be displayed on Individual Account</t>
  </si>
  <si>
    <t>Garnishment - Alimony not applied on Dismissal Allowance</t>
  </si>
  <si>
    <t>BELCOTAX: Wage type evaluation corrections</t>
  </si>
  <si>
    <t>BELCOTAX: Fiche 281.10 - Correction for zone 2.102</t>
  </si>
  <si>
    <t>Dimona - B2A Manager - Force Process to be Stopped</t>
  </si>
  <si>
    <t>BELCOTAX: Fiches counting, totals and control on totals</t>
  </si>
  <si>
    <t>Dimona - B2A Manager - Force process - Corrective Note</t>
  </si>
  <si>
    <t>DmfA(PPL): Legal Changes in Notification File 2012 Quarter 1</t>
  </si>
  <si>
    <t>Public Sector: Student Actual Days Payroll Check</t>
  </si>
  <si>
    <t>Notice period proportional to employee's seniority</t>
  </si>
  <si>
    <t>HCMBR Objects - Employee &amp; infty abstraction for BR repo</t>
  </si>
  <si>
    <t>HBRRAIS0 - Organizational reassignment not being reported</t>
  </si>
  <si>
    <t>HCM BR - Output Framework: performance corrections</t>
  </si>
  <si>
    <t>Income Declaration: documentation for 2011 legal change</t>
  </si>
  <si>
    <t>GRSUP:Gross up calculation incorrect on certain conditions</t>
  </si>
  <si>
    <t>YE11 : Change of QC Tax ID results in incorrect RL1 - Box G</t>
  </si>
  <si>
    <t>YE11: MODIFIE not printed on 2010 and earlier forms</t>
  </si>
  <si>
    <t>YE11:YE Report does not generate amendment during SIN change</t>
  </si>
  <si>
    <t>YE11: RL-1 Box 08 not generating for 2011 onwards</t>
  </si>
  <si>
    <t>HR-CH: BAdI for wage statement (RPLLAWC2), cust. enhancement</t>
  </si>
  <si>
    <t>ISEL: Access to incorrect infotype record 0006</t>
  </si>
  <si>
    <t>Withholding tax Vaud: Missing check for rule C8</t>
  </si>
  <si>
    <t>Obsolete reports</t>
  </si>
  <si>
    <t>[CL] Incorrect reference date for old regime</t>
  </si>
  <si>
    <t>[CL] Incorrect Subtotal amount in AFP report</t>
  </si>
  <si>
    <t>[CL] Incorrect personnel movement date in PREVIRED report</t>
  </si>
  <si>
    <t>[CL] Old regimen not considered in Medical Leaves processing</t>
  </si>
  <si>
    <t>[CL] PREVIRED report is processing inactive Payroll periods</t>
  </si>
  <si>
    <t>[CL] Chilean legal reports customizing changes</t>
  </si>
  <si>
    <t>[CL] Incorrect SENSE basis wage type</t>
  </si>
  <si>
    <t>[CL] Missing Employer data in ISAPRE report output form</t>
  </si>
  <si>
    <t>[CL] Wrong retroactive differences in Payroll function CLRTR</t>
  </si>
  <si>
    <t>[CL] Incorrect Reliquidation differences for cumulated WTs</t>
  </si>
  <si>
    <t>Year End Tax Declaration Report Enhancement</t>
  </si>
  <si>
    <t>RPCALCD0: Error reading partial-day absences</t>
  </si>
  <si>
    <t>Termination in payroll function DAB without error text</t>
  </si>
  <si>
    <t>Wage type /412 in DAB for change of statement period</t>
  </si>
  <si>
    <t>DEUEV immediate notifications (02/2012)</t>
  </si>
  <si>
    <t>Leave with IT 2006: Leaving and delimited IT 2006</t>
  </si>
  <si>
    <t>DEUEV(UVMG): Corrections XIII</t>
  </si>
  <si>
    <t>DEUEV occupational code TS2010: Corrections VIII</t>
  </si>
  <si>
    <t>DEUEV: Corrections III</t>
  </si>
  <si>
    <t>EEL: Determination of the last specific payroll dates III</t>
  </si>
  <si>
    <t>EEL: Process view - corrections and enhancements 3</t>
  </si>
  <si>
    <t>EEL: Corrections to notification processing and assignment</t>
  </si>
  <si>
    <t>EEL: Corrections and enhancements (04/2012)</t>
  </si>
  <si>
    <t>EEL: Error message "No entry in table V_T596M..."</t>
  </si>
  <si>
    <t>Compensation benefits: Index for data record ID in DSLW</t>
  </si>
  <si>
    <t>EEL: Unrequird correction notificatn due to data module DBAW</t>
  </si>
  <si>
    <t>EEL: Incorrect period in data module DBAE</t>
  </si>
  <si>
    <t>ZMV: HI fund notificatn with submission reason 5 nt supprted</t>
  </si>
  <si>
    <t>EEL: Process view - determination of absence date</t>
  </si>
  <si>
    <t>Missing termin. for retro acctg before earliest RA period</t>
  </si>
  <si>
    <t>Prohibited activities in MuschG basis month (future changes)</t>
  </si>
  <si>
    <t>BVV: Corrections 03 2012</t>
  </si>
  <si>
    <t>Garn. Acc. to prncple of origin: Rem. debt limit in corr sim</t>
  </si>
  <si>
    <t>Garn. Acc.to princ of orig:No repaymnt of private bankruptcy</t>
  </si>
  <si>
    <t>Principle of orign garn.: Incorr calc. w/ sevrl maint. garn.</t>
  </si>
  <si>
    <t>PPO contrib. survey: Correction of storage of wage type /3V6</t>
  </si>
  <si>
    <t>PY-DE: Authorization check in reports</t>
  </si>
  <si>
    <t>Concurrent employment as of January 01, 2012</t>
  </si>
  <si>
    <t>Checking standard age limit</t>
  </si>
  <si>
    <t>AAG fictitious run/incapacity to work: Corrections VI</t>
  </si>
  <si>
    <t>Employment tax statement: Corrections 03 2012</t>
  </si>
  <si>
    <t>Mid-month change of tax liability of pension recipients</t>
  </si>
  <si>
    <t>Year-end legal change 2011/2012 for tax: Corrections 08</t>
  </si>
  <si>
    <t>Employment tax statement:Rejectn for zero report w/ RPCTXZD0</t>
  </si>
  <si>
    <t>Section 3b: Stable sorting of time intervals</t>
  </si>
  <si>
    <t>ETStmt: Line 22b (employer contr. to professionals pension)</t>
  </si>
  <si>
    <t>RPITRF01: Termination in case of error in indirect valuation</t>
  </si>
  <si>
    <t>ZfA: BAdI for checking the automatic assignment of ZK01</t>
  </si>
  <si>
    <t>ZfAL ZK01 notifications with the same Zusy ID</t>
  </si>
  <si>
    <t>ZfA: BZ01 notifications with pension payment EUR 0.00</t>
  </si>
  <si>
    <t>Pub Serv reg. Rheinland-Pfalz: Cost-of-living adjustment II</t>
  </si>
  <si>
    <t>Activty w/ higher pay &amp; Public Services reform for emplo</t>
  </si>
  <si>
    <t>ZfA: BZ02 status (waiting/completed) not filled</t>
  </si>
  <si>
    <t>Correcting CFS for OT for part-time public sec. employees</t>
  </si>
  <si>
    <t>TV FlexAZ: Processing capital formation savings payments</t>
  </si>
  <si>
    <t>TVOED, TV-L in infotype 0052 (Wage Maintenance)</t>
  </si>
  <si>
    <t>TV FlexAZ: Capping on income threshold</t>
  </si>
  <si>
    <t>Text for field P0595-OZGRD missing in query</t>
  </si>
  <si>
    <t>TDMS for pension admin + retro pension insurance admin II</t>
  </si>
  <si>
    <t>Treaty on the sharing of pension costs (15)</t>
  </si>
  <si>
    <t>Treaty on the sharing of pension costs (16)</t>
  </si>
  <si>
    <t>Regular Reimbursement According to Sec.10 VersStaatsV - 3</t>
  </si>
  <si>
    <t>Incorr rounding of increases before section 14a acc.to 8 adj</t>
  </si>
  <si>
    <t>Term. of assess. of act. deceased pers. w/ pds of tert.educ.</t>
  </si>
  <si>
    <t>RPLRZAD0: Error w/ field RRBTR/RRWAE during BI processing</t>
  </si>
  <si>
    <t>RPLEHAD3 Calculation of weekly working time</t>
  </si>
  <si>
    <t>RPLEHAD3: Exceptions for interns</t>
  </si>
  <si>
    <t>RPLEHAD3: Trainees; incorr strt of traineeship in directory</t>
  </si>
  <si>
    <t>Corrections for statements 04/2012</t>
  </si>
  <si>
    <t>New irregular income treatment for payment in kind to Biscay</t>
  </si>
  <si>
    <t>Artists: duplicated amounts on BA06 segment for VND</t>
  </si>
  <si>
    <t>RPCTC0E0: wrong number of days for complementaries with VND</t>
  </si>
  <si>
    <t>190: Wrong region information on TemSe file visualization</t>
  </si>
  <si>
    <t>Issues in RPIGA0E0 after application of SAP note 1568678</t>
  </si>
  <si>
    <t>190: Wrong warning message when processing arrears</t>
  </si>
  <si>
    <t>TC: BONIR field incorrectly filled with expired bonification</t>
  </si>
  <si>
    <t>IGA: Warning message changed in case of regul. of reason 11</t>
  </si>
  <si>
    <t>IRPF 2012 - Tax percentages for Alava</t>
  </si>
  <si>
    <t>IRPF 2012 - Wrong values in V_5E40_A view for Gipuzkoa</t>
  </si>
  <si>
    <t>CALC: Training Program employees included in prorate</t>
  </si>
  <si>
    <t>RPCEDTE0: Wrong TPCCO field for training program employee</t>
  </si>
  <si>
    <t>190: Truncated fields in Deduction Certificate</t>
  </si>
  <si>
    <t>AFI: RED 6/2011 - Part II</t>
  </si>
  <si>
    <t>DELT@: Municipality field not editable in "Place"</t>
  </si>
  <si>
    <t>TC: Issue with bonification and unpaid absence</t>
  </si>
  <si>
    <t>CALC: Unpaid absences discounted incorrectly in bonification</t>
  </si>
  <si>
    <t>Short dump in Company Certificates ERE</t>
  </si>
  <si>
    <t>CRT2: Error with non-taken vacations with negative basis</t>
  </si>
  <si>
    <t>CRT2: Employees with payroll simulation error in output log</t>
  </si>
  <si>
    <t>CALC: Incorrect negative amount for /399 wage type</t>
  </si>
  <si>
    <t>Wrong validity of 0055 bonification method</t>
  </si>
  <si>
    <t>IRPF 2012 - Tax percentages for Navarra</t>
  </si>
  <si>
    <t>DELT@: Change in selection screen for CCC selection</t>
  </si>
  <si>
    <t>TC: Doubled days of non-taken vacations</t>
  </si>
  <si>
    <t>IRPF: Wrong deduction perc. for 51 and 52 after note 1682124</t>
  </si>
  <si>
    <t>CRT2: Added button to 3231 infotype for XML TemSe files</t>
  </si>
  <si>
    <t>TC: MPG segment with no Payment mode in "Saldo acreedor</t>
  </si>
  <si>
    <t>CALC: Employee unemployment not considered for reductions</t>
  </si>
  <si>
    <t>190: Missing "N.I.F. del beneficiario minusválido"</t>
  </si>
  <si>
    <t>CALC: HR_ES_FILL_PROP_NISSE_DATA is not generating proposal</t>
  </si>
  <si>
    <t>Increase formula in 0093 method for temporary contracts</t>
  </si>
  <si>
    <t>Delt@: Correction of CNTRT field for infotype 0968 subtype 2</t>
  </si>
  <si>
    <t>TC: Doubled number of days in additional settlement</t>
  </si>
  <si>
    <t>Indemnity payment for disabled employees with 530 contract</t>
  </si>
  <si>
    <t>Contrat@: Changes of Royal Decree-Law 3/2012</t>
  </si>
  <si>
    <t>Infotype 0090: wrong definition of IRPF percentage in 02/12</t>
  </si>
  <si>
    <t>IRPF: regularization reason 11 for expatriate situation</t>
  </si>
  <si>
    <t>190: Error in HTML list for 216 Model</t>
  </si>
  <si>
    <t>Change in Overtime Report Selection Screen</t>
  </si>
  <si>
    <t>Finland ATS report - Incorrect Data in Reconciliation</t>
  </si>
  <si>
    <t>Finland MTS report - Incorrect Data in Reconciliation</t>
  </si>
  <si>
    <t>Forfait social: contribution for 'prévoyance'</t>
  </si>
  <si>
    <t>DN-AC AED / 2</t>
  </si>
  <si>
    <t>Indicator 172 not filled for industrial entreprise</t>
  </si>
  <si>
    <t>PY-FR: It is impossible to delimit the infotype 0272</t>
  </si>
  <si>
    <t>DN-AC AED / 3</t>
  </si>
  <si>
    <t>Indicator 171 not filled for industrial entreprise</t>
  </si>
  <si>
    <t>Ceiling of IJSS: SMIC amount read at payment date</t>
  </si>
  <si>
    <t>Error in FM HR_FR_EDI_CREATE_ENVELOPE_FILE</t>
  </si>
  <si>
    <t>Determination of  local regime Alsace Moselle</t>
  </si>
  <si>
    <t>PY-FR: It is impossible to delimit the infotype 0272 - II</t>
  </si>
  <si>
    <t>Missing leave reasons in RPLAASF1</t>
  </si>
  <si>
    <t>Public servant with undefined situation in RPIAVEF0PBS</t>
  </si>
  <si>
    <t>Real Time Information</t>
  </si>
  <si>
    <t>HR GB: Real Time Information legal change Anouncement</t>
  </si>
  <si>
    <t>Error with incoming P6 form processing</t>
  </si>
  <si>
    <t>HRGBPS: Public Sector Pensions (April 1st 2012)</t>
  </si>
  <si>
    <t>HRGBPS: LGPS Pension Contributions Reporting</t>
  </si>
  <si>
    <t>Issues related to P11D processing</t>
  </si>
  <si>
    <t>IR56B/E/F/G: Form Submission Date</t>
  </si>
  <si>
    <t>IR56E/F/G Tax Form Footer Alignment (SAPScript Form)</t>
  </si>
  <si>
    <t>HK IR56E field 'Address of Employer' is not updated</t>
  </si>
  <si>
    <t>change the PDF format of IR56E,IR56F,IR56G forms' footer</t>
  </si>
  <si>
    <t>PRSI subclass is incorrect in rare case scenarios,</t>
  </si>
  <si>
    <t>Supplementary P45 is not generated for -ve PRSI paid in RT.</t>
  </si>
  <si>
    <t>Wagetypes created for USCP45 Pay and USCP45 Deducted figures</t>
  </si>
  <si>
    <t>PY-IE : Minor bugs related to USC late Payments for Leavers.</t>
  </si>
  <si>
    <t>PY:IE Minor bugs related to USC late Payments for Leavers(2)</t>
  </si>
  <si>
    <t>Pension Related Development (PRD) DRQ's Effective 2011 (9)</t>
  </si>
  <si>
    <t>PY:IE Minor bugs related to Payroll processing of P45 data.</t>
  </si>
  <si>
    <t>Missing Entries in T50BS table</t>
  </si>
  <si>
    <t>EPS FORM 7:Rate of contribution and commencement date</t>
  </si>
  <si>
    <t>Company name is not displayed completely on Form 16</t>
  </si>
  <si>
    <t>F24Q inconsistent when more than 9 actions performed on empl</t>
  </si>
  <si>
    <t>CIT address not getting displayed completely on Form 16</t>
  </si>
  <si>
    <t>Form 16: Perquisite amount getting doubled on execution</t>
  </si>
  <si>
    <t>HINCALC0: PTax deductions inconsistent for terminated Ee's</t>
  </si>
  <si>
    <t>Alternate financial year (AFY) switch active by default</t>
  </si>
  <si>
    <t>Multiple Form 16:Reporting Original Result For Transfer Case</t>
  </si>
  <si>
    <t>HR-IT: Wrong consideration using DETAS function</t>
  </si>
  <si>
    <t>HR-IT: Dump generated while reading table T5ITWC.</t>
  </si>
  <si>
    <t>HR-IT: CUD - Missing box number in V_T5ITUI_CUD search help</t>
  </si>
  <si>
    <t>HR-IT: UniEmens 1.2.5</t>
  </si>
  <si>
    <t>RPCRTXJ0: Retirement Amount incomplete When over 4 Digits</t>
  </si>
  <si>
    <t>Enhancement of Santei/Geppen Evaluation Functions</t>
  </si>
  <si>
    <t>Correction of variable wage amount for hourly wage earner</t>
  </si>
  <si>
    <t>RPCPRTJ0: Incorrect Residence Tax Assignment and Address</t>
  </si>
  <si>
    <t>Incorrect YEA results for Adjustment Wage Types on IT0146</t>
  </si>
  <si>
    <t>Payroll Operation JCNTR Becomes Obsolete</t>
  </si>
  <si>
    <t>Incorrect Retro SI Premiums &amp; Income Tax for Non-residen</t>
  </si>
  <si>
    <t>Additional Changes for Santei/Geppen Evaluation</t>
  </si>
  <si>
    <t>Donation DME Generation&amp;Carry over Donation in /Y64</t>
  </si>
  <si>
    <t>Prorate EI Premium if EI Status Changes &amp; NP Base Wage T</t>
  </si>
  <si>
    <t>2011YEA: Corrections on the Seperation DME</t>
  </si>
  <si>
    <t>Adjust Housing Saving Deduction Order during YEA Calculation</t>
  </si>
  <si>
    <t>LC2012: Non-taxable Allowance for Overtime and Overseas</t>
  </si>
  <si>
    <t>Taxpayer Indicator&amp;Non-taxable allowance in YEA DME</t>
  </si>
  <si>
    <t>LC2012: Workers'Compensation Insurance Premium Rates Changes</t>
  </si>
  <si>
    <t>Cannot Find Business Place for EE with Multiple Company Code</t>
  </si>
  <si>
    <t>Overseas Worker Allowance is Minus If Minus Taxable Income</t>
  </si>
  <si>
    <t>Can not Read IT0543 Earlier than Earliest Retro Acctg Period</t>
  </si>
  <si>
    <t>[MX] Incorrect Christmas bonus in Retroactive calculation</t>
  </si>
  <si>
    <t>[MX] SDI - Timeout error when checking incapacities</t>
  </si>
  <si>
    <t>[MX] Update in the State Tax Table for Campeche</t>
  </si>
  <si>
    <t>[MX] Enhancements in HMXTRTR0</t>
  </si>
  <si>
    <t>[MX] Additional State Tax for Chihuahua</t>
  </si>
  <si>
    <t>[MX] Wagetypes /47+ are not processed for Annual Tax Adjust.</t>
  </si>
  <si>
    <t>[MX] Incorrect Christmas Bonus rate in retroactivity</t>
  </si>
  <si>
    <t>[MX] Incorrect processing period in HMXCIES0 report</t>
  </si>
  <si>
    <t>Issues in downloading SOCSO 8B files to application server</t>
  </si>
  <si>
    <t>Incorrect reporting of leave passage, BIK, dates in EA form</t>
  </si>
  <si>
    <t>PY-MY : Arithmetic overflow error at Run Time</t>
  </si>
  <si>
    <t>LC-2012 PY-MY: Borang E form layout changes</t>
  </si>
  <si>
    <t>JWN: Incorrect reading of Employee Language for 2010</t>
  </si>
  <si>
    <t>Jaaropgave WN: Employees with retroactive JUPER changes</t>
  </si>
  <si>
    <t>Relatiemanagement: Add IBAN</t>
  </si>
  <si>
    <t>WCR: Incorrect selection via legal person in RPLWCON0</t>
  </si>
  <si>
    <t>Altinn 2 Changes to ERC Reporting</t>
  </si>
  <si>
    <t>Errors in Report RPURMBV0</t>
  </si>
  <si>
    <t>Reimbursement - Handling of Undocumented Sickness</t>
  </si>
  <si>
    <t>Norway ATS report - Incorrect Data in Reconciliation</t>
  </si>
  <si>
    <t>Norway ERC report - Incorrect Data in Reconciliation</t>
  </si>
  <si>
    <t>Wrong output of report RPLATSV0 with 'Postal code' sorting</t>
  </si>
  <si>
    <t>Issue with union deductions in payroll function VTR57</t>
  </si>
  <si>
    <t>Postal code check for countries other than NO</t>
  </si>
  <si>
    <t>RPLGARV0: Amount in the output gets doubled incorrectly</t>
  </si>
  <si>
    <t>RPLLONV0 - Cleared loans are missing in the output generated</t>
  </si>
  <si>
    <t>Rounding issue for wage type /441 in off-cycle payroll run</t>
  </si>
  <si>
    <t>Changes to SST reporting: March 2012</t>
  </si>
  <si>
    <t>Corrections to Cost Center Search Help HRPADUN_KOSTWO2</t>
  </si>
  <si>
    <t>Corrections to Currency conversion in EVE</t>
  </si>
  <si>
    <t>Corrections to Post adjustment computation in EVE</t>
  </si>
  <si>
    <t>Corrections to Entitlement Validation Engine data container</t>
  </si>
  <si>
    <t>Rental Subsidy amount is incorrect for part time employees</t>
  </si>
  <si>
    <t>Corrections to EVE Dependency Report in Eligibility mode</t>
  </si>
  <si>
    <t>Enhancement to EVE Override functionality - Deny Entitlement</t>
  </si>
  <si>
    <t>Rental subsidy amount is incorrect when /156 splits</t>
  </si>
  <si>
    <t>Error in payroll when spouse duty station is not maintained</t>
  </si>
  <si>
    <t>Child Allowance is Paid Twice when Child &amp; Stepchild Pre</t>
  </si>
  <si>
    <t>EVE Attribute CHEAR: BAdi HRPAY99_CURR_CONV is not handled</t>
  </si>
  <si>
    <t>Attribute INTER incorrectly computed</t>
  </si>
  <si>
    <t>Wrong exception reporting, enhancements to pretax deduction</t>
  </si>
  <si>
    <t>PY-NZ - Adjustments to Student Loan Legal Changes 2012-2013</t>
  </si>
  <si>
    <t>Incorrect super contribution % in rate field of wagetype</t>
  </si>
  <si>
    <t>Additional modifications to Superannuation Update program</t>
  </si>
  <si>
    <t>Gross/Net wagetype are not generated for the super funds</t>
  </si>
  <si>
    <t>PY-NZ:KED report not showing Employees eligibility correctly</t>
  </si>
  <si>
    <t>HNZLUPDSA0 updates Infotype 0310 in simulation mode</t>
  </si>
  <si>
    <t>PY-NZ: Leave Liability calculation is incorrect</t>
  </si>
  <si>
    <t>PY-NZ: "Unable to read table T7NZLL" error in Func</t>
  </si>
  <si>
    <t>Incorrect superannuation split is fetched in function P0310</t>
  </si>
  <si>
    <t>HNZLUPDSA0:Generic issues related to O/P display and update</t>
  </si>
  <si>
    <t>PY-NZ: Error in function P0310 when KiwiSaver is opted out</t>
  </si>
  <si>
    <t>RPCOVRP0: Rest equaliza field is not filled correctly</t>
  </si>
  <si>
    <t>Wrong validations on both Individual and Annual Income Dec.</t>
  </si>
  <si>
    <t>Extraordinary surcharge for income category H2 and H3</t>
  </si>
  <si>
    <t>Adjust in Family Allowance for children under 1 year</t>
  </si>
  <si>
    <t>Single parent benefit does not consider student grant amount</t>
  </si>
  <si>
    <t>PY-PT-PS: reduction of CA and VA - corrections I</t>
  </si>
  <si>
    <t>CGA: negative value for situation code 20 are wrongly logged</t>
  </si>
  <si>
    <t>LC: new IRS tables for public sector employees</t>
  </si>
  <si>
    <t>CGA report: Corrections II - 2012</t>
  </si>
  <si>
    <t>Family allowance for 24 years dependents</t>
  </si>
  <si>
    <t>HR-RU: wrong processing of /02I during correction run</t>
  </si>
  <si>
    <t>HR-RU: Issues with compensation of parental leave 1,5 years</t>
  </si>
  <si>
    <t>HR-RU: SETCU incorrectly prepares CRT after off-cycle</t>
  </si>
  <si>
    <t>HR-RU: Calculation of WT /876 in RUF4 in split period</t>
  </si>
  <si>
    <t>HR-RU: Dump with Conditions for Table Reading in DAQ</t>
  </si>
  <si>
    <t>2-NDFL: Corrections of XML file prepared with the form E_T4</t>
  </si>
  <si>
    <t>Type 'L' processing in split periods with retro-calculation</t>
  </si>
  <si>
    <t>HR-RU: Off-cycle calculation of vacations at mass run</t>
  </si>
  <si>
    <t>Calculation of earnings for 2 years (CE)</t>
  </si>
  <si>
    <t>HR-RU: Accuracy of reference interest rate calculation</t>
  </si>
  <si>
    <t>HR-RU:SI payments for foreigners by international agreements</t>
  </si>
  <si>
    <t>HR-RU: Loans in currency different from salary currency</t>
  </si>
  <si>
    <t>LO event start date for mid-period Juper change/ rehiring</t>
  </si>
  <si>
    <t>Sweden ATS report - Incorrect Data in Reconciliation</t>
  </si>
  <si>
    <t>Sweden MTS report - Incorrect Data in Reconciliation</t>
  </si>
  <si>
    <t>RPISIFS0: Parameter 'File name' issue with the popup</t>
  </si>
  <si>
    <t>Report RPSSBMS0 shows incorrect salary in some cases</t>
  </si>
  <si>
    <t>Relevance rule for Blue collar employee current year</t>
  </si>
  <si>
    <t>VACS table the year is incorrect</t>
  </si>
  <si>
    <t>CPF shortfall/excess calculation for specific cases</t>
  </si>
  <si>
    <t>CPF calculation for period after termination</t>
  </si>
  <si>
    <t>PY-SG: Company transfer, IR8A/8E forms, Insurance premium</t>
  </si>
  <si>
    <t>CPF OW base for wage &amp;lt; 1500 and age &amp;gt; 35</t>
  </si>
  <si>
    <t>Shortfall/excess for payroll after offcycle</t>
  </si>
  <si>
    <t>PY-SG: Correction to note 1642508</t>
  </si>
  <si>
    <t>IR8A Appendix 8A - OHQ status issue</t>
  </si>
  <si>
    <t>PY-SG: BIK and gratuity rounding in IR8A PAT file</t>
  </si>
  <si>
    <t>USCLM: Arithmetic overflow dump in USCLM function processing</t>
  </si>
  <si>
    <t>MSC: Line breaks in Prenotification report</t>
  </si>
  <si>
    <t>NWH: New Hire Reporting (RPLNHRU0) goes into endless loop.</t>
  </si>
  <si>
    <t>NWH: Employees without benefit data being rejected for NY</t>
  </si>
  <si>
    <t>REC: Off-cycle values not added in YTD Total</t>
  </si>
  <si>
    <t>Monthly reporting in U.S. Tax Reporter</t>
  </si>
  <si>
    <t>TR: Zeroed tax rate for SUI Magmedia</t>
  </si>
  <si>
    <t>TR: Kind of Employer not present in HR_F_MMREF_1_CO</t>
  </si>
  <si>
    <t>TAX: Short dump with off-cycle and WTA override.</t>
  </si>
  <si>
    <t>TAX: Retrocalculation based on BAL/UNB payroll tables.</t>
  </si>
  <si>
    <t>BSI: TaxFactory Cyclic 9.0.d3</t>
  </si>
  <si>
    <t>TAX: Nexus Indicator default configuration</t>
  </si>
  <si>
    <t>Localization Greece - New subcomponents in Core system</t>
  </si>
  <si>
    <t>Missing entries in table T77ID for IT 0860 and 0861</t>
  </si>
  <si>
    <t>COID totals incorrect when off-cycle run occurs</t>
  </si>
  <si>
    <t>Unable to hide Child Depen.(CHDEP)in IT0150 independently</t>
  </si>
  <si>
    <t>Payroll Log - Medical Aid Credit and Member Dependents</t>
  </si>
  <si>
    <t>Medical aid credit and ST and CST splits with tax credit</t>
  </si>
  <si>
    <t>MA Credits and member dependents</t>
  </si>
  <si>
    <t>ZA Tax Budget changes - 2012-2013</t>
  </si>
  <si>
    <t>IT1633(Position) data present checkmark not coming in PP01</t>
  </si>
  <si>
    <t>SAPKE60448</t>
  </si>
  <si>
    <t>Framework zur Nachverfolgung von Infotypänderungen</t>
  </si>
  <si>
    <t>Manager name is not populating for the substitution manager</t>
  </si>
  <si>
    <t>RPRDTAA0: Only trips that are not paid out should be reset</t>
  </si>
  <si>
    <t>RPRDTAA0: DZ im Ausgabeprotokoll nicht angedruckt</t>
  </si>
  <si>
    <t>Arb.geberbesch.:Verdienst letzte 2 Jahre bei Schaltj. falsch</t>
  </si>
  <si>
    <t>Information of Employee-Related Data: Duplicate entries</t>
  </si>
  <si>
    <t>2483:Trainer Costs in line A Frame F</t>
  </si>
  <si>
    <t>TNM: enhancement of method HANDLE_INFTY_UPDATE</t>
  </si>
  <si>
    <t>TNM: Assign Transportation Costs to line h of 2483 Statement</t>
  </si>
  <si>
    <t>Two new dates required in infotype invoice(1684)</t>
  </si>
  <si>
    <t>TNM, trainer costs: fix for the "positive time recordin</t>
  </si>
  <si>
    <t>TNM: Training History Report</t>
  </si>
  <si>
    <t>TNM, infotype 1684 check: additional changes</t>
  </si>
  <si>
    <t>TNM: prorata and booking checks improvements</t>
  </si>
  <si>
    <t>TNM: Cancellation of a session with rebooking</t>
  </si>
  <si>
    <t>2012 changes in the 2483 form</t>
  </si>
  <si>
    <t>TNM, 2483 legal report: langage edition</t>
  </si>
  <si>
    <t>TNM, Trainer Costs: additional changes (2)</t>
  </si>
  <si>
    <t>Unable to implement customer specific subtypes in IT0048</t>
  </si>
  <si>
    <t>RPCEWGJ1: blank payment should be change to 0</t>
  </si>
  <si>
    <t>Missing T588M control for fields of IT0888/0889/0890/0903</t>
  </si>
  <si>
    <t>RPLSHOJ0/RPLHUOJ0: Office Data Is Incorrect</t>
  </si>
  <si>
    <t>Extend Length of District in Infotype 0006 to 3-character</t>
  </si>
  <si>
    <t>Carry-over Donation when Apply Standard Deduction in YEA</t>
  </si>
  <si>
    <t>Cannot Save IT0009 Record Due to Bank Account Error</t>
  </si>
  <si>
    <t>Last Digit Check for Register Numbers of Foreign Employees</t>
  </si>
  <si>
    <t>Technical adjustments for PA-PA-NL / PA-PF-NL</t>
  </si>
  <si>
    <t>Infotype 0021: unable to configure fields via V_T588M</t>
  </si>
  <si>
    <t>PA-PA-QA</t>
  </si>
  <si>
    <t>State of Qatar</t>
  </si>
  <si>
    <t>Qatar HCM Private Sector Localization</t>
  </si>
  <si>
    <t>HR-RU: HRUA_T54 If IT0014 Has No Records Orders Tab Is Empty</t>
  </si>
  <si>
    <t>HR-RU: 4FSS - Missed field 3.1 in Table 2</t>
  </si>
  <si>
    <t>HR-RU: T-13, field 'Table Number' is truncated</t>
  </si>
  <si>
    <t>HR-RU: Missing entries in PCL4 table for IT 2001</t>
  </si>
  <si>
    <t>HR-RU: 4FSS XML File Generation Update</t>
  </si>
  <si>
    <t>HR-RU, T-54A: department long name, entry date, adresses</t>
  </si>
  <si>
    <t>BAV: Kleinere Korrekturen (04/2012)</t>
  </si>
  <si>
    <t>PSV1: Error when changing or deleting prebookings</t>
  </si>
  <si>
    <t>Number of resources displayed as decimal in Price infotype</t>
  </si>
  <si>
    <t>Tables cannot be scrolled in transaction PVG2</t>
  </si>
  <si>
    <t>All the attendees are not displayed during follow-up</t>
  </si>
  <si>
    <t>PP61: nur ein identischer Einsatz im Popup angezeigt</t>
  </si>
  <si>
    <t>[AR] Complement for Base Remuneration in Part Time incorrect</t>
  </si>
  <si>
    <t>[AR] AFIP Resolution 3308/2012 - SICOSS (version 36.0)</t>
  </si>
  <si>
    <t>[AR] Code conversion issue when filling table T7AR38</t>
  </si>
  <si>
    <t>RPCSVBA2 - Beitragsnachweis - Diff. zu Buchungsbeleg</t>
  </si>
  <si>
    <t>PCALZ: LZ SV BVA Verbesserung Auslandspension ( KV-pflicht)</t>
  </si>
  <si>
    <t>Montageprivileg 2012: Sonderausgabenpauschale falsch</t>
  </si>
  <si>
    <t>HR-AT: T5A2H Anpassung des Kundennamensraum</t>
  </si>
  <si>
    <t>PCALZ: Verbesseung der Prüfvorschriften</t>
  </si>
  <si>
    <t>RPIGVIA0PBS: Fehlermeldungen im BI-Modus</t>
  </si>
  <si>
    <t>RPCALCA0: Dump in Abrechnung ( Abgegrenzter IT 44 )</t>
  </si>
  <si>
    <t>Incorrect tax when account split marked against action types</t>
  </si>
  <si>
    <t>Termination Organiser:Various display issues.</t>
  </si>
  <si>
    <t>Tax wagetypes have ANZHL (Number) field filled incorrectly</t>
  </si>
  <si>
    <t>Incomplete Wage Type description in ETP payments tab.</t>
  </si>
  <si>
    <t>Taxable gross incorrect in case of retro on terminated EE</t>
  </si>
  <si>
    <t>QLSP Schema incorrect logic</t>
  </si>
  <si>
    <t>Payment summary additional  CE changes 2012</t>
  </si>
  <si>
    <t>Incorrect processing of Leave loading rate in QKLD</t>
  </si>
  <si>
    <t>Incorrect bonus tax if tax scale is 9</t>
  </si>
  <si>
    <t>Output format for Deduction Listing Report - 'RPLDEDQ0'</t>
  </si>
  <si>
    <t>Amendment to Note 1701019 and 1704325</t>
  </si>
  <si>
    <t>Tax incorrect when payments reduced across financial year.</t>
  </si>
  <si>
    <t>ETP Life Benifit Tax Override incorrect</t>
  </si>
  <si>
    <t>Batch error in ATO report when processed for IT0850</t>
  </si>
  <si>
    <t>ATO report does not update IT0850 and IT0849 correct record</t>
  </si>
  <si>
    <t>Incorrect Back pay and Additional payment wagetypes.</t>
  </si>
  <si>
    <t>/LTB Wagetype not generated in case of net negative back pay</t>
  </si>
  <si>
    <t>Lump Sum E sub report truncating LSE at wagetype level.</t>
  </si>
  <si>
    <t>Modifications to payment summary enhancements 2012-2013</t>
  </si>
  <si>
    <t>Super calculation incorrect in case of retro</t>
  </si>
  <si>
    <t>Issues with Payment Summary Listing report  CE</t>
  </si>
  <si>
    <t>Correction to the Note 1684292</t>
  </si>
  <si>
    <t>Quota Comp. from I0416 is no longer paid out on Termination</t>
  </si>
  <si>
    <t>Issue with Shift Worker in Super Calculations</t>
  </si>
  <si>
    <t>Incorrect LSL transfer date while running Time evaluation</t>
  </si>
  <si>
    <t>CI: Early Retirement Terminology Change</t>
  </si>
  <si>
    <t>DECAVA : IT3270 Screen 2000 and 3000 adaptation</t>
  </si>
  <si>
    <t>Payroll - limit check when later hiring of Student</t>
  </si>
  <si>
    <t>Dimona Students: Cancel/Update Declaration prior 2012</t>
  </si>
  <si>
    <t>Garnishment: DAVO-SECAL GACA1 Correction</t>
  </si>
  <si>
    <t>Payroll: Contribution 836 with Full Time Career Interruption</t>
  </si>
  <si>
    <t>SOCIAL BALANCE: Error in Leaves and Entries sections</t>
  </si>
  <si>
    <t>Dismissal - Taxable Exemption - Correction</t>
  </si>
  <si>
    <t>DmfA - Occupation Start Date / Payroll: Wrong SVEVL split</t>
  </si>
  <si>
    <t>SOCIAL BALANCE: Features BESBD &amp; BESBE errors</t>
  </si>
  <si>
    <t>ABAP_BOOL - not known in lower kernels</t>
  </si>
  <si>
    <t>BELCOTAX: RPCBWPB0 - Printout Form  - Sender's address</t>
  </si>
  <si>
    <t>Rail tariffs Home Work Expenses as of 01.02.2012</t>
  </si>
  <si>
    <t>RPTGENB0 error in case of illness rule 3m30d non-unicode</t>
  </si>
  <si>
    <t>DeCavaA - New employer contribution rates per 01.04.2012</t>
  </si>
  <si>
    <t>Dimona: Prep. Report RPCDIUB0 - Period ID not Stored</t>
  </si>
  <si>
    <t>BELCOTAX: XML donwload - Convertion of not allowed chars</t>
  </si>
  <si>
    <t>DmfA(PPL): Start Date of Notification File 2012 Quarter 1</t>
  </si>
  <si>
    <t>Dimona - Preparation Report - Period ID not correct</t>
  </si>
  <si>
    <t>Educational Leave Annex when variable work schedule</t>
  </si>
  <si>
    <t>Public Sector: Student Actual Days Payroll Check Addendum</t>
  </si>
  <si>
    <t>RAIS Year Base 2011 - Generic Layout</t>
  </si>
  <si>
    <t>Documentation: notice period proportional to EE's seniority</t>
  </si>
  <si>
    <t>TAX: Incorrect taxes in case of exemption in IT464</t>
  </si>
  <si>
    <t>YE11: Box O amount not showing in Amended Run XML for RL1</t>
  </si>
  <si>
    <t>HR-CH: Wage statement (RPLLAWC2), comments from previous yr</t>
  </si>
  <si>
    <t>LAW2005: Text for PC Famille in comment figure 15</t>
  </si>
  <si>
    <t>LAW2005: Documentation for part-time employment is incorrect</t>
  </si>
  <si>
    <t>[CL] Incorrect Heavy Work calculation in Termination Payroll</t>
  </si>
  <si>
    <t>[CL] Wrong Payroll results reading in function CLLIC</t>
  </si>
  <si>
    <t>[CL] Missing ABART field for Reliquidation wage types</t>
  </si>
  <si>
    <t>[CL] General corrections and enhancements for Garnishments</t>
  </si>
  <si>
    <t>[CL] Payroll function CLLIC is considering inactive periods</t>
  </si>
  <si>
    <t>HR forms: minor corrections</t>
  </si>
  <si>
    <t>ETStmt: Refining the check when sending ETSmts</t>
  </si>
  <si>
    <t>ELStAM: Correction for simulation or test system</t>
  </si>
  <si>
    <t>Expenses: Period not taken into account with dest. II</t>
  </si>
  <si>
    <t>SI fund: Corrections for social fund procedure version 6</t>
  </si>
  <si>
    <t>Leave: Add leave payment in current month; factoring</t>
  </si>
  <si>
    <t>Seasonal reduced working hours: Constants for 2012/2013</t>
  </si>
  <si>
    <t>Company data maintenance: Legal change for June 01, 2012</t>
  </si>
  <si>
    <t>Year-end legal change 2011/2012 DEUEV: Corrections 3</t>
  </si>
  <si>
    <t>DEUEV: Corrections IV</t>
  </si>
  <si>
    <t>DEUEV(UVMG): Corrections XVI</t>
  </si>
  <si>
    <t>DEUEV: Sick pay discontinued w/ reference to unempl. benefit</t>
  </si>
  <si>
    <t>ELENA: Error in program RPUELDD0 when deleting IT41</t>
  </si>
  <si>
    <t>EEL: Corrections and enhancements (05/2012)</t>
  </si>
  <si>
    <t>EEL: Process view - corrections and enhancements 4</t>
  </si>
  <si>
    <t>Prohibited activities: Incorrect adj. amt basic remuneration</t>
  </si>
  <si>
    <t>Prohibited activities: Negative Average Earnings</t>
  </si>
  <si>
    <t>Prohibited activities: Unwanted retroactive accounting</t>
  </si>
  <si>
    <t>Mat. pay allowance/notificatn AAG: Terminatn in functn DSVU</t>
  </si>
  <si>
    <t>Absence overlaps prohibited activities with part-time work</t>
  </si>
  <si>
    <t>Prohibited activities: Incorrect records in table V0</t>
  </si>
  <si>
    <t>Garn acc to princp of origin: Incorr neg diff fr retro acctg</t>
  </si>
  <si>
    <t>Change to operation DSVWE</t>
  </si>
  <si>
    <t>Statement of contributions paid: Employer address</t>
  </si>
  <si>
    <t>Checking standard age limit II</t>
  </si>
  <si>
    <t>Corrections for SAP Note 1624079</t>
  </si>
  <si>
    <t>Employment tax statement: Corrections 05 2012</t>
  </si>
  <si>
    <t>Pub Serv reg. Rheinland-Pfalz: Cost-of-living adjustment III</t>
  </si>
  <si>
    <t>RPLRZAD0: Termination with error message 5Z 242</t>
  </si>
  <si>
    <t>Personnel statistics on June 30, 2012</t>
  </si>
  <si>
    <t>Error in rule DOE4 for absences in hours</t>
  </si>
  <si>
    <t>Reducing Special payment for trainees in part-time</t>
  </si>
  <si>
    <t>Enhancements for registered partnership (2)</t>
  </si>
  <si>
    <t>Comments for employment periods cannot be saved</t>
  </si>
  <si>
    <t>Adding pension type factor to infotype 0326</t>
  </si>
  <si>
    <t>Inflow principle according to split (May 2012)</t>
  </si>
  <si>
    <t>Not a contrib. month, no absence, but remun. in period &amp;</t>
  </si>
  <si>
    <t>Workers' comp.wage statement: Corrections II</t>
  </si>
  <si>
    <t>RPLEHAD3: Err in semirtrmnt exmptn phse and wrk cntr inclusn</t>
  </si>
  <si>
    <t>Contrat@: Incorrect validation date for RDL 3/2012</t>
  </si>
  <si>
    <t>190: General Corrections I - 2012</t>
  </si>
  <si>
    <t>RPCAFIE0: default message and process syntax ID are outdated</t>
  </si>
  <si>
    <t>TC: Issues with Artists in DAT segment</t>
  </si>
  <si>
    <t>CALC: Wrong BRD for fixed-discontinuous and legal guardian</t>
  </si>
  <si>
    <t>Contribution Account Code (CAC) field not editable in IT0061</t>
  </si>
  <si>
    <t>CALC: Contrib. bases lower than the minimum for part-time EE</t>
  </si>
  <si>
    <t>CALC: Issues with contributions of researchers in training</t>
  </si>
  <si>
    <t>Academic Title not compulsory for Level of Training 60 - II</t>
  </si>
  <si>
    <t>AFI: New "5JR/semana según convenio" field</t>
  </si>
  <si>
    <t>CALC: RPCALCE0 not recognizing training program employee</t>
  </si>
  <si>
    <t>CALC: Bonifications not generated after SAP note 1686430</t>
  </si>
  <si>
    <t>Certific@2: Company representative data in selection screen</t>
  </si>
  <si>
    <t>CALC: Wrong IA/ID risks contribution limit for non artist</t>
  </si>
  <si>
    <t>190: No AHVNR value when SITPER set as C in 0062 infotype</t>
  </si>
  <si>
    <t>TC: New option for reporting retroactive diff. of reduction</t>
  </si>
  <si>
    <t>IT0061: Error in search help of bonification methods</t>
  </si>
  <si>
    <t>CRT2: Incorrect amount for BaseCotizacionDesempleo</t>
  </si>
  <si>
    <t>TC: Incorrect negative deduction in segment EDLCD22</t>
  </si>
  <si>
    <t>CALC: Issue in collision treatment of IT absence and strike</t>
  </si>
  <si>
    <t>TC: CCC filter is not properly considering associated CACs</t>
  </si>
  <si>
    <t>CALC: More than one ERE for a same payroll period</t>
  </si>
  <si>
    <t>AFI: New values to Worker Collective field</t>
  </si>
  <si>
    <t>CRT2: Option to avoid rejected employees after payroll simul</t>
  </si>
  <si>
    <t>CALC:Indemnity payment for disabled, for TP contracts</t>
  </si>
  <si>
    <t>Contrat@: change in the type of Academic title code</t>
  </si>
  <si>
    <t>TC: Rejected FAN file with plus sign (+) in ERE bonification</t>
  </si>
  <si>
    <t>CALC: Issue with bonification and future non-taken vacations</t>
  </si>
  <si>
    <t>Infotype 0061 Dynpro 2200 not configurable via V_T588M</t>
  </si>
  <si>
    <t>CRT2: Wrong BaseCotizacionDesempleo when SEER0 option is 01</t>
  </si>
  <si>
    <t>TC: Wrong "Saldo acreedor" file generation for IT</t>
  </si>
  <si>
    <t>Documentation: New "5JR/semana según convenio" fie</t>
  </si>
  <si>
    <t>Infotype 0016: Inconsistent error message in INEN tab</t>
  </si>
  <si>
    <t>RPLBS1F0: Bilan Social errors reading cluster amounts</t>
  </si>
  <si>
    <t>Special contracts: contract anniversary - IT0008 split</t>
  </si>
  <si>
    <t>RPL4CRF0 - Dump in Temse rendering process</t>
  </si>
  <si>
    <t>PY-FR: 2012 parameters for French Payroll</t>
  </si>
  <si>
    <t>N4DS: Declaration dates wrong for decl. nature 04 (CI-BTP)</t>
  </si>
  <si>
    <t>Display section S56.G01.00 in RPL4CRF0</t>
  </si>
  <si>
    <t>DN-AC AED: S48.G55.05 corrections</t>
  </si>
  <si>
    <t>Errors during envelope generation</t>
  </si>
  <si>
    <t>RPLASMF3: no subrogation date generated</t>
  </si>
  <si>
    <t>Error in Fillon reduction calculation with retro-hiring</t>
  </si>
  <si>
    <t>Several errors in DNAC</t>
  </si>
  <si>
    <t>Wrong length of final file generated in RPLDUEF0</t>
  </si>
  <si>
    <t>DN-AC AED: correction of errors</t>
  </si>
  <si>
    <t>DN-AC AED Misc. Corrections</t>
  </si>
  <si>
    <t>RPLCOTF2: fields not filled after an ALV variant change</t>
  </si>
  <si>
    <t>DN-AC AED: errors in S40 / S48 and more</t>
  </si>
  <si>
    <t>New contract type in RPLRPSF1</t>
  </si>
  <si>
    <t>RPLAASF1: Absence considered as worked</t>
  </si>
  <si>
    <t>Text not in French in Customizing activity OHAFUM008</t>
  </si>
  <si>
    <t>NI categories F,G,H,S allowed in IT0069 after 06.04.2012</t>
  </si>
  <si>
    <t>P14 SAP Script changes</t>
  </si>
  <si>
    <t>P60 Data mailer form HR_GB_P60_2012_D changes</t>
  </si>
  <si>
    <t>Correction and modification to the note 1608066.</t>
  </si>
  <si>
    <t>Issues with arrear processing for court order CSDN and EWP</t>
  </si>
  <si>
    <t>Payroll error for Inactive employees</t>
  </si>
  <si>
    <t>RPUTCUG0:Tax code upliftment issue</t>
  </si>
  <si>
    <t>Issue with reverse posting in Drilldown report</t>
  </si>
  <si>
    <t>PY-GB-PS: USS CARE Schemes</t>
  </si>
  <si>
    <t>HRGBPS: Public Sector Pensions (April 1st 2012): Bug Fixes</t>
  </si>
  <si>
    <t>HRGBPS: LGPS Wage Type Groups incorrectly assigned</t>
  </si>
  <si>
    <t>HRGBPS: Teacher's Pensions: Ad Hoc Payment incorrect</t>
  </si>
  <si>
    <t>HRGBPS: Teacher's Pensions: Mid-Period Changes</t>
  </si>
  <si>
    <t>P11D Form generated with the benefits from previous tax year</t>
  </si>
  <si>
    <t>Issue with the title of RPCP11G0 in the selection screen</t>
  </si>
  <si>
    <t>Issue with the reporting of company cars on P11D form</t>
  </si>
  <si>
    <t>Incorrect values and country code in P45</t>
  </si>
  <si>
    <t>EOY Incorrect p14 values in multiple rehires case</t>
  </si>
  <si>
    <t>Changes to Car Fuel benefit charge from 06.04.2012</t>
  </si>
  <si>
    <t>Issue with IR56B Replacement Form</t>
  </si>
  <si>
    <t>Create the replacement date field in PDF for IR56B form</t>
  </si>
  <si>
    <t>PY-HK: period in tax group is not correct on IR56F form</t>
  </si>
  <si>
    <t>HHKCALC0 error in ADDCU</t>
  </si>
  <si>
    <t>overflow error in prog. HHKCSKLE after applied Notes</t>
  </si>
  <si>
    <t>Payment in lieu of notice accrued for script form IR56F/G</t>
  </si>
  <si>
    <t>HCM: Payment in lieu of notice accrued for PDF form</t>
  </si>
  <si>
    <t>PY-HK: IR56F, Incorrect Action Reason in Item 12</t>
  </si>
  <si>
    <t>Shortdump in program HIDCTAX1</t>
  </si>
  <si>
    <t>Minor issue on Pensions related Deduction (604 Release).</t>
  </si>
  <si>
    <t>Modification and Enhancement to report HIECPRC1 for Ireland.</t>
  </si>
  <si>
    <t>Issues with EP60 and P60 SAP Script</t>
  </si>
  <si>
    <t>P2C report issue for incorrect file format from 2012</t>
  </si>
  <si>
    <t>Pension Related Development (PRD) DRQ's Effective 2011 (10)</t>
  </si>
  <si>
    <t>Pension Related Development (PRD) DRQ's Effective 2011 (11)</t>
  </si>
  <si>
    <t>Pension Related Development (PRD) DRQ's Effective 2011 (12)</t>
  </si>
  <si>
    <t>Feature IEELC Documentation</t>
  </si>
  <si>
    <t>Pension Related Development (PRD) DRQ's Effective 2011 (13)</t>
  </si>
  <si>
    <t>Missing Selection Texts for report HIECEOY0</t>
  </si>
  <si>
    <t>Corrections to P46/P45P3 XML issues</t>
  </si>
  <si>
    <t>Gratuity: Number of years of service is not rounded off</t>
  </si>
  <si>
    <t>Text for customer specific exemption calc. BAdI modified</t>
  </si>
  <si>
    <t>Section 89 adjustment wage types correction</t>
  </si>
  <si>
    <t>Form 16: Changes for separate company code based reporting</t>
  </si>
  <si>
    <t>Bihar Professional Tax Reports</t>
  </si>
  <si>
    <t>Batch Update Inconsistent For Basic Promotions Report</t>
  </si>
  <si>
    <t>HRA Exemptions For Nominal Projection Inconsistent</t>
  </si>
  <si>
    <t>HINCALC0:NPS Employer contribution calculation inconsistent</t>
  </si>
  <si>
    <t>Form 24Q e-File Header Record Length Invalid With FVU</t>
  </si>
  <si>
    <t>Form 7(PS): Alignment Incorrect For Certain Fields On PDF</t>
  </si>
  <si>
    <t>Provident Fund FORM3A-Exit Employees</t>
  </si>
  <si>
    <t>Form 24Q : Q4 Result inconsistent when processed.</t>
  </si>
  <si>
    <t>TDS On Income From House Property Inconsistent</t>
  </si>
  <si>
    <t>EPF efile related changes</t>
  </si>
  <si>
    <t>Housing Perquisites Not Considered For North East Exemption</t>
  </si>
  <si>
    <t>HINCALC0: Ptax deductions not happening consistently for MP</t>
  </si>
  <si>
    <t>Runtime Error in Digital F-16 if folder path not specified</t>
  </si>
  <si>
    <t>PY-IN : Sec89 - Wrong Tax Code for senior citizens</t>
  </si>
  <si>
    <t>PY-IN: Union Budget Changes for Year 2012</t>
  </si>
  <si>
    <t>Form 24Q: Begin date displayed inconsistently on Annexure II</t>
  </si>
  <si>
    <t>Form 24Q inconsistent for payroll area based execution</t>
  </si>
  <si>
    <t>HR-IT: Reduction for IRPEF paid in advance</t>
  </si>
  <si>
    <t>HR-IT: UniEmens 1.2.4 - Correction Package 3</t>
  </si>
  <si>
    <t>HR-IT: Contribution of solidarity -Contributo di Solidarietà</t>
  </si>
  <si>
    <t>HR-IT: Changes in Management of post-conguaglio</t>
  </si>
  <si>
    <t>HR-IT: UniEmens - Issue on RPCUEDI0 when canceling results</t>
  </si>
  <si>
    <t>HR-IT: 770 2012</t>
  </si>
  <si>
    <t>HR-IT:Function ICODE not considering Ecc. Mass. Detassazione</t>
  </si>
  <si>
    <t>HR-IT: Payroll function ITR01 not using value number</t>
  </si>
  <si>
    <t>HR-IT: Libro Unico - ITIOT not available for SmartForm</t>
  </si>
  <si>
    <t>Incorrect Tax Amount in Retirement Allowance Calculation</t>
  </si>
  <si>
    <t>RPCSICJ0: Output of Retroactive Payment in Santei Form</t>
  </si>
  <si>
    <t>RPCPRTJ0: Enhancement for Employee's details display</t>
  </si>
  <si>
    <t>Enhancement of Santei Adjustment Selection</t>
  </si>
  <si>
    <t>RPCIDPJ0: Dates Get Truncated on ABAP List Output Screen</t>
  </si>
  <si>
    <t>RPCEADJ0: Output of Kohran to Otsuran in WTS/SPR</t>
  </si>
  <si>
    <t>LC2012: Rate Change of Child Allowance Contribution</t>
  </si>
  <si>
    <t>Wage Type EI03 and EI04: For Last Year's EI Adjustment</t>
  </si>
  <si>
    <t>LC2012: Separation for Senior Executives</t>
  </si>
  <si>
    <t>Effective Date of Overtime Allowance for Non-taxable</t>
  </si>
  <si>
    <t>HI Adjustment Period &amp; Oversea Constructor Non-Taxable L</t>
  </si>
  <si>
    <t>Incorrect Last Charactor of Company Name in Donation DME</t>
  </si>
  <si>
    <t>[MX] HMXTISS0 - List does not respect selection screen param</t>
  </si>
  <si>
    <t>[MX] SDI - Employees with reduced working schedule</t>
  </si>
  <si>
    <t>[MX] Infonavit - Prorated discount for fixed amount</t>
  </si>
  <si>
    <t>[MX] Incorrect Annual Tax Adjustment calculation</t>
  </si>
  <si>
    <t>[MX] Incorrect bonus payment in termination</t>
  </si>
  <si>
    <t>[MX] Documentation for SDI for reduced working schedule</t>
  </si>
  <si>
    <t>Incorrect ER EPF rate when earnings excluding bonus is RM0</t>
  </si>
  <si>
    <t>PY-MY : Issue in CP8D form and EA form preparation report</t>
  </si>
  <si>
    <t>LC-2012 PY-MY: PCB 2(II) form layout changes</t>
  </si>
  <si>
    <t>Name greater than 40 characters not displayed in Borang A</t>
  </si>
  <si>
    <t>PY-MY: Issues in CP39/CP39 A form layout and download file</t>
  </si>
  <si>
    <t>PY-MY: CP22 form is not generated for re-hired employees</t>
  </si>
  <si>
    <t>Issue in tax when amount is maintained in Infotype 0196</t>
  </si>
  <si>
    <t>Aangifte LH: Short Dump due to long file names (RPCLAKN0)</t>
  </si>
  <si>
    <t>WCR: Collective Confirmation</t>
  </si>
  <si>
    <t>Changes in documentation of authorization object P_NL_LA06</t>
  </si>
  <si>
    <t>Change in documentation of RPCLAKN0 and RPCLAAN0</t>
  </si>
  <si>
    <t>Jaaropgave WN: Correction to Indicator Selection</t>
  </si>
  <si>
    <t>Jaaropgave WN: Generation of forms for past</t>
  </si>
  <si>
    <t>Aangifte LH: Description of some indicators not displayed</t>
  </si>
  <si>
    <t>SPK Issues - March 2012</t>
  </si>
  <si>
    <t>Reimbursement - Handling of Treatment days</t>
  </si>
  <si>
    <t>Reimbursement Max Date Override and K-27 upload issues</t>
  </si>
  <si>
    <t>Altinn-2 ERC reporting: F4 help for selection screen field</t>
  </si>
  <si>
    <t>Selection screen changes in ERC report RPCERIV0</t>
  </si>
  <si>
    <t>VPSP1 : Incorrect calculation of pension deduction</t>
  </si>
  <si>
    <t>Multiple subtypes for sibling in UNJSPF Monthly interface</t>
  </si>
  <si>
    <t>Corrections for locked records in EVE Dependency Allowance</t>
  </si>
  <si>
    <t>Issue with Public Holiday Rate within Annual Leave Period</t>
  </si>
  <si>
    <t>Timing of ESCT Exemption Removal</t>
  </si>
  <si>
    <t>PY-NZ : Incorrect tax calculation in retro for STC taxcode</t>
  </si>
  <si>
    <t>HNZLUPDSA0 errors out when employee is rehire case</t>
  </si>
  <si>
    <t>Incorrect SL Arrears and incorrect tax rate for extra emol</t>
  </si>
  <si>
    <t>Leave liability calculation for terminated emp is incorrect</t>
  </si>
  <si>
    <t>Incorrect estimate of ESCT threshold for Salary Bracket</t>
  </si>
  <si>
    <t>Terminated employees getting displayed in Remittance report</t>
  </si>
  <si>
    <t>PY-NZ:Incorrect customizing for SL Arrears override wagetype</t>
  </si>
  <si>
    <t>Incorrect superannuation values when IT0310 is delimited</t>
  </si>
  <si>
    <t>'Not Applicable' option not allowed for cal method in IT0310</t>
  </si>
  <si>
    <t>HNZLUPDSA0 changes 2012-2013</t>
  </si>
  <si>
    <t>PY-NZ: "No entry in table &amp; for key &amp; T7NZSF&amp;qu</t>
  </si>
  <si>
    <t>PY-NZ: Issues with the Gross/Net wage types</t>
  </si>
  <si>
    <t>PY-NZ : Incorrect output for program HNZUHCU0</t>
  </si>
  <si>
    <t>Side effects of SAP Note:1704055 Resolved</t>
  </si>
  <si>
    <t>RPCSSRP0: wrong nº of days when evaluating retro differences</t>
  </si>
  <si>
    <t>RPCAIDP0: 3 TemSe file struc do not show "Space" h</t>
  </si>
  <si>
    <t>RPCIIDP0 and RPCAIDP0: wrong evaluation of previous years</t>
  </si>
  <si>
    <t>Single Report: Improvements for 2012</t>
  </si>
  <si>
    <t>Single Report: Adjust in Attachment 0</t>
  </si>
  <si>
    <t>Single report: Adjusts in attachments 0 and A</t>
  </si>
  <si>
    <t>Indep. Workers: New wagetype for base of EEs with disability</t>
  </si>
  <si>
    <t>New report: insurance for work accidents</t>
  </si>
  <si>
    <t>LC: taxes and reporting for non-habitual residents</t>
  </si>
  <si>
    <t>RPCSSRP0: TemSe is rejected when is changed retroactively</t>
  </si>
  <si>
    <t>RPCIIDP0/RPCAIDP0: incomes not read after new PS IRS tables</t>
  </si>
  <si>
    <t>RPCWARP0: Corrections I</t>
  </si>
  <si>
    <t>Remuneration Guide: Incorrect "Montante" &amp; &amp;qu</t>
  </si>
  <si>
    <t>PY-PT-PS: wrong seniority count in Remuneration Guide report</t>
  </si>
  <si>
    <t>Annual Staff Report: New method in BAdI HR_PT_PBS_AS01_BADI</t>
  </si>
  <si>
    <t>IRS not calculated for category H after new IRS tables (PS)</t>
  </si>
  <si>
    <t>LC: new statistical information for SIOE report</t>
  </si>
  <si>
    <t>Social Balance: fill board 17 only with records of december</t>
  </si>
  <si>
    <t>LS: new IRS tables for public sector employees of Azores</t>
  </si>
  <si>
    <t>CGA: BAdI for changing Social Security name</t>
  </si>
  <si>
    <t>SIOE: quarterly information - corrections I</t>
  </si>
  <si>
    <t>Social Balance: Additional Actions (0302) is not being read</t>
  </si>
  <si>
    <t>Documentation: new statistical information for SIOE report</t>
  </si>
  <si>
    <t>HR-RU: incorrect result in average for EHP5 after rule RUWA</t>
  </si>
  <si>
    <t>HR-RU: Arrears processing if garnishment document was cancel</t>
  </si>
  <si>
    <t>SZV-6-3: Documents with zero results</t>
  </si>
  <si>
    <t>HR-RU: maximum sum of monthly payments for child rearing</t>
  </si>
  <si>
    <t>HR-RU: off-cycle payroll results processing with type 'L'</t>
  </si>
  <si>
    <t>HR-RU: Wrong split CNTR1 after retro of December OTAX&amp;lt;&amp;gt</t>
  </si>
  <si>
    <t>HR-RU: Operation RUSPL VPS is not positioned on WPBP</t>
  </si>
  <si>
    <t>HR-RU: 4FSS Parameter 'Liquidation of enterprise' in form</t>
  </si>
  <si>
    <t>Employer's certificate Issues with data reported in form</t>
  </si>
  <si>
    <t>Factoring in case of Organizational change mid month IT0014</t>
  </si>
  <si>
    <t>Payslip display's incorrect Rate when 2 WT's of same name</t>
  </si>
  <si>
    <t>VACS table is not generated with correct value</t>
  </si>
  <si>
    <t>PY-SG: Evaluation Class 11 specification &amp; 25ICT feature</t>
  </si>
  <si>
    <t>PY-SG: Incorrect MSO contribution rounding</t>
  </si>
  <si>
    <t>PY-SG: Rounding issue for MSO AW factor</t>
  </si>
  <si>
    <t>PY-TH: Missing fields in EE address in 50 BIS and form 1A</t>
  </si>
  <si>
    <t>PY-TH: Legal Change - Change in Tax ID from char 10 to 13</t>
  </si>
  <si>
    <t>HTWLCE00: Corrupt Text in Text Elements</t>
  </si>
  <si>
    <t>HTWLCE00: Runtime Error when Calling IT0185 Subtype</t>
  </si>
  <si>
    <t>USCLM: Consolidated corrections for single employment</t>
  </si>
  <si>
    <t>US Payroll Adjustment</t>
  </si>
  <si>
    <t>IT0221: Employees skipped incorrectly</t>
  </si>
  <si>
    <t>CLM: Error in Claims Processing for off-cycle</t>
  </si>
  <si>
    <t>TR: PA Act 32 - Residence and Work PSD codes</t>
  </si>
  <si>
    <t>Q1/2012: Functional changes for U.S. Tax Reporter.</t>
  </si>
  <si>
    <t>TR: Short dump during execution of SUI Arkansas</t>
  </si>
  <si>
    <t>TR: Performance Issues for State Unemployment Insurance(SUI)</t>
  </si>
  <si>
    <t>TR: Short Dump during execution of SUI Florida</t>
  </si>
  <si>
    <t>TR: Corrections for SUI PR Magmedia</t>
  </si>
  <si>
    <t>TR: Updated SUI and Wage Listing Correction Forms for CA</t>
  </si>
  <si>
    <t>TAX: Employee is rejected in Work Tax Area retro change.</t>
  </si>
  <si>
    <t>TAX: Incorrect Withholding calculation for Indiana.</t>
  </si>
  <si>
    <t>IRP5 Performance Improvement</t>
  </si>
  <si>
    <t>IRP5: SARS codes in PDF reported inconsistently</t>
  </si>
  <si>
    <t>Surplus Arrear PF wage type /337 PCL65 setting</t>
  </si>
  <si>
    <t>MA Tax Credit calculations incorrect in Grossup schema WGRS</t>
  </si>
  <si>
    <t>MA Tax Exemption for EE age &amp;gt; 65 years</t>
  </si>
  <si>
    <t>Inconsistency in Medical Aid credit caln incase no tax paid</t>
  </si>
  <si>
    <t>IRP5 record with no value against income and tax codes</t>
  </si>
  <si>
    <t>SAPKE60449</t>
  </si>
  <si>
    <t>HR-IDM Datenextraktion bei aktivierten CE</t>
  </si>
  <si>
    <t>Fehlerhafte Attributewerte bei HR-LDAP Datenextraktion</t>
  </si>
  <si>
    <t>ALE: Non-printable character at E1PAD34 segment</t>
  </si>
  <si>
    <t>Time management extractors with database lock</t>
  </si>
  <si>
    <t>RPRDTAA0: Periode im Ausgabeprotokoll nicht angedruckt</t>
  </si>
  <si>
    <t>RHINTE30: Performance problems when reading cost centers</t>
  </si>
  <si>
    <t>RHINTE20: Performanceverbesserungen</t>
  </si>
  <si>
    <t>ESS Benefits Enrollment of HSA and FSA not generating error</t>
  </si>
  <si>
    <t>HRBEN0006: Not displaying SSN</t>
  </si>
  <si>
    <t>Unauthorized modification in ITS-Service in PA-BN</t>
  </si>
  <si>
    <t>BEN: Calculation Base should be required for 457 and 403(b)</t>
  </si>
  <si>
    <t>Erweiterung des BAdIs HRCMP00_PS_RECL für Stufensteigerung</t>
  </si>
  <si>
    <t>PNP LDB: Incorrect authorization check for IT 0027/0266</t>
  </si>
  <si>
    <t>Additional field P0001-SYHR_A_P0001_AF_P_IS_M is incorrect</t>
  </si>
  <si>
    <t>LSO_PSV2: Purchase requisitions are not created correctly</t>
  </si>
  <si>
    <t>Incorrect transfer of user-defined IT0001 data</t>
  </si>
  <si>
    <t>RHT750XADJUSTMENT: Werteübernahme (resrf, proz..) aus T750x</t>
  </si>
  <si>
    <t>Team lead of position switched incorrectly in T750X</t>
  </si>
  <si>
    <t>PPOME: Accnt assgnmnt: Overwriting inheritance does not work</t>
  </si>
  <si>
    <t>RHT750XADJUSTMENT: Selection of positions</t>
  </si>
  <si>
    <t>Infotype 0001: Value help for budget period causes a dump</t>
  </si>
  <si>
    <t>Infotype 0027 does not have more than 12 entries</t>
  </si>
  <si>
    <t>PPOME: Save account assignment</t>
  </si>
  <si>
    <t>IT1018: falsche Fehlermeldung bei Mehrfachkontierung</t>
  </si>
  <si>
    <t>Consistency check in infotype 1008 reads too many objects</t>
  </si>
  <si>
    <t>PPOME: New values for 1007, 1008, 1013, 1014 not saved</t>
  </si>
  <si>
    <t>Method POSTPRIMARYCOSTS of object BUS6031 is incorrect</t>
  </si>
  <si>
    <t>PPOME: New values for infotype 1001 do not save</t>
  </si>
  <si>
    <t>RHUNIT00: Object type 'CP' infotype records cannot be edited</t>
  </si>
  <si>
    <t>IT0007: Locked data records are evaluated</t>
  </si>
  <si>
    <t>IT 3238: Falsche Eingabe im Feld Auszahlungsperiode</t>
  </si>
  <si>
    <t>Infotyp 3238: Vorschlag Austrittsdatum</t>
  </si>
  <si>
    <t>HR-AT: IT527 Austrittsdatum als Begin u. Endedatum Vorschlag</t>
  </si>
  <si>
    <t>IT0367: Dereg. reason 30 (term. in probation period) missing</t>
  </si>
  <si>
    <t>IT 0101 - Factual Divorce &amp; Income Partner not allowed</t>
  </si>
  <si>
    <t>ANS Normative Resolution No. 250</t>
  </si>
  <si>
    <t>[CL] Incorrect default gender for Father in IT0021</t>
  </si>
  <si>
    <t>Fixed Checkman for PB28</t>
  </si>
  <si>
    <t>Infotype 3532 Supplementary Insurance(CN) allow wrong entry</t>
  </si>
  <si>
    <t>Text missing in F4 help of fields Group(CONGR), Level(CONLV)</t>
  </si>
  <si>
    <t>Monthly Tax Report Enhancement for Off-cycle Correction</t>
  </si>
  <si>
    <t>Data protection: Destroying German personnel master data</t>
  </si>
  <si>
    <t>Cleaning up cluster PC after destruction of absences</t>
  </si>
  <si>
    <t>IT2001: Customer-specific variants for period calculation</t>
  </si>
  <si>
    <t>TMW: User-defined period calc (contd pay, sick pay supplmnt)</t>
  </si>
  <si>
    <t>IT 2001: Sick pay supplement calculation</t>
  </si>
  <si>
    <t>Part-time work in connection with a birth</t>
  </si>
  <si>
    <t>Infotype 0004 (Challenge) Pushbutton size on German screen</t>
  </si>
  <si>
    <t>PY-FR: Create the IDOC Segment E1P3316</t>
  </si>
  <si>
    <t>TNM: "budget"/"RC" oriented views, display issues</t>
  </si>
  <si>
    <t>TNM: runtime error ITAB_DUPLICATE_KEY</t>
  </si>
  <si>
    <t>TNM, trainer costs: ALV/Fast entry issues</t>
  </si>
  <si>
    <t>TNM, training history report: additional changes</t>
  </si>
  <si>
    <t>TNM, trainer costs: structure P1691 not correctly defined</t>
  </si>
  <si>
    <t>Issues in infotype 88 related to certificate provided field</t>
  </si>
  <si>
    <t>Short dump on MPV34300 infotype 16 screen for HK</t>
  </si>
  <si>
    <t>PA-PA-HK: Warning message of 'city' field in IT0006</t>
  </si>
  <si>
    <t>IT0021: OBJPS not sequential from BAPI_FAMILYJP_CREATE</t>
  </si>
  <si>
    <t>RPUNIIJ0: Enhancement on background execution</t>
  </si>
  <si>
    <t>Subtype Check Missing for Pension Infotypes</t>
  </si>
  <si>
    <t>RPLSHAJ0: incorrect selection logic when Retire/Rehire</t>
  </si>
  <si>
    <t>RPCEIAJ0: Incorrect Output in Furigana(Katakana)</t>
  </si>
  <si>
    <t>LC2012: Immigration Control Act Revision</t>
  </si>
  <si>
    <t>IT0538: Can Input Value in Excl.Sep.Pay on Display Mode</t>
  </si>
  <si>
    <t>PA-PA-NL: Modernization of Migration first part</t>
  </si>
  <si>
    <t>IT0808: wrong default value for field CAO Code (CAOCL)</t>
  </si>
  <si>
    <t>Wrong alert message for non-habitual residents in PA30</t>
  </si>
  <si>
    <t>ALE Segment types for PT infotype 0021</t>
  </si>
  <si>
    <t>Long Details of Reasons for Personnel Actions</t>
  </si>
  <si>
    <t>SZV-6-*, ADV-6-*: Legal change, decree 66p at 28.03.2012</t>
  </si>
  <si>
    <t>HR-RU: unclassified qualifications and names in form T-2</t>
  </si>
  <si>
    <t>HR-RU: Changes in report HRUADSV3</t>
  </si>
  <si>
    <t>SZV-6-*: Appendix 3 of Decree 66p at 28.03.2012</t>
  </si>
  <si>
    <t>CE: SZV-6-1: DOGOVOR and DLOTPUSK seniority codes</t>
  </si>
  <si>
    <t>HR-RU: Units of probation period in order T-1</t>
  </si>
  <si>
    <t>Incorrect order of search help items for subtypes of IT00185</t>
  </si>
  <si>
    <t>ALE Segment types for SG and MY infotype 0021</t>
  </si>
  <si>
    <t>Application Link Enabling (ALE) for IT0352</t>
  </si>
  <si>
    <t>Infotype 0021: Saving Non-valid Data Fixed</t>
  </si>
  <si>
    <t>Enabling Object ID for infotypes using OBJPS</t>
  </si>
  <si>
    <t>IT0001: no authorization check in F4-help (STELL, ORGEH)</t>
  </si>
  <si>
    <t>IBAN/SEPA: Message RP 614 issued unnecessarily</t>
  </si>
  <si>
    <t>MOLGA: Poor performance due to many HRP1001 accesses</t>
  </si>
  <si>
    <t>Personal data in HCM: Enhancements to PA Data destruction</t>
  </si>
  <si>
    <t>PU22: Issue when exiting HR preparations for Archiving</t>
  </si>
  <si>
    <t>TA PA30: Green checkmark for infotype 0025</t>
  </si>
  <si>
    <t>RPUDELPN: endless loop (selection excludes employees)</t>
  </si>
  <si>
    <t>Datenschutz: Prüfung in V_T591A f. Subtypen d. Infotyps 0283</t>
  </si>
  <si>
    <t>Personnel action: Button 'Next record' not working (II)</t>
  </si>
  <si>
    <t>PA_LDOC:Exception not handled in the write program</t>
  </si>
  <si>
    <t>Cost assignment can be changed despite payroll area lock</t>
  </si>
  <si>
    <t>IT0001: Previous record assigned to default position</t>
  </si>
  <si>
    <t>IT0031: Too many records copied to ref. personnel number</t>
  </si>
  <si>
    <t>Infotype 0001: Incorrect organizational assignment</t>
  </si>
  <si>
    <t>Infotype 0001: Message RP746 incorrectly triggered</t>
  </si>
  <si>
    <t>Success messages displayed despite dialog suppression</t>
  </si>
  <si>
    <t>PA41: Hiring action can be overwritten</t>
  </si>
  <si>
    <t>Multiple use of the BAdI HRPAD00INFTYBL</t>
  </si>
  <si>
    <t>T588Z: Infotype in background processed several times</t>
  </si>
  <si>
    <t>PA30: Infotype text copied to previous record</t>
  </si>
  <si>
    <t>Header information read at system date (Additional fields)</t>
  </si>
  <si>
    <t>RHINTE30:No batch input folder created despite inconsistency</t>
  </si>
  <si>
    <t>IT0015: 'Assignment Number' in uppercase letters only</t>
  </si>
  <si>
    <t>PZ03/PZ13: Dump UNCAUGHT_EXCEPTION when record is saved</t>
  </si>
  <si>
    <t>Infotype 0001: Payroll area gets not defaulted from ABKRS</t>
  </si>
  <si>
    <t>IT0001: Vorgängersatz wird Default-Planstelle zugeordnet [2]</t>
  </si>
  <si>
    <t>PA41: Detail screen of infotype 0000 with incorrect data</t>
  </si>
  <si>
    <t>PA40: Error message HRBEN00TREEREPORTS 009 (Lock PERNR)</t>
  </si>
  <si>
    <t>Payment method text is not displayed in logon language</t>
  </si>
  <si>
    <t>PA30: Deleting leaving creates unnecessary splits in HRP1001</t>
  </si>
  <si>
    <t>Pension Administration: Infotype text not saved</t>
  </si>
  <si>
    <t>Error message 5A301 when the infotype 0001 is modified</t>
  </si>
  <si>
    <t>IT0001: Personnel Subarea is not defaulted from IT 1008</t>
  </si>
  <si>
    <t>BADI HRPAD00_ADRS: Parameter CV_LANGUAGE_FOR_COUNTRY_NAME</t>
  </si>
  <si>
    <t>Infotype 0001: Message RP746 incorrectly triggered (II)</t>
  </si>
  <si>
    <t>Applicant: Incorrect default values (infotype with subtype)</t>
  </si>
  <si>
    <t>Hiring action in batch: runtime error UNCAUGHT_EXCEPTION</t>
  </si>
  <si>
    <t>IT0001: Dump when calling search help for job</t>
  </si>
  <si>
    <t>IT0302: letzter Änderer unnötig geschrieben</t>
  </si>
  <si>
    <t>IT0021: message number PBAS_SERVICE022 for MOLGA 22</t>
  </si>
  <si>
    <t>IT0008: Amount is not round up to the nearest cent</t>
  </si>
  <si>
    <t>Performance decrease in case several employee photos exist</t>
  </si>
  <si>
    <t>Infotype view: Exception CX_HRPA_INVALID_PARAMETER</t>
  </si>
  <si>
    <t>ALE: Too many change pointers written for infotype 0003</t>
  </si>
  <si>
    <t>Infotype 0014: Currency of indirect valuation is ignored</t>
  </si>
  <si>
    <t>PA30: Next record is not displayed when the record is saved</t>
  </si>
  <si>
    <t>Grundstundenlohnart kann in IT 2010 nicht erfasst werden</t>
  </si>
  <si>
    <t>IT0019/Dynamic action: Reminder Date is not correctly set</t>
  </si>
  <si>
    <t>HCMDP: Erweiterungen im neuen Infotyp-Framework</t>
  </si>
  <si>
    <t>IT0000: Error message PG301 is raised erroneously</t>
  </si>
  <si>
    <t>IT0001: Error message PG225 is raised erroneously</t>
  </si>
  <si>
    <t>PA40: Personnel action type cannot be selected via keyboard</t>
  </si>
  <si>
    <t>IT0015/PA70: Currency not stored in the batch input session</t>
  </si>
  <si>
    <t>PA30: Infotype text lost on overview screen</t>
  </si>
  <si>
    <t>IT0009: IBAN generation for countries without an IBAN</t>
  </si>
  <si>
    <t>PA_TIME: indirect determination of ILM start time</t>
  </si>
  <si>
    <t>Applicant transfer: Data not transferred</t>
  </si>
  <si>
    <t>NITF: dynamisch geänderte Metadaten nicht berücksichtigt</t>
  </si>
  <si>
    <t>RPIBRT00: Batch Input Session triggers error message 00344</t>
  </si>
  <si>
    <t>HR authoriztn check: Symmetric double verification principle</t>
  </si>
  <si>
    <t>PA41: Error message PG 837 issued in infotype 0001</t>
  </si>
  <si>
    <t>SFI: Default Package Interface</t>
  </si>
  <si>
    <t>IT 0008: Planned Compensation - no refresh on screen</t>
  </si>
  <si>
    <t>IT0003: UNAME and AEDTM not filled correctly</t>
  </si>
  <si>
    <t>HRPAD00_C_EMPLOYEES_FOR_USERS: position incorrectly created</t>
  </si>
  <si>
    <t>HCMDP_ Wave 2 Archiving objects</t>
  </si>
  <si>
    <t>RH_TEXT_GET_P0001: Texte nur in Anmeldesprache ermittelt</t>
  </si>
  <si>
    <t>Temporary hiring: Event HIRED of BUS1065 triggered twice</t>
  </si>
  <si>
    <t>PA30: Exception CX_HRPA_INVALID_PARAMETER in overview screen</t>
  </si>
  <si>
    <t>PA30: Retroactive acctg not triggered despite T588G entry</t>
  </si>
  <si>
    <t>IT0003: Feldattribute nicht korrekt gesetzt</t>
  </si>
  <si>
    <t>HCMDP_ Wave 2 Data Retention - Preparation</t>
  </si>
  <si>
    <t>HCMDP: Erweiterungen im neuen Infotyp-Framework[2]</t>
  </si>
  <si>
    <t>IT 0283: Fields on single screen aligned incorrectly</t>
  </si>
  <si>
    <t>Warnmeldung PG 214 nicht ausgelöst beim Löschen</t>
  </si>
  <si>
    <t>IT0001: Fehler bei Änderung Besetzungsprozentsatz</t>
  </si>
  <si>
    <t>PA41: Error message 5A 367 in infotype 0001</t>
  </si>
  <si>
    <t>Warning not issued when entering a wage type</t>
  </si>
  <si>
    <t>PA30: BAdI HRPAD00_B_WTYP_PERM during subtype determination</t>
  </si>
  <si>
    <t>RPLPAY00: Selektionskriterien nicht berücksichtigt</t>
  </si>
  <si>
    <t>Incorrect selection criterion for 'Infotype' selection rule</t>
  </si>
  <si>
    <t>Infotype 0552: Exception CX_SY_ARITHMETIC_OVERFLOW</t>
  </si>
  <si>
    <t>RBM: Korrekturen / Erweiterungen MZ01 (2/2012)</t>
  </si>
  <si>
    <t>FI postings of the pension fund: Incorrect employee name</t>
  </si>
  <si>
    <t>Pension fund: Error message with negative values</t>
  </si>
  <si>
    <t>Runtime error ASSERTION FAILED for report RHRFPM_LIFI</t>
  </si>
  <si>
    <t>Job index: Short texts are not saved</t>
  </si>
  <si>
    <t>Job index: Error message H1 314 when changing job index key</t>
  </si>
  <si>
    <t>ADT: Field ADTKEY_TO is filled even though it is not active</t>
  </si>
  <si>
    <t>ADT keys lost during batch input</t>
  </si>
  <si>
    <t>ADT: Problems when determining texts for keys</t>
  </si>
  <si>
    <t>IT4001: Hiding field OFFID</t>
  </si>
  <si>
    <t>Aplno is incorrectly defaulted in infotype 0139</t>
  </si>
  <si>
    <t>Applicant document not displayed in PB50/PB60</t>
  </si>
  <si>
    <t>0HR_PA_RC_1 , 0HR_PA_RC_2 not fetching any records</t>
  </si>
  <si>
    <t>Incorrect transfer of applicant data</t>
  </si>
  <si>
    <t>PB40: Incorrect defaulting of Personnel area</t>
  </si>
  <si>
    <t>Infotypes with subtypes not transferred for applicants</t>
  </si>
  <si>
    <t>Error occurs when trying to change the schedule of a course</t>
  </si>
  <si>
    <t>Course Program: Proficiency screen displayed incorrectly</t>
  </si>
  <si>
    <t>PT50 (CE): displayed quota information "disappears"</t>
  </si>
  <si>
    <t>Function P2002: Processing full-day attendances</t>
  </si>
  <si>
    <t>Ad hoc query of time infotypes: Count attendances/absences</t>
  </si>
  <si>
    <t>RPTABS50: Display of incorrect attendance/absence category</t>
  </si>
  <si>
    <t>IT 0080: Record cannot be delimited / field AINFT not filled</t>
  </si>
  <si>
    <t>PA61 weekly calendar: Incorrect quota deduction</t>
  </si>
  <si>
    <t>HRTIM: Country specific reaction for FUGR HRTIM00COLLISION</t>
  </si>
  <si>
    <t>Compensation infotype: Infotype text pushbutton too long</t>
  </si>
  <si>
    <t>PA71: Error message 00 347 when batch input session runs</t>
  </si>
  <si>
    <t>PA61: Infotype texts no longer displayed after delimitation</t>
  </si>
  <si>
    <t>PT: Prerequisites for functionality 'Islamic Calendar'</t>
  </si>
  <si>
    <t>Customizing settings for infotypes 0080/0081</t>
  </si>
  <si>
    <t>PA61: Copying records to list entry</t>
  </si>
  <si>
    <t>PDC Recalculation date not set when infotype data changed</t>
  </si>
  <si>
    <t>PT-RC-IW</t>
  </si>
  <si>
    <t>Time Tickets</t>
  </si>
  <si>
    <t>PW01: Cursor behavior after choosing "Enter"</t>
  </si>
  <si>
    <t>BAdI PT_BLP_RET_MESS: New parameter for current data record</t>
  </si>
  <si>
    <t>TMW / PP61 / ESS: BLoP returns duplicate error messages</t>
  </si>
  <si>
    <t>TMW: Error msg. HRTIM00BLPREC006 when changing lock status</t>
  </si>
  <si>
    <t>BLP: Changes for archiving operations in PT</t>
  </si>
  <si>
    <t>PTMW V3S: Endeuhrzeit einer An-/Abwesenheit falsch ermittelt</t>
  </si>
  <si>
    <t>Self Services Web Dy</t>
  </si>
  <si>
    <t>Unauthorized modification of stored content in PT-RC-UI-XS</t>
  </si>
  <si>
    <t>RPTIME00 / PT63: Error message P2 580</t>
  </si>
  <si>
    <t>[AR] ART Non-Remunerative Payment With SAC</t>
  </si>
  <si>
    <t>[AR] SICOSS 36 - Review Situation "Funciones en el exterior"</t>
  </si>
  <si>
    <t>AT: Dokumentation unvollständig für Parameter in P0042/P0044</t>
  </si>
  <si>
    <t>KB: Titel für B2A Manager angepasst</t>
  </si>
  <si>
    <t>AT: Doku für neue BAdI Methode PCALZ Kundenapplikation</t>
  </si>
  <si>
    <t>RPTGENA0: Krankheit am Feiertag an einem arbeitsfreien Tag</t>
  </si>
  <si>
    <t>Dokumentation ASVTG, ASTES, AOTOP</t>
  </si>
  <si>
    <t>RPCSVBA2: SV-Grundl. ohne Beiträge manchmal nicht gemeldet</t>
  </si>
  <si>
    <t>HR-AT: Funktion AUBSR(U-BahnSteuer) Woch. Beitrag Erhöhung</t>
  </si>
  <si>
    <t>PCALZ: Kundenlohnzettelart BAdI für L16 Kennziffern</t>
  </si>
  <si>
    <t>RPTGENA0 selektiert nicht-österreichische Mitarbeiter</t>
  </si>
  <si>
    <t>HR-AT: Funktion AUBSR(UBahnSteuer) bei org. Wechsel/Austritt</t>
  </si>
  <si>
    <t>Altersteilzeit: Index-Erhöhung 2012</t>
  </si>
  <si>
    <t>Gemeindeabgabe Wien: Korrektur für Kalenderwoche 22 in 2012</t>
  </si>
  <si>
    <t>KB B2A: Korrektur wegen Konsolidierungsfehler</t>
  </si>
  <si>
    <t>Darlehen: Berücksichtigung Zinsvorteil bei Darlehen ohne T</t>
  </si>
  <si>
    <t>SV ÖD: Laufende HBG wird um 0,01 überschritten</t>
  </si>
  <si>
    <t>JW 2011/12: Auslandspension II ( KV-pflicht und Lst-frei)</t>
  </si>
  <si>
    <t>/48* wagetype not generated for financial year 2011</t>
  </si>
  <si>
    <t>Function QLVPR - Payroll error after payroll area change</t>
  </si>
  <si>
    <t>Transitional Payments Legal change 2012</t>
  </si>
  <si>
    <t>Flood Levy handling for year end 2011/12</t>
  </si>
  <si>
    <t>Allowances are misaligned on payment summary form</t>
  </si>
  <si>
    <t>Incorrect Wagetypes appearing on Payslip.</t>
  </si>
  <si>
    <t>Tax on Fix Tax amounts incorrect Incase of retro</t>
  </si>
  <si>
    <t>Additional payments wage types are doubled in CRT in 2012</t>
  </si>
  <si>
    <t>T5QSC Superannuation SuperChoices - Super Fund Number length</t>
  </si>
  <si>
    <t>Death Benifit ETP incorrect when a override is maintained</t>
  </si>
  <si>
    <t>Payment Summary:Incorrect LSE reported in case of reversal.</t>
  </si>
  <si>
    <t>Amendment to Note 1692826</t>
  </si>
  <si>
    <t>Payment Summary: GCERTS error occurs when regenerating ETP</t>
  </si>
  <si>
    <t>/109,/409 and /410 is not formed when employee is terminated</t>
  </si>
  <si>
    <t>Incorrect handling of Extra tax in case of Advance Pay</t>
  </si>
  <si>
    <t>CE:ATO report does not run if selection contains companycode</t>
  </si>
  <si>
    <t>Payment Summary Generation report cannot save ALV variant</t>
  </si>
  <si>
    <t>Payment Summary smartform misalignment</t>
  </si>
  <si>
    <t>Infotype text on IT573 not displayed when payroll is locked</t>
  </si>
  <si>
    <t>Parallel leave deduction in IT573 - T5QPBS2E</t>
  </si>
  <si>
    <t>Social Risk Declaration: UN05 Form (valid Q2, 2012)</t>
  </si>
  <si>
    <t>Postal code in infotype 0011 not selectable (Belgium only)</t>
  </si>
  <si>
    <t>Company Car (0442) Infotype - New Pool Car (POOL) Subtype</t>
  </si>
  <si>
    <t>BELCOTAX: Fiche 281.10 - Zone 2.101 (percentage format)</t>
  </si>
  <si>
    <t>Dismissal - Taxable Exemption - Notification date blank</t>
  </si>
  <si>
    <t>RPLDE1B8 - Educational leave report display log</t>
  </si>
  <si>
    <t>Complementary indemnity payments-Incorrect taxable resump.</t>
  </si>
  <si>
    <t>New contribution rates for DeCavaA - Canada dry agreements</t>
  </si>
  <si>
    <t>DmfA: structural reduction - high wages 2012 Q2</t>
  </si>
  <si>
    <t>Student worked days when change of RSZKN</t>
  </si>
  <si>
    <t>Processing class 04 of wagetypes /003 and /108 wrong</t>
  </si>
  <si>
    <t>Activa - Extension of Condition 320D for Allowance 4{</t>
  </si>
  <si>
    <t>Social Risk Declaration - Scenario AL01 as of 01.04.2012</t>
  </si>
  <si>
    <t>SOCIAL BALANCE: Error in Section 2 in case of employee leave</t>
  </si>
  <si>
    <t>Dismissal - Taxable Exemption - Customizing Correction</t>
  </si>
  <si>
    <t>DeCavaA - New employer contribution rates per 01.04.2012-II</t>
  </si>
  <si>
    <t>Company Car: Consider VAT on Discounts - Infotype 0442</t>
  </si>
  <si>
    <t>ALV Heading in B2A Manager for HCM BE</t>
  </si>
  <si>
    <t>Company Car: Consider VAT on Discounts - Function B0442</t>
  </si>
  <si>
    <t>Tax Calculation Type - Number 8 not included in description</t>
  </si>
  <si>
    <t>Various Documentation Changes</t>
  </si>
  <si>
    <t>Checkman - Consistency Update</t>
  </si>
  <si>
    <t>HR_BR_ADVANCE_PAY - misleading advance payment</t>
  </si>
  <si>
    <t>HBRRTER2: Retrocalculated amounts for field 23 - Term. month</t>
  </si>
  <si>
    <t>Leave Allowance Adv. Paymnt - overpayment of double vacation</t>
  </si>
  <si>
    <t>SREP: AFDT and ACJEF files - Employees without time eval.</t>
  </si>
  <si>
    <t>HBRRTER2: The sums fields are not appearing</t>
  </si>
  <si>
    <t>GARN: Manual change in priority feild in IT0066 is not saved</t>
  </si>
  <si>
    <t>YE11: Printing Issues for T4 SAPscript &amp; Pre-printed forms</t>
  </si>
  <si>
    <t>YE11:Incorrect WT cumulation buckets used for 2012 YE forms</t>
  </si>
  <si>
    <t>IT0006: Extension fields reset to old in case of a change</t>
  </si>
  <si>
    <t>TAX: Health tax not generating correctly</t>
  </si>
  <si>
    <t>ROE: report not picking up retro values during amendment run</t>
  </si>
  <si>
    <t>BPS : Correction runs not being considered</t>
  </si>
  <si>
    <t>Withholding tax calculation: Layout corrections in form (FR)</t>
  </si>
  <si>
    <t>WHT VD: EMP-ACI: Error handling in CL_HRPAYCH_QSVD_EMP_ACI</t>
  </si>
  <si>
    <t>Employer statement: Language-dependent adj. of bar code</t>
  </si>
  <si>
    <t>WHT accounting: Output of canton data in form header</t>
  </si>
  <si>
    <t>[CL] Reliquidation for Annual Gratuity Payment Report</t>
  </si>
  <si>
    <t>[CL] Heavy Work job name for PREVIRED report</t>
  </si>
  <si>
    <t>[CL] Missing Gratuity wage type in retroactive calculation</t>
  </si>
  <si>
    <t>[CL] Corrections and enhancements for  Reliquidation process</t>
  </si>
  <si>
    <t>[CL] Documentation corrections</t>
  </si>
  <si>
    <t>Correction of links to Data Medium Exchange</t>
  </si>
  <si>
    <t>[CL] Incorrect overtime wage types generation in CLOVR</t>
  </si>
  <si>
    <t>[CL] Incorrect vacation provision WT calculation</t>
  </si>
  <si>
    <t>[CL] Documentation: Heavy Work job name for PREVIRED report</t>
  </si>
  <si>
    <t>Dummy Note for SASAC Project</t>
  </si>
  <si>
    <t>Disable Employee Tax Reduction for Year End Bonus</t>
  </si>
  <si>
    <t>Tax Amount Inflow Displayed Incorrectly on HCNCTAX0</t>
  </si>
  <si>
    <t>Tax Reduction for Disability Employees Calculation Error</t>
  </si>
  <si>
    <t>HCNCTAX0: Missing Header Text in Deductible Tax Column</t>
  </si>
  <si>
    <t>Wage type /412 in DAB if change of position</t>
  </si>
  <si>
    <t>HR forms: Classification</t>
  </si>
  <si>
    <t>B2A: Minor corrections (01/2012)</t>
  </si>
  <si>
    <t>SI: Composite SAP Note 3/2012</t>
  </si>
  <si>
    <t>Rejection in payroll for net amounts in DV90 /125</t>
  </si>
  <si>
    <t>Correction for SAP Note 1624079 / DBSD</t>
  </si>
  <si>
    <t>SFP: No ANMEL with notification key 11 for entry</t>
  </si>
  <si>
    <t>DEUEV: Corrections V</t>
  </si>
  <si>
    <t>Year-end legal change 2011/2012 DEUEV: Corrections 4</t>
  </si>
  <si>
    <t>PPO-DEUEV: Corrections (8)</t>
  </si>
  <si>
    <t>ELENA: Improving the performance of deletion report RPUELDD0</t>
  </si>
  <si>
    <t>EEL: Error for submission reason 51 (income liable to contr)</t>
  </si>
  <si>
    <t>EEL: Enhancement of status management</t>
  </si>
  <si>
    <t>EEL: Unreq correction notificatn due to data module DBAW II</t>
  </si>
  <si>
    <t>ZMV: Changes on July 01, 2012</t>
  </si>
  <si>
    <t>EEL: Process view - corrections and enhancements 5</t>
  </si>
  <si>
    <t>EEL: Error creating preexisting conditions queries</t>
  </si>
  <si>
    <t>EEL: Corrections and enhancements (06/2012)</t>
  </si>
  <si>
    <t>EEL: Stmnt of earnings maternity pay for part-time employees</t>
  </si>
  <si>
    <t>Prohibited activity: Error when using the parameter UNGK</t>
  </si>
  <si>
    <t>BVV: Corrections 05 2012</t>
  </si>
  <si>
    <t>Statement of contributions paid: Commits inserted</t>
  </si>
  <si>
    <t>RPCZIHD0: Enhancement of assignment using insurance number</t>
  </si>
  <si>
    <t>Non-recurring payment during sick pay for challenged persons</t>
  </si>
  <si>
    <t>RPCKULD3 Minus amount for actual remuneration</t>
  </si>
  <si>
    <t>RHC: Function DKUG West/East indicator incorrect</t>
  </si>
  <si>
    <t>RHC: Calc. of planned and actual remun. for public holidays</t>
  </si>
  <si>
    <t>ELStAM: Advance delivery for CLC</t>
  </si>
  <si>
    <t>Error delimiting using view V_T512C</t>
  </si>
  <si>
    <t>RPCALCD0: Termination if annuity payment too high</t>
  </si>
  <si>
    <t>Deleted guarantee amount in IT 509 appears again</t>
  </si>
  <si>
    <t>ZfA: Assigning ZK01 notification using name of child</t>
  </si>
  <si>
    <t>New secondary index for table PA0021</t>
  </si>
  <si>
    <t>Pub Serv reg. Rheinland-Pfalz: Cost-of-living adjustment IV</t>
  </si>
  <si>
    <t>Collective agreement rounds TVoeD 2012 / 2013</t>
  </si>
  <si>
    <t>Payroll termination in subschema X020 due to wage type /462</t>
  </si>
  <si>
    <t>Personnel statistics: Federal voluntary service</t>
  </si>
  <si>
    <t>TV FlexAZ: No factoring in case of mid-month start</t>
  </si>
  <si>
    <t>Admin. change to PDF-based print forms for retro pension ins</t>
  </si>
  <si>
    <t>Termination that SET SCREEN is not allowed on subscreens</t>
  </si>
  <si>
    <t>Treaty on the sharing of pension costs (18)</t>
  </si>
  <si>
    <t>System measurement pension administration (HR-VADM)</t>
  </si>
  <si>
    <t>Reduction sect 57: Index-linking in case of minimum pension</t>
  </si>
  <si>
    <t>Enhancements for registered partnership (3)</t>
  </si>
  <si>
    <t>Incorrect creation of statements for dependents (man.)</t>
  </si>
  <si>
    <t>BAdI HRPBSDEXXAD_DEFAULT has no effect</t>
  </si>
  <si>
    <t>Garnishment of holiday bonus when using VADM</t>
  </si>
  <si>
    <t>Administrative change to Adobe forms of PAdm</t>
  </si>
  <si>
    <t>Bonification methods independent of reduction method 0050</t>
  </si>
  <si>
    <t>Issue with daily regulatory base for Multiple Employment</t>
  </si>
  <si>
    <t>TC: Issue with additional settlements and retro. differences</t>
  </si>
  <si>
    <t>Wrong IT contribution for new ingress employees</t>
  </si>
  <si>
    <t>DIS_65 field is not displayed in IRPF TemSe file</t>
  </si>
  <si>
    <t>TC: Missing EDTCA30, EDTCA31 and EDTCA32 segments</t>
  </si>
  <si>
    <t>TC: Issue with Incentive group (COLIN) field and splits</t>
  </si>
  <si>
    <t>Contract Printing: new forms of Royal Decree-Law 03/2012</t>
  </si>
  <si>
    <t>CPERSONAL: Notified strike always reported as collision</t>
  </si>
  <si>
    <t>FDI: Issue with number of days and part-time period</t>
  </si>
  <si>
    <t>CALC: Wrong SS bases in case of VND collision for artists</t>
  </si>
  <si>
    <t>CALC: Unpaid absences incorrectly discounted from Allowances</t>
  </si>
  <si>
    <t>CALC: RPCALCE0 not recognizing training program employee II</t>
  </si>
  <si>
    <t>CALC: EDSS0 generates /3AC wage type without split indicator</t>
  </si>
  <si>
    <t>Certific@2: inconsistent extinction/suspension date for ERE</t>
  </si>
  <si>
    <t>Some fields of 0016 infotype are not shown in V_T588M</t>
  </si>
  <si>
    <t>Field STAFI of 0799 infotype is editable in display mode</t>
  </si>
  <si>
    <t>TC: Missing Control date field in TCT segment of ERE</t>
  </si>
  <si>
    <t>TC: Incorrect COLIN reported</t>
  </si>
  <si>
    <t>TC: Missing NIF in additional settlements</t>
  </si>
  <si>
    <t>TC: Missing CA50 for employees under Training Contract</t>
  </si>
  <si>
    <t>RED 02/2012: New bonifications</t>
  </si>
  <si>
    <t>Contract Printing: Issue when changing contract type</t>
  </si>
  <si>
    <t>DAQ: Not possible to set the XML Encoding</t>
  </si>
  <si>
    <t>Delt@: wrong XML Encoding in XML files</t>
  </si>
  <si>
    <t>Electronic posting is introduced in report HFICEDT0_ELETTER</t>
  </si>
  <si>
    <t>Correction of BAdi call to HR_PAY_06_REF_PERIOD</t>
  </si>
  <si>
    <t>Gestion des contrats spéciaux customizing guide: Modified</t>
  </si>
  <si>
    <t>RPLDUCF0: DUCS Paper: incorrect ALV deltas</t>
  </si>
  <si>
    <t>DUCS regularization: delta error</t>
  </si>
  <si>
    <t>PY-FR:It is impossible to delimit the infotype 0272 - III</t>
  </si>
  <si>
    <t>Infotype 0424 /0080 - Lock indicator</t>
  </si>
  <si>
    <t>PY-FR: CERFA N° 10595 * 14 form for year 2012 - DMMO</t>
  </si>
  <si>
    <t>Forced IJSS subrogation via IT0424</t>
  </si>
  <si>
    <t>Create new screen 2006 for IT0023</t>
  </si>
  <si>
    <t>DN-AC AED Misc. Corrections 2</t>
  </si>
  <si>
    <t>DMMO: Hiring of trainee is not declared</t>
  </si>
  <si>
    <t>DN-AC AED: Corrections</t>
  </si>
  <si>
    <t>PY-FR: XML tags for the zones QUALI and PMRSO</t>
  </si>
  <si>
    <t>DN-AC AED: Download of envelope and final file</t>
  </si>
  <si>
    <t>Report RPLDUEF0: health center code support</t>
  </si>
  <si>
    <t>Decrees - Visa signees are not retrived at issue date</t>
  </si>
  <si>
    <t>RTI updates</t>
  </si>
  <si>
    <t>Starter Report - No Tax District Number</t>
  </si>
  <si>
    <t>PY-GB-PS: USS Final Salary Schemes: Monthly Reporting</t>
  </si>
  <si>
    <t>End Of Year - Business error at Gateway on NI category X</t>
  </si>
  <si>
    <t>PI release: Error in B2A manager when manual polling gateway</t>
  </si>
  <si>
    <t>Position of Design and Date field is not correct in IR56B</t>
  </si>
  <si>
    <t>Total in MPF file output not match with the sum of details</t>
  </si>
  <si>
    <t>Rental amount rounding in report IR56B is not correct</t>
  </si>
  <si>
    <t>PY-HK: IR56F Item 8 &amp; Item 17 should be Postal Address</t>
  </si>
  <si>
    <t>PY:IE Usability Note / Checkman / Accessibilty NOTE [SELF].</t>
  </si>
  <si>
    <t>P45 SAP Script issues</t>
  </si>
  <si>
    <t>Issue with P46 form in P45P3/P46 XML</t>
  </si>
  <si>
    <t>Pension Related Development (PRD) DRQ's Effective 2011 (14)</t>
  </si>
  <si>
    <t>Pension Related Development (PRD) DRQ's Effective 2011 (15)</t>
  </si>
  <si>
    <t>Pension Related Development (PRD) DRQ's Effective 2011 (16)</t>
  </si>
  <si>
    <t>Pension Related Development (PRD) DRQ's Effective 2011 (17)</t>
  </si>
  <si>
    <t>Pension Related Development (PRD) DRQ's Effective 2011 (18)</t>
  </si>
  <si>
    <t>PY-IE:P45 Address issue</t>
  </si>
  <si>
    <t>PY-IN - Document changes</t>
  </si>
  <si>
    <t>HINCF160:Issue in printing customer specific text on Form 16</t>
  </si>
  <si>
    <t>Prev. Employment Not To Be Shown On Annexure II Of Form 24Q</t>
  </si>
  <si>
    <t>Form 24Q inconsistent for TAN based reporting</t>
  </si>
  <si>
    <t>Annexure II not displayed for Ee's with no tax in quarter 4</t>
  </si>
  <si>
    <t>Ee's not selected for TAN based reporting on Form 24Q</t>
  </si>
  <si>
    <t>Employer Address Displayed Inconsistently On ESI Form 5(new)</t>
  </si>
  <si>
    <t>Form 24Q:Multiple Ee's not displayed in deductee details</t>
  </si>
  <si>
    <t>Form 24Q: Senior citizen category not displayed correctly</t>
  </si>
  <si>
    <t>Multiple Company Code Transfer - Form 16 in TAN Based Report</t>
  </si>
  <si>
    <t>Form16: Details displayed inconsistently</t>
  </si>
  <si>
    <t>Form 24Q:Deductee details not displayed consistently for Ee</t>
  </si>
  <si>
    <t>HR-IT: F24 Accise for INPGI contribution</t>
  </si>
  <si>
    <t>HR-IT: F24: Error when generating CBI file</t>
  </si>
  <si>
    <t>HR-IT: F24 2010 Sezione Erario special codes (T5ITW9)</t>
  </si>
  <si>
    <t>HR-IT: F24 Credit Compensation</t>
  </si>
  <si>
    <t>HR-IT: F24 - Missing personal number in BAdI call</t>
  </si>
  <si>
    <t>HR-IT: F24 INPS CoCoCo wrong debito/credito fill</t>
  </si>
  <si>
    <t>HR-IT: IRPEF for local taxes (Addiz. Comunali all'IRPEF)</t>
  </si>
  <si>
    <t>HR-IT: Modello 770-2012 Correction Package I</t>
  </si>
  <si>
    <t>HR-IT: Modello 770-2012 Correction Package II</t>
  </si>
  <si>
    <t>HR-IT: Addizionale Comunali all'IRPEF Corrections</t>
  </si>
  <si>
    <t>Output of Adjusted Average Amount in Santei/Geppen Form</t>
  </si>
  <si>
    <t>Incorrect YTT Due to Retro over Old YEA Results</t>
  </si>
  <si>
    <t>Layoff and Low Payment for Leave in Santei/Geppen Evaluation</t>
  </si>
  <si>
    <t>RPCEWGJ1: Wage Ledger Koh Ran and Otsu Ran Separation</t>
  </si>
  <si>
    <t>Dummy Note - PDF Form Development</t>
  </si>
  <si>
    <t>Mid-YEA 2012: YEA Receipt and Separation Receipt</t>
  </si>
  <si>
    <t>EI Adjustment in Off-cycle Payrolls (0007/0008) is Incorrect</t>
  </si>
  <si>
    <t>Changed: Deduction Order of Separation Payment</t>
  </si>
  <si>
    <t>2012LC:National Pension Maximum and Minimum Monthly Comp.</t>
  </si>
  <si>
    <t>[MX] No proportional discount for INFONAVIT credits</t>
  </si>
  <si>
    <t>[MX] HMXCAFL0 is considering all subtypes from IT0370</t>
  </si>
  <si>
    <t>[MX] Notice data definition on report HLACTRM0 enhancements</t>
  </si>
  <si>
    <t>LC-2012: SOCSO 8A, 8B, Borang 2 and Lampiran A form changes</t>
  </si>
  <si>
    <t>PY-MY : Issues in Rounding of EPF Earnings in Some Scenarios</t>
  </si>
  <si>
    <t>PY-MY : Issue in additional payments reported in CP22 form</t>
  </si>
  <si>
    <t>Removed ALV Heading in B2A Manager for HCM NL</t>
  </si>
  <si>
    <t>Changes in documentation of report RPCNETN0</t>
  </si>
  <si>
    <t>PY-NL: Correction to Evaluation of Add. Terms of Employment</t>
  </si>
  <si>
    <t>RPCALCN0: new parameter for IF payroll function</t>
  </si>
  <si>
    <t>Correction of Wage Return - additional status</t>
  </si>
  <si>
    <t>WCR: Correction short and long texts messages HRPAYNLLA_EN</t>
  </si>
  <si>
    <t>RPCLALN1: authorization issue with JUPER</t>
  </si>
  <si>
    <t>NLLA0: LA-INDDA not filled upon more than two splits</t>
  </si>
  <si>
    <t>New Reimbursement Solution -  Issues April 2012</t>
  </si>
  <si>
    <t>Issues when termination and Holiday quota settlement</t>
  </si>
  <si>
    <t>Altinn-2 ERC reporting: Swap of selection field display</t>
  </si>
  <si>
    <t>Altinn-2 framework - support of time zone information</t>
  </si>
  <si>
    <t>AA Register - correction for 'Juridisk nummer' input field</t>
  </si>
  <si>
    <t>Incorrect Error Message when no data present in T7UNPAD_DSPA</t>
  </si>
  <si>
    <t>Incorrect Reporting in Employer Monthly Schedule report</t>
  </si>
  <si>
    <t>PY-NZ : Issues when student loan arrears is positive</t>
  </si>
  <si>
    <t>PY-NZ: Incorrect Rate for Alternate Leave cashup</t>
  </si>
  <si>
    <t>Issues in payroll when IT0310 record is deleted or delimited</t>
  </si>
  <si>
    <t>HNZCTR10 - Incorrect output when payscale overrides are used</t>
  </si>
  <si>
    <t>PY-PH: Incorrect SSS no reported on ALV display of HPHRSBR0</t>
  </si>
  <si>
    <t>Single report: error when computing establishment (attch. 0)</t>
  </si>
  <si>
    <t>RPCWARP0: Message error when Log is displayed</t>
  </si>
  <si>
    <t>Single Report: Legal changes for version 2011</t>
  </si>
  <si>
    <t>RPCSSRP0: Wrong number of days for part-time employees</t>
  </si>
  <si>
    <t>Single Report: Changes in attachment E for version 2011</t>
  </si>
  <si>
    <t>Single Report: issue with radio buttons at selection screen</t>
  </si>
  <si>
    <t>Single Report: correction for attachment 0 and A (ver.2011)</t>
  </si>
  <si>
    <t>ADSE: employer compensation not generated for 4 days week EE</t>
  </si>
  <si>
    <t>CGA report: Wrong nº of days when regime is Four Days Week</t>
  </si>
  <si>
    <t>ADSE XML report: retroactive movements are not displayed</t>
  </si>
  <si>
    <t>HR-RU: Several different OC types in the same day</t>
  </si>
  <si>
    <t>HR-RU: Issues with operation RUOC1</t>
  </si>
  <si>
    <t>HR-RU: 4-FSS Generates Dump 'CX_SY_PROVIDE_INTERVAL_OVERLAP'</t>
  </si>
  <si>
    <t>HR-RU: HRUCALC0_CE stops with error in SETCU after off-cycle</t>
  </si>
  <si>
    <t>HR-RU: Tax set-off if tax status of employee is changed</t>
  </si>
  <si>
    <t>HR-RU: Payee name truncated or incorrect in payment runs</t>
  </si>
  <si>
    <t>CE: SZB-6-1/2: dump in FM HR_RU_SEN_SEL_DOGOVOR</t>
  </si>
  <si>
    <t>PY-RU: Negative SI bases in retro if P68=8 for wages /12*</t>
  </si>
  <si>
    <t>ATS forms: KM with car field mapping in KU01</t>
  </si>
  <si>
    <t>RPLTCES0: Issues with the Employer´s certificate</t>
  </si>
  <si>
    <t>PY-SG: FWL tier text change (w.e.f. 01.01.2012) in V_T5R1D</t>
  </si>
  <si>
    <t>Incorrect /3OW calculation in EHP5 AW ceiling methods</t>
  </si>
  <si>
    <t>Double Barreled Race Option in IT0077 (Ethnicity)</t>
  </si>
  <si>
    <t>PY-SG: IT0002 Updated from IT0185</t>
  </si>
  <si>
    <t>CPF adjustments in termination month</t>
  </si>
  <si>
    <t>Termination period TOW adjustment in EHP5 system</t>
  </si>
  <si>
    <t>PY-TH: SS contribution rates incorrectly displayed</t>
  </si>
  <si>
    <t>Incorrect contribution rates on the SS Summary form in retro</t>
  </si>
  <si>
    <t>PY-TH: Missing authorization default values</t>
  </si>
  <si>
    <t>HTWLCE00: Missing ALV Field Heading</t>
  </si>
  <si>
    <t>USCLM: Alternative rule to determine work hours</t>
  </si>
  <si>
    <t>PY-US: Usability corrections</t>
  </si>
  <si>
    <t>IT0221: Benefit WT not associated with correct benefit area.</t>
  </si>
  <si>
    <t>IT0221: Benefit WT not associated with correct benefit area</t>
  </si>
  <si>
    <t>BEN: 457 unutilized amt (wage type /PCU) is not adjusted.</t>
  </si>
  <si>
    <t>BEN: 457 combined contribution limit applied incorrectly.</t>
  </si>
  <si>
    <t>BEN: 457 employer catch-up is incorrect.</t>
  </si>
  <si>
    <t>BEN: Incorrect catch-up due to 457 contrib. limit increase</t>
  </si>
  <si>
    <t>BEN: 457 Roth incorrect catch-up contrib. on limit increase</t>
  </si>
  <si>
    <t>TR: All Mag. Media Files not properly displaying the files</t>
  </si>
  <si>
    <t>TR: Sched B retro not considering As of date for Hire Act</t>
  </si>
  <si>
    <t>TR: PSD codes are not displayed in magnetic media fields</t>
  </si>
  <si>
    <t>TR: Incorrect name format in SUI Tennessee Magmedia</t>
  </si>
  <si>
    <t>TR: Performance issues with SUI Indiana</t>
  </si>
  <si>
    <t>TAX: Add. Exemption Amount is incorrect in BSI Interface.</t>
  </si>
  <si>
    <t>[VE] Notice data definition on report HLACTRM0 for Venezuela</t>
  </si>
  <si>
    <t>[VE] Additional corrections for note 1720149</t>
  </si>
  <si>
    <t>Incorr system response in FM HR_GET_VALUES_ASSIGN_WAGETYPES</t>
  </si>
  <si>
    <t>HR-AT: Infotype 527 not available for RPCALCA0</t>
  </si>
  <si>
    <t>Wrong status in payroll directory during payroll run</t>
  </si>
  <si>
    <t>Old payroll log displayed when 'Display log' is not selected</t>
  </si>
  <si>
    <t>T500L: New country grouping for Palestine</t>
  </si>
  <si>
    <t>RPCALCE0: Displaying the old log</t>
  </si>
  <si>
    <t>message "No forms available" from payroll driver</t>
  </si>
  <si>
    <t>Dump in the report H99UDDED</t>
  </si>
  <si>
    <t>Report RPUDELPN cannot delete Brazilian PCL2 cluster data</t>
  </si>
  <si>
    <t>No error message with missing authorization</t>
  </si>
  <si>
    <t>After error message, the program H99UDDED stops working.</t>
  </si>
  <si>
    <t>Infotype 267 'Period/key date' change to value 'Key Date'</t>
  </si>
  <si>
    <t>Call of transaction PC00_M99_CIPE with CE</t>
  </si>
  <si>
    <t>Poor performance of RPCDTCU0</t>
  </si>
  <si>
    <t>RPCDTAQ0_CE: no transfer data</t>
  </si>
  <si>
    <t>DME: Run status not updated</t>
  </si>
  <si>
    <t>Error message HRPAY99OC051 missing last two characters</t>
  </si>
  <si>
    <t>Skipping records after a warning message</t>
  </si>
  <si>
    <t>Parallel start of RPCDTAx0 and RPCDTAx0_CE</t>
  </si>
  <si>
    <t>Runtime error 'Assertion Failed' for PRE-DME program</t>
  </si>
  <si>
    <t>RPCIPE00 / RPCIPE01  Performance problems for many errors</t>
  </si>
  <si>
    <t>RPCIPE01/RPCIPE01CE: Zero Amount Line Items</t>
  </si>
  <si>
    <t>PCP0: Display of archived index data</t>
  </si>
  <si>
    <t>RPCIPE00: Zero Amount Line Items</t>
  </si>
  <si>
    <t>RPCIPE01: No error for locked customer or vendor</t>
  </si>
  <si>
    <t>Deletion of posting runs incomplete</t>
  </si>
  <si>
    <t>RPCIPE01: Program termination SYSTEM_DATA_ALREADY_FREE</t>
  </si>
  <si>
    <t>H99_POST_PAYMENT with syntax error in HR_POSTING_UPDATE_PAYR</t>
  </si>
  <si>
    <t>Correction of documentation for error message 3g 119</t>
  </si>
  <si>
    <t>RPCIPE01: Transaction code</t>
  </si>
  <si>
    <t>RPCIPE00: Rounding differences</t>
  </si>
  <si>
    <t>RPCIPE01: Distribution/posting - table LIDI/RT</t>
  </si>
  <si>
    <t>RPCIPE00: Bal of retro acc. chain, country split for outflow</t>
  </si>
  <si>
    <t>Perfomance problems in report H99CWTR0</t>
  </si>
  <si>
    <t>Transaction PUFK doesn't support character Country Groupings</t>
  </si>
  <si>
    <t>Infotype 0655: No icon for button "Maintain text"</t>
  </si>
  <si>
    <t>OTMx: Enable SWIFT Field</t>
  </si>
  <si>
    <t>CONVT_OVERFLOW runtime error for IT0008 indirect valuation</t>
  </si>
  <si>
    <t>PU12:  Non-payroll exports having no IT7/8 causes (Ver 2.0)</t>
  </si>
  <si>
    <t>PU12: dump "READ_REPORT_LINE_TOO_LONG"</t>
  </si>
  <si>
    <t>OCWB reason incorrect when running py in several sessions</t>
  </si>
  <si>
    <t>Incorrect Bank Account in BT caused by vacant OC reasons</t>
  </si>
  <si>
    <t>Offcycle workbench cannot list all payroll results.</t>
  </si>
  <si>
    <t>Add a retroactivity protection for note 1560242</t>
  </si>
  <si>
    <t>Delimitation in view V_T51AV_B does not work.</t>
  </si>
  <si>
    <t>AVERA does not have the same amounts after note 1610900</t>
  </si>
  <si>
    <t>Function TRANS clears employee subgroup grouping (ABART)</t>
  </si>
  <si>
    <t>Wage type is mapped in an incorrect WPBP split</t>
  </si>
  <si>
    <t>Wrong /LRP amount during loan calculation with foreign curr.</t>
  </si>
  <si>
    <t>Payment model: rounding adjustment for IT0014</t>
  </si>
  <si>
    <t>RPCLOG00: Repayments and loan balance fields not cumulated</t>
  </si>
  <si>
    <t>Payment model: Removal of note 1639253</t>
  </si>
  <si>
    <t>MEA: Accruals 'entered delayed wage types'</t>
  </si>
  <si>
    <t>Enhancements in Termination report for Mexico and Venezuela</t>
  </si>
  <si>
    <t>HR_99S_GET_DURATION</t>
  </si>
  <si>
    <t>[PY-XX-RS] Wrong amounts in report HLACTRM0 for Columbia</t>
  </si>
  <si>
    <t>Error when reading Temse files containing P-fields</t>
  </si>
  <si>
    <t>DAQ Ext. Data API: Deleting nodes, memory consumption, etc.</t>
  </si>
  <si>
    <t>HRPAL: Incorrect min linesize</t>
  </si>
  <si>
    <t>DAQ - Dump in Method CL_HR99S00_XML_DAQ-&gt;fill_look_up_table</t>
  </si>
  <si>
    <t>Internationalization of class CL_HRPAY00_MESSAGE_HANDLER</t>
  </si>
  <si>
    <t>Performance improvement DAQ tree iterator</t>
  </si>
  <si>
    <t>AED Process - Add new field to T5F99FD and new maintain view</t>
  </si>
  <si>
    <t>P99B: P3213 review action items - Corrections June 2012</t>
  </si>
  <si>
    <t>HR Attributes Jun-2012</t>
  </si>
  <si>
    <t>PUST_LIM transaction does not show status popup</t>
  </si>
  <si>
    <t>Process Model: short dump DBIF_RSQL_INVALID_RSQL</t>
  </si>
  <si>
    <t>H99_POST_PAYMENT after Off-Cycle Replacement</t>
  </si>
  <si>
    <t>After note 1583563, process model does not run</t>
  </si>
  <si>
    <t>PU30: Tables not locked with MOLGA</t>
  </si>
  <si>
    <t>Wrong system/client's role returned</t>
  </si>
  <si>
    <t>Process model Communication not updated correctly in T52SMSC</t>
  </si>
  <si>
    <t>Process model does not display multiple spoolfiles</t>
  </si>
  <si>
    <t>Check in PA03 for data destruction</t>
  </si>
  <si>
    <t>Date Driven OFO Codes and Alt. Title texts</t>
  </si>
  <si>
    <t>Alphanumeric Bank Types Causing Runtime Erorrs in RPCTCGW0</t>
  </si>
  <si>
    <t>EEA2: No of employees reported incorrect under Sec 6.1/9.1</t>
  </si>
  <si>
    <t>V_T5W15_INFOTYPE display Group data for Job without OFO code</t>
  </si>
  <si>
    <t>Medical Aid Credit on total monthly tax</t>
  </si>
  <si>
    <t>IRP5 August 2013 submissions legal change</t>
  </si>
  <si>
    <t>SARS Code 3070 - Passport Number Contains Space</t>
  </si>
  <si>
    <t>IRP5 issue for multiple PAYE reference in year</t>
  </si>
  <si>
    <t>COID: Employees not in company code reported</t>
  </si>
  <si>
    <t>Correction of incorrect English text 'Mosambique'</t>
  </si>
  <si>
    <t>Translation FR</t>
  </si>
  <si>
    <t>Missing French translations in trans. PPOME</t>
  </si>
  <si>
    <t>Translation NL</t>
  </si>
  <si>
    <t>Correction of translation of 'Registration date'</t>
  </si>
  <si>
    <t>SAPKE60450</t>
  </si>
  <si>
    <t>HR LDAP extraction: Deleting persons does not work</t>
  </si>
  <si>
    <t>The cost center is shown with  the prefixed zeros.</t>
  </si>
  <si>
    <t>HCM Objects - Employee and basic infotypes</t>
  </si>
  <si>
    <t>National Health Card - validating non-numeric characters</t>
  </si>
  <si>
    <t>PHF/SI reports foreigner name over 10 characters error</t>
  </si>
  <si>
    <t>Data protection: Destroying German personnel master data (2)</t>
  </si>
  <si>
    <t>Garnishment master data: Assigning garnishment number II</t>
  </si>
  <si>
    <t>TNM, Trainer Costs: issue with "multiple" daily sc</t>
  </si>
  <si>
    <t>RPCNRPJ0: Dates Are Not Displayed Properly</t>
  </si>
  <si>
    <t>RPLDDLJ0 &amp; RPCRTXJ0 &amp; RPCLSTYJ: ALV display Correcti</t>
  </si>
  <si>
    <t>HJPUBP_PNTASN: Error show for Next Pernr</t>
  </si>
  <si>
    <t>Add Structure CI_0539 and CI_0540 to P0539 and P0540</t>
  </si>
  <si>
    <t>Register No. check of Foreign EEs&amp;Period Attribute on Se</t>
  </si>
  <si>
    <t>[MX] IT0369 - Error message regarding IMSS number validation</t>
  </si>
  <si>
    <t>PA-PA-NL: Modernization of Migration - Final Part</t>
  </si>
  <si>
    <t>EIR: Adjustment of Structure PMEN9</t>
  </si>
  <si>
    <t>Pension Return to APG: Additional index for P05TPRNL_EE_ADMS</t>
  </si>
  <si>
    <t>Time rounding in infotype 0876</t>
  </si>
  <si>
    <t>HR-RU: HRULP4 Dismissal on Last Day/Period: Incorrect Output</t>
  </si>
  <si>
    <t>HR-RU: Fields' length for responsibles in SZV ADV PDF-forms</t>
  </si>
  <si>
    <t>HR-RU: correction of packages quantity tag of ADV-6-2 XML</t>
  </si>
  <si>
    <t>HR-RU: update of T-2 PDF form for best positioning of blocks</t>
  </si>
  <si>
    <t>IT0004 enhancement: SUBSCREEN_T582C is far of default fields</t>
  </si>
  <si>
    <t>HR-RU: Weeks in probation period in order T-1(a)</t>
  </si>
  <si>
    <t>PA-PA-TH: Add Structure CI_0187 to PS0187</t>
  </si>
  <si>
    <t>BEN: GTLI inputed income rounding issue</t>
  </si>
  <si>
    <t>Personal timezone of the admin is not considered</t>
  </si>
  <si>
    <t>PP61: Previous day indicator (availabilities) missing</t>
  </si>
  <si>
    <t>[AR] Performance Enhancement for No Remunerative calculation</t>
  </si>
  <si>
    <t>[AR] Documentation: ART, SICOSS and ARDIV legal changes</t>
  </si>
  <si>
    <t>[AR] Customizing for Contract Type and Contract Category</t>
  </si>
  <si>
    <t>Drittschschuldnererklärung Darlehen nicht berücksichtigt</t>
  </si>
  <si>
    <t>Dienstzettel: Variable Zeitraumauswahl</t>
  </si>
  <si>
    <t>RR Vorjahre: Doppelter Betrag LA /45D</t>
  </si>
  <si>
    <t>RPCKSJA1: Freibetrag falsch berücksichtigt</t>
  </si>
  <si>
    <t>Legal Requirement: Voluntary Contribution for Emp Over 65</t>
  </si>
  <si>
    <t>/130 is Missing in T54C3</t>
  </si>
  <si>
    <t>/420 and /424 missed in retro termination across FY</t>
  </si>
  <si>
    <t>Averages, /109 incorrect when there is a mid-period rehire</t>
  </si>
  <si>
    <t>Method B &amp; C: Tax on back payment incorrect</t>
  </si>
  <si>
    <t>Payment Summary smartform issues 2</t>
  </si>
  <si>
    <t>Leave Loading Legal Change 2012</t>
  </si>
  <si>
    <t>Payment Summary: Incorrect LSE reported when LSE is Negative</t>
  </si>
  <si>
    <t>/ARF is genarated in a retro within Fy yr.</t>
  </si>
  <si>
    <t>Incorrect record is selected for wagetype having multiple en</t>
  </si>
  <si>
    <t>Tax not calculated on Leave Loading paid across Fin. Yr.</t>
  </si>
  <si>
    <t>Tax thresholds &amp; limits for 2012/2013 tax year</t>
  </si>
  <si>
    <t>LSL Service Years calculation in QLVPR</t>
  </si>
  <si>
    <t>Incorrect refund for LSA leave change across FY</t>
  </si>
  <si>
    <t>Amendment to Note 1724674</t>
  </si>
  <si>
    <t>Handling of Tax Scale 7,7H and 7S for year end 2011/12</t>
  </si>
  <si>
    <t>Advance Pay: Incorrect extra tax import in payment period.</t>
  </si>
  <si>
    <t>2012 Tax: /BGT formed incorrectly in across FY scenario.</t>
  </si>
  <si>
    <t>Warning message not generated in a particular LSE case</t>
  </si>
  <si>
    <t>Locked IT573 LSL record influencing LSL termination split</t>
  </si>
  <si>
    <t>Social Insurance: Framework for the Notification Viewer</t>
  </si>
  <si>
    <t>BELCOTAX: New option for use of Infotype 3207</t>
  </si>
  <si>
    <t>DmfA: no MeanWorkingHours/WDS when REMES 003 + Dismissal</t>
  </si>
  <si>
    <t>Work Bonus: Split Assignment - Reduction Distribution</t>
  </si>
  <si>
    <t>Missing currency for wagetype /30D, /30E and /30F</t>
  </si>
  <si>
    <t>Canada Dry - AcknowledgementStart/EndDate declared</t>
  </si>
  <si>
    <t>Dimona: Duplicate Prevention - New IN not detected</t>
  </si>
  <si>
    <t>Dimona: Incorrect OUT Declarations involving DIMI Date</t>
  </si>
  <si>
    <t>Dimona: Validity Detection involving Future Events</t>
  </si>
  <si>
    <t>Dimona: Status "P" not cleared in infotype 0735</t>
  </si>
  <si>
    <t>Dimona: File Generation - Sort by INSS and Type</t>
  </si>
  <si>
    <t>Dimona: Duplicate Prevention - INSS for Multiple PERNRs</t>
  </si>
  <si>
    <t>Tax calculation negative because of overtime reduction</t>
  </si>
  <si>
    <t>BELCOTAX: Entry/leaving dates for org. reassignment</t>
  </si>
  <si>
    <t>Garnishment: DAVO-SECAL - Alimony Garnishment Closed</t>
  </si>
  <si>
    <t>DeCavaA - Maximum amount fiscal voluntary amounts</t>
  </si>
  <si>
    <t>DeCavaA - Incorrect number of months in the DmfA</t>
  </si>
  <si>
    <t>BFIRE: Last day of dismissal period is a non-working day</t>
  </si>
  <si>
    <t>DmfA/DmfAPPL - Legal Changes 2012 Q2</t>
  </si>
  <si>
    <t>DmfA 2012 Q2 - Reduction Restructuration</t>
  </si>
  <si>
    <t>Processing Class 20 not set for several cumulation wagetypes</t>
  </si>
  <si>
    <t>Termination Term: field 65 with no value for 'avos'</t>
  </si>
  <si>
    <t>SEFIP: Payment of collective bargaining in next year amounts</t>
  </si>
  <si>
    <t>Termination Term: legal change 2012</t>
  </si>
  <si>
    <t>General objects for Brazilian reports</t>
  </si>
  <si>
    <t>HBRRTER2: Field 25 not filled for pre-notice deducted</t>
  </si>
  <si>
    <t>GRRF: District with special characters in record 00</t>
  </si>
  <si>
    <t>DIRF/Income Declarions: Wage types signal not considered</t>
  </si>
  <si>
    <t>DIRF: Employees with transfer not reported</t>
  </si>
  <si>
    <t>RAIS: Overtime information displayed for wrong employees</t>
  </si>
  <si>
    <t>HBR3RDE0: INSS basis with unexpected amount</t>
  </si>
  <si>
    <t>HBRPAYR0: Adjustments in header information</t>
  </si>
  <si>
    <t>Truncated information on log message</t>
  </si>
  <si>
    <t>SEFIP: 13º salary basis not reported in movement code V3</t>
  </si>
  <si>
    <t>Error on notice period proportional - employees with &amp;lt;1 y</t>
  </si>
  <si>
    <t>Termination Term: Legal change 2012 - EhP6 correction</t>
  </si>
  <si>
    <t>YE11: Incorrect Cost center reported</t>
  </si>
  <si>
    <t>TAX : Tax update effective 1st July 2012</t>
  </si>
  <si>
    <t>CH: Standard texts in BAdI documentations</t>
  </si>
  <si>
    <t>Missing text lines under print lists</t>
  </si>
  <si>
    <t>FamZReg: Documentation, BAdI HRPAYCHFMZR01 CHANGE_OUTPUT</t>
  </si>
  <si>
    <t>[CL] HCLCCRTA0 - Income Certificate raises an ADS Error</t>
  </si>
  <si>
    <t>[CL] New Average calculation process for Subsidy</t>
  </si>
  <si>
    <t>[CL] Missing amount in PREVIRED summary screen for INP</t>
  </si>
  <si>
    <t>Correction Accounting for Retroactive Payroll</t>
  </si>
  <si>
    <t>SI: Composite SAP Note data exchange 4/2012</t>
  </si>
  <si>
    <t>Expenses: Suppression of log when entitlement is missing</t>
  </si>
  <si>
    <t>Year-end legal change 2011/2012 DEUEV: Corrections 5</t>
  </si>
  <si>
    <t>DEUEV: Corrections VI</t>
  </si>
  <si>
    <t>RPUELDD0: Corrections for deleting ELENA data</t>
  </si>
  <si>
    <t>EEL: Error for submission reason 51 (inc.liable to contr) II</t>
  </si>
  <si>
    <t>EEL: Notific. creation w/ eror DBAE 081, DBAE 161, DBAE 201</t>
  </si>
  <si>
    <t>EEL: Corrections and enhancements (07/2012)</t>
  </si>
  <si>
    <t>EEL: Data record changes on July 01, 2012</t>
  </si>
  <si>
    <t>ZMV: Sending notifications under new company number</t>
  </si>
  <si>
    <t>Terminatn in payroll for maternity protection &amp; retro ac</t>
  </si>
  <si>
    <t>AAG - Incorrect calculation of SI employer's contributions</t>
  </si>
  <si>
    <t>BVV: Corrections 07 2012</t>
  </si>
  <si>
    <t>Flexi: Corrections for disruptive events contribution</t>
  </si>
  <si>
    <t>Section 23c SGB IV: Corrections XXII</t>
  </si>
  <si>
    <t>Data provision for tax audit - company code selection</t>
  </si>
  <si>
    <t>Social insurance contribution deduction: End of payroll per.</t>
  </si>
  <si>
    <t>Activity w/ higher rte of pay, percentage calc.: No payment</t>
  </si>
  <si>
    <t>ZfA: BZ01 notifications and previous professionals pension</t>
  </si>
  <si>
    <t>Split assgnmnt CFS ER contr. for overtime of part-time PS EE</t>
  </si>
  <si>
    <t>RPITRF01: No entry in "Apply Base Amount To" field</t>
  </si>
  <si>
    <t>Publ Sect Remun Act + Public Sector pension adj act 2012/13</t>
  </si>
  <si>
    <t>BUEZ: Incorrect clearing of tax-free underpayments</t>
  </si>
  <si>
    <t>Pub Serv reg. Rheinland-Pfalz: Cost-of-living adjustment V</t>
  </si>
  <si>
    <t>Annual special payt: Warning if assessment basis is missing</t>
  </si>
  <si>
    <t>Level increase: Error if previous level reduction</t>
  </si>
  <si>
    <t>Falscher Aufschlagssatz bei Verknüpfung Krankheit mit Urlaub</t>
  </si>
  <si>
    <t>Different upper limits sectns 50, 53, 54 and 55 (preparatn)</t>
  </si>
  <si>
    <t>Reduction sec 57 BeamtVG: Error in case of legal decision</t>
  </si>
  <si>
    <t>Runtime error in "assessment" sub process scenario</t>
  </si>
  <si>
    <t>Public Services regulation not available in notices</t>
  </si>
  <si>
    <t>Incorrect texts when using the Public Services regulation</t>
  </si>
  <si>
    <t>Including difference during calc. of upper limit section 53</t>
  </si>
  <si>
    <t>Laufende Erstattungen nach § 10 VersStaatsV (4)</t>
  </si>
  <si>
    <t>SP assessment threshold in the case of mid-month splits</t>
  </si>
  <si>
    <t>Retroactive SP obligation, WPBP split and inflow principle</t>
  </si>
  <si>
    <t>Distr. model acc. to annual SP contribs. + gross fict. runs</t>
  </si>
  <si>
    <t>Contrat@: Contract type 980 does not have SS code defined</t>
  </si>
  <si>
    <t>Off-Cycle: Wrong period date in case of payroll split</t>
  </si>
  <si>
    <t>Off-Cycle: optional retro-control for SAP note 1607538</t>
  </si>
  <si>
    <t>190: Wrong deductions and paid values for 296 model</t>
  </si>
  <si>
    <t>190: 190 model without off-cycle payroll record</t>
  </si>
  <si>
    <t>TC: Issue with MPG segment in "Saldo Acreedor" FAN</t>
  </si>
  <si>
    <t>TC: Wrong number of days in collision of IT and VND</t>
  </si>
  <si>
    <t>CALC: ESS01 feature for calculation of BRD for absences</t>
  </si>
  <si>
    <t>IRPF: regularization reason 2 when changing Min Family field</t>
  </si>
  <si>
    <t>AFI: Infotype 0799 "Order" field not followed by R</t>
  </si>
  <si>
    <t>TC: Monthly part-time employees with splits on 31st day</t>
  </si>
  <si>
    <t>TC: Rounding error in IT basis for training contracts</t>
  </si>
  <si>
    <t>190: General Corrections II - 2012</t>
  </si>
  <si>
    <t>TC: General corrections for retroactive VND processing</t>
  </si>
  <si>
    <t>FDI: Multiple absences for a single FDI entry</t>
  </si>
  <si>
    <t>CALC: Incorrect values for bonifications in case of splits</t>
  </si>
  <si>
    <t>ERE: Constant or changed regulatory base in ERE situations</t>
  </si>
  <si>
    <t>CALC: Issue in time unit with COT30 constant value 1</t>
  </si>
  <si>
    <t>SSOCIAL: Pay scale code field retrieved incorrectly</t>
  </si>
  <si>
    <t>CRT2: New option to select start date of ERE suspension</t>
  </si>
  <si>
    <t>TC: Issue with fixed amount contributions and CAC change</t>
  </si>
  <si>
    <t>TC: Issue with L04 settlement in RPCFANE0</t>
  </si>
  <si>
    <t>TC: Issue with quarterly presentation of FAN file</t>
  </si>
  <si>
    <t>Delt@: wrong XML Encoding creating XML via 0968 infotype</t>
  </si>
  <si>
    <t>CALC: Wrong number of days in case of DICON different of 0</t>
  </si>
  <si>
    <t>Bonification for employee older than 52 with 1 year duration</t>
  </si>
  <si>
    <t>TC: Issue with ERE bonification in regular settlement</t>
  </si>
  <si>
    <t>AFI: Employee's rejection due CCC filter</t>
  </si>
  <si>
    <t>SSOCIAL: New pay scale code not filled on IT0061</t>
  </si>
  <si>
    <t>OFFCYCLE: field BSGRD incorrectly filled during off-cycle</t>
  </si>
  <si>
    <t>AFI: Wrong percentage on FCT segment of affiliantion file</t>
  </si>
  <si>
    <t>ABSENTISMOS: Unpaid absences after SAP Note 1646859</t>
  </si>
  <si>
    <t>SSOCIAL: Not all unpaid absences considered in EDSS0</t>
  </si>
  <si>
    <t>CALC: New 'CORR' parameter for IF payroll function</t>
  </si>
  <si>
    <t>HRFI: HFICTAX0 - Tax Return Report - Header Incorrect</t>
  </si>
  <si>
    <t>DN-AC AED process</t>
  </si>
  <si>
    <t>S40.G10.00.035: wrong payment date</t>
  </si>
  <si>
    <t>Documentation of French-specific fields of Infotype 0016</t>
  </si>
  <si>
    <t>S40.G10.00.035: wrong payment date(2)</t>
  </si>
  <si>
    <t>DN-AC should be issued in case of retirement</t>
  </si>
  <si>
    <t>DN-AC AED: Field S48.G55.00.002.001 can have wrong value</t>
  </si>
  <si>
    <t>Remove final attribute of class CL_HRPAYFR_DNAC</t>
  </si>
  <si>
    <t>N4DS: Customizing activity for the V_T5FPER view</t>
  </si>
  <si>
    <t>N4DS DN-AC AED: content of table T5F30 is read w/o validity</t>
  </si>
  <si>
    <t>DNAC: Incorrect S48.G55.05</t>
  </si>
  <si>
    <t>DNAC: Error if absences during whole contract duration</t>
  </si>
  <si>
    <t>AED not generated when retro contract ends on month last day</t>
  </si>
  <si>
    <t>AED: S40.G10.00 not generated when leave on month last day</t>
  </si>
  <si>
    <t>RTI indicator getting generated before RTI activation date</t>
  </si>
  <si>
    <t>PY-GB-BA</t>
  </si>
  <si>
    <t>B2A: Business to Administration</t>
  </si>
  <si>
    <t>P45 XML fails due to irmark error</t>
  </si>
  <si>
    <t>Issue while creating IT0065 with 0T tax code</t>
  </si>
  <si>
    <t>PY-GB-PS: LGPS 2012: Pilot Changes</t>
  </si>
  <si>
    <t>HRGBPS: LGPS 2012 Enhancements</t>
  </si>
  <si>
    <t>Issue with processing of cars on P46(car) form</t>
  </si>
  <si>
    <t>Issues with the processing of company cars for ME</t>
  </si>
  <si>
    <t>IR56G Form: Shorten Underline of Item 16</t>
  </si>
  <si>
    <t>Leave Pay /151 is processed by split in TAXCU</t>
  </si>
  <si>
    <t>Wording Change in IR56F and IR56G Forms: "and" to</t>
  </si>
  <si>
    <t>Work Injury pay extended over termination</t>
  </si>
  <si>
    <t>Issue with Amended P35 in end of Year report for IE</t>
  </si>
  <si>
    <t>PY-IE:Disability tax wagetypes in P45 SAP Script</t>
  </si>
  <si>
    <t>Pension Related Development (PRD) DRQ's Effective 2011 (19)</t>
  </si>
  <si>
    <t>Issue with form version in P35 XML for 2012</t>
  </si>
  <si>
    <t>Issue with P45 report for leavers in 2011 and Supplementary</t>
  </si>
  <si>
    <t>PY-IN: Form 217(2A) - No Payroll Results Available</t>
  </si>
  <si>
    <t>Full name of employee gets truncated in ESI Form 5</t>
  </si>
  <si>
    <t>E-File Consolidation for form 24Q serial number inconsistent</t>
  </si>
  <si>
    <t>PF Form-3A BADI:Number of non-contributing days field added</t>
  </si>
  <si>
    <t>Form 16 annexure is not displayed in ESS ITS services</t>
  </si>
  <si>
    <t>Increase in number of challans displayed during a month</t>
  </si>
  <si>
    <t>PF Form 5 - Father's name is not displayed in correct format</t>
  </si>
  <si>
    <t>Form-7PS: Display Of Year Inconsistent On Page 2</t>
  </si>
  <si>
    <t>Inconsistent Income Tax Slab Rates in Notional WT /4T1</t>
  </si>
  <si>
    <t>Professional Tax Block is inconsistent for multiple F16</t>
  </si>
  <si>
    <t>Union Budget 2012 Corrections</t>
  </si>
  <si>
    <t>Employees Not Selected For Challan Mapping Of Offcycle Tax</t>
  </si>
  <si>
    <t>Form 24Q Annexure II (Salary and Tax details) inconsistent</t>
  </si>
  <si>
    <t>HINCANN0 Report Shows Inconsistent Result For Correction Run</t>
  </si>
  <si>
    <t>Batch Program For Section 80 &amp; Section 88 India Inconsis</t>
  </si>
  <si>
    <t>Form16:Fiscal Year Dates for AFY , Annexure-B &amp; Perk</t>
  </si>
  <si>
    <t>Ptax : Additional Wage type for Professional Tax Basis</t>
  </si>
  <si>
    <t>AFY : Amount was not calculated as per the Slabs maintained</t>
  </si>
  <si>
    <t>HINCPTX0:Slab range not visible on PTax form for Maharasthra</t>
  </si>
  <si>
    <t>ESS : Tax Simplifier Statement</t>
  </si>
  <si>
    <t>HR-IT: RPIINAILI0 overwriting values in IT0659</t>
  </si>
  <si>
    <t>HR-IT: Addizionale Comunali all'IRPEF dump</t>
  </si>
  <si>
    <t>HR-IT: Modello 770-2012 Correction Package III</t>
  </si>
  <si>
    <t>RPCKTOJ0: Entries with Same Amount Do not Display when Retro</t>
  </si>
  <si>
    <t>RPCPRTJ0: BAdI for leaving dates of retired employees</t>
  </si>
  <si>
    <t>Incorrect Heiran Income Tax during Payroll Retro</t>
  </si>
  <si>
    <t>RPCSIBJ0: Selection Conditions and Adjustment Screen</t>
  </si>
  <si>
    <t>Incorrect Exclude Logic for Layoff/Low payment in April-June</t>
  </si>
  <si>
    <t>Enhancement on Average Monthly Compensation to HI</t>
  </si>
  <si>
    <t>Enhancement: YEA Receipt and Separation Receipt for 2012</t>
  </si>
  <si>
    <t>Revise Carry-over Donation When Apply Standard Deduction</t>
  </si>
  <si>
    <t>Infomation Message during Overtime Non-taxable Calculation</t>
  </si>
  <si>
    <t>[MX] Absence days SDSPC are considered for Infonavit</t>
  </si>
  <si>
    <t>[MX] Enhancements to Monthly report for FONACOT credits</t>
  </si>
  <si>
    <t>[MX] Infonavit corrections: Minimum wage / Duplicating deduc</t>
  </si>
  <si>
    <t>[MX] Wrong exemption amount of Aguinaldo on Termination</t>
  </si>
  <si>
    <t>[MX] HMXTRTR0 - Changes in SAPscript and new supported field</t>
  </si>
  <si>
    <t>[MX] Performance enhancement on report HMXCDAN0</t>
  </si>
  <si>
    <t>[MX] Additional correction for note 1701906</t>
  </si>
  <si>
    <t>[MX] Decree reform of section III Art. 109 LISR</t>
  </si>
  <si>
    <t>[MX] Correction for note 1703362</t>
  </si>
  <si>
    <t>Legal Change Malaysia: STD 2012 changes</t>
  </si>
  <si>
    <t>PY-MY : Incorrect EPF in offcycle after regular scenario</t>
  </si>
  <si>
    <t>LC 2012 PY-MY: CP21, CP22, CP22A and Recovery form changes</t>
  </si>
  <si>
    <t>RPCLALN1: Authorization Issue With Legal Person</t>
  </si>
  <si>
    <t>New statutory minimum wages as of July 1st, 2012</t>
  </si>
  <si>
    <t>HRNO: LCO NO Reimbursement Sickness ahead of Mat. leave</t>
  </si>
  <si>
    <t>Altinn-2: Text display in password related fields</t>
  </si>
  <si>
    <t>HRNO: LCO Leave before sick</t>
  </si>
  <si>
    <t>HRNO: LCO NO Reimbursement Sickness ahead of Mat. leave II</t>
  </si>
  <si>
    <t>HRNO: New values for T511K constants</t>
  </si>
  <si>
    <t>Corrections to Repatriation Grant</t>
  </si>
  <si>
    <t>Report HNUEDGR_STATISTICS does not display school details</t>
  </si>
  <si>
    <t>Correction to IT0008 indirect valuation function module</t>
  </si>
  <si>
    <t>Default values in Pension Fund infotype from UNPFD feature</t>
  </si>
  <si>
    <t>LWOP periods while evaluating Mobility and Non-Removal dates</t>
  </si>
  <si>
    <t>EG: Advance Paid is not Considered During Claims Processing</t>
  </si>
  <si>
    <t>Correction Offcycle shows wrong rate in NZEEP function</t>
  </si>
  <si>
    <t>Superannuation update does not display Errors list in spool</t>
  </si>
  <si>
    <t>PY-NZ:Employee Eligibility incorrectly displayed in HNZLKED0</t>
  </si>
  <si>
    <t>PY-NZ : Transaction PC00_M43_LREC times out</t>
  </si>
  <si>
    <t>PY-NZ : Incorrect Leave Liability displayed in PC00_M43_LLVL</t>
  </si>
  <si>
    <t>PY-PH: De-Minimis Uniform &amp; Clothing allowance limit cha</t>
  </si>
  <si>
    <t>Single Report: General corrections for version 2011</t>
  </si>
  <si>
    <t>RPCSOCPT0PBS: board 12 is not being filled correctly</t>
  </si>
  <si>
    <t>Social Balance: issues with Boards 7, 11, 17, 18 and 18.2</t>
  </si>
  <si>
    <t>CGA: effective day of absence must be first day of period</t>
  </si>
  <si>
    <t>Upper limit for Death Allowance</t>
  </si>
  <si>
    <t>Family allowance for 16 years dependents</t>
  </si>
  <si>
    <t>Day offs counting in vacation prolongation</t>
  </si>
  <si>
    <t>Average for absence in case of global salary increase</t>
  </si>
  <si>
    <t>HR-RU: the field PAYTY is not correct for OC category 13</t>
  </si>
  <si>
    <t>RPTOVTS0: Restored hours not adjusted correctly</t>
  </si>
  <si>
    <t>LAS report enhcement and 2 new reporting</t>
  </si>
  <si>
    <t>RPIABSS0_NEW: ALV Filter is not working</t>
  </si>
  <si>
    <t>RPSSICS0: Incomplete header in the downloaded excel sheet</t>
  </si>
  <si>
    <t>Presentation of Gross Debt on payslip</t>
  </si>
  <si>
    <t>RPCTAXS0 some new columns are to be reported.</t>
  </si>
  <si>
    <t>Issues with IR21 form</t>
  </si>
  <si>
    <t>/3OW calculation in yearend/termination for new hire</t>
  </si>
  <si>
    <t>CPF rate changes effective from September 01, 2012</t>
  </si>
  <si>
    <t>PY-TH: Incorrect contribution rates on SS detail report</t>
  </si>
  <si>
    <t>USCLM: Overpayment wage type grouping - New objects</t>
  </si>
  <si>
    <t>BSI: Taxable Wages output parameter</t>
  </si>
  <si>
    <t>TR: New layout for Form 941-PR 2012</t>
  </si>
  <si>
    <t>Q2/2012: Functional changes for U.S. Tax Reporter.</t>
  </si>
  <si>
    <t>TR: Box 12 fields updates in W-2 magmedia</t>
  </si>
  <si>
    <t>TAX: Payroll Driver Short Dump in form BUILD_INTERNAL_RT</t>
  </si>
  <si>
    <t>TAX: Pre-tax deductions not considered when no earnings</t>
  </si>
  <si>
    <t>TAX: Pay Period to Date Cumulation</t>
  </si>
  <si>
    <t>PAY: TWPRE not considered in archiving preparation run.</t>
  </si>
  <si>
    <t>3PR: Incorrect remittance authority for PA Act 32.</t>
  </si>
  <si>
    <t>[VE] Decree No. 8920 GO No. 39,908 - new minimum legal wage</t>
  </si>
  <si>
    <t>Preliminary DME program issues message 3G 263</t>
  </si>
  <si>
    <t>Budget 2012-Personal Provider Tax &amp; Free/cheap Acc. chan</t>
  </si>
  <si>
    <t>IRP5: Mult. directive numbers across different PAYE ref. no</t>
  </si>
  <si>
    <t>IRP5 : SARS Codes 3240 and 3613</t>
  </si>
  <si>
    <t>Program terminates when employee data is changed</t>
  </si>
  <si>
    <t>[AR] Social Insurance Another Employer</t>
  </si>
  <si>
    <t>[AR] Internal corrections for Another Employer</t>
  </si>
  <si>
    <t>IT527: Fehlermeldung "Bitte Grundlagen für UE angeben!&amp;</t>
  </si>
  <si>
    <t>Dynamische Massnahme, IT0751 und IT0367</t>
  </si>
  <si>
    <t>ANS resolution no. 250 - enhancements for IT0021, subtype 15</t>
  </si>
  <si>
    <t>[CL] Short dump when processing Progressive Vactions</t>
  </si>
  <si>
    <t>Tax for Year End Bonus with Cost Assignment is incorrect</t>
  </si>
  <si>
    <t>IT0531 display logic enhancement</t>
  </si>
  <si>
    <t>IT0530 display logic enhancement</t>
  </si>
  <si>
    <t>IT0532 display logic enhancement</t>
  </si>
  <si>
    <t>Enhancement Monthly Tax Report: Gross Income</t>
  </si>
  <si>
    <t>PHF/SI report foreigner name displayed enhancement</t>
  </si>
  <si>
    <t>Visible length of text maintenance pushbutton</t>
  </si>
  <si>
    <t>Subtype FPCB of infotype 0006 available for all countries</t>
  </si>
  <si>
    <t>TNM: issues with child TN, IT1686 sorting and IT1001 check</t>
  </si>
  <si>
    <t>TNM: IT1684/1686 check and actual valuation fixes</t>
  </si>
  <si>
    <t>TNM: fix for cancel event action</t>
  </si>
  <si>
    <t>TNM: 2483 statement, issue with background execution</t>
  </si>
  <si>
    <t>TNM: IT1681 records share the same TABNR</t>
  </si>
  <si>
    <t>TNM: new report to modify duplicate TABNR in HRP1681</t>
  </si>
  <si>
    <t>TNM: LSO integration, issue with IT1683 update</t>
  </si>
  <si>
    <t>IT0069: Unable to maintain text for records across tax year</t>
  </si>
  <si>
    <t>HJPUCP_PRCAL: Incorrect Data Overwritten for Future Record</t>
  </si>
  <si>
    <t>LC2012: Life Insurance Exemption Revision Phase 2</t>
  </si>
  <si>
    <t>RPCRTXJ0: Additional correction for output screen</t>
  </si>
  <si>
    <t>IT0002: Change Label of English Name</t>
  </si>
  <si>
    <t>Corrections for Separation, YEA and Korean Message</t>
  </si>
  <si>
    <t>[MX] Postal Code for Match code of Districts</t>
  </si>
  <si>
    <t>Electronic Notifications of Illness and Recovery</t>
  </si>
  <si>
    <t>RPIMORN0: Improvements in Report Function</t>
  </si>
  <si>
    <t>PA-PA-NL: Modernization of Migration: Updated Signaltriggers</t>
  </si>
  <si>
    <t>UWV Forms: Ziekteaangifte (HR_NL_ZA_F) Partial Rec. wrong</t>
  </si>
  <si>
    <t>GUI Status Correcton for infotype 0185</t>
  </si>
  <si>
    <t>SZV-6-*: corrections after Note 1712470</t>
  </si>
  <si>
    <t>HR-RU:tag Signature Certifier for DSV-1 XML, name of the FIU</t>
  </si>
  <si>
    <t>Tool for checking Legal Structure Consistency</t>
  </si>
  <si>
    <t>SZV-6-*: indefinite XML files codepage</t>
  </si>
  <si>
    <t>Undefined tax schema if TAX table doesn't exist in payroll</t>
  </si>
  <si>
    <t>PY-SG: Print address layout not as per UPU address format</t>
  </si>
  <si>
    <t>Amount field not populated into IT0015 from IT0183</t>
  </si>
  <si>
    <t>WC: Error message (5U199) without description</t>
  </si>
  <si>
    <t>IT0210:Warning message pops up twice in module pool</t>
  </si>
  <si>
    <t>Infotype 0048 - U.S. Subtype Descriptions and Visa Subtypes</t>
  </si>
  <si>
    <t>403(b): 15+ Catch-up WT /BX7 incorrectly calculated.</t>
  </si>
  <si>
    <t>PA-PF-CH: Electronic pension notification</t>
  </si>
  <si>
    <t>PEP reduction for employee liable for PEP: Corrections II</t>
  </si>
  <si>
    <t>Pension equalization payment: Corrections/enhancement 2/2012</t>
  </si>
  <si>
    <t>Prebooking record gets deleted</t>
  </si>
  <si>
    <t>PP61 Call of customer enhancements fails</t>
  </si>
  <si>
    <t>PP61: Previous day indicator (availabilities) is not saved</t>
  </si>
  <si>
    <t>PP61: RHEI dump for PREPARE_ADHOC_TIMETABLE</t>
  </si>
  <si>
    <t>PP61: You enter several identical availabilities</t>
  </si>
  <si>
    <t>[AR] Tax return for 1st period after hiring (other employer)</t>
  </si>
  <si>
    <t>[AR] Non remun. ART wagetypes not considered in "libro</t>
  </si>
  <si>
    <t>Pfändung: Vorteil aus DV in Massenberechnung</t>
  </si>
  <si>
    <t>Werktage Urlaubsersatzleistung Arbeitsbescheinigungen AT</t>
  </si>
  <si>
    <t>Nachtrag zu freiwillige Abfertigung und Sozialplanzahlungen</t>
  </si>
  <si>
    <t>RPCKSBA0_MAT berücksichtigt keine untertägigen Abwesenheiten</t>
  </si>
  <si>
    <t>PCALZ - Fehler bei Stornomeldung E18 mit neuer AG-Nummer</t>
  </si>
  <si>
    <t>/3ZF Schlüsselung bei RRVJ und Urlaubsersatzleistung</t>
  </si>
  <si>
    <t>RPCPEFA0(RA): Unnötige Cluster AE-Sätze (Pfändung / Tilgung)</t>
  </si>
  <si>
    <t>PCALZ: Prüfvorschriften werden immer wieder gelesen</t>
  </si>
  <si>
    <t>MVK Pflicht für Vorstände: Personalrechenregel AVS2</t>
  </si>
  <si>
    <t>RRVJ: Vollversicherungspflicht, Rollung von §67(10)</t>
  </si>
  <si>
    <t>RPIGVIA0PBS: Erzeugung der BI-Mappen fehlerhaft</t>
  </si>
  <si>
    <t>Senkung Dienstgeberbeitrag Krankenversicherung BVA</t>
  </si>
  <si>
    <t>RPCSVBA2PBS: Neue Formulare für Beitragsnachweisung</t>
  </si>
  <si>
    <t>Incorrect warning "Future dated record exists" on</t>
  </si>
  <si>
    <t>Superannuation Employee Contribution % is not refreshed</t>
  </si>
  <si>
    <t>'Employee Inactive' (INCT) check to include Inactive/Retiree</t>
  </si>
  <si>
    <t>Text button is too long in IT0220( Superannuation Australia)</t>
  </si>
  <si>
    <t>T5QSC Super choice - Super Fund Number to cater alphanumeric</t>
  </si>
  <si>
    <t>Payment Summary: Date type indicator should be numeric</t>
  </si>
  <si>
    <t>Invalid entry for Tax scale 2H Threshold 705 in T5QTX</t>
  </si>
  <si>
    <t>Termination Organiser:Error message in Update mode</t>
  </si>
  <si>
    <t>Posting balance not cleared for Report "RPCIPE00"</t>
  </si>
  <si>
    <t>Salary sacrifice wagetype is getting doubled in SUPER</t>
  </si>
  <si>
    <t>Allowances,Deductions not updated to IT 0849,0626</t>
  </si>
  <si>
    <t>SGC Er. contributions incorrect when there's midperiod trans</t>
  </si>
  <si>
    <t>Tax incorrect when payments made retro across Fin. Yr.</t>
  </si>
  <si>
    <t>TAX 2012: Bonus not added correctly to /116</t>
  </si>
  <si>
    <t>Legal Change 2012:Corrections for Leave Loading Lump Sum Pay</t>
  </si>
  <si>
    <t>2012 TAx: /BTT being created for bonus inflows across FY</t>
  </si>
  <si>
    <t>Payment Summary Foreign employment Smartform misalignment</t>
  </si>
  <si>
    <t>Data migration Report for Infotype 0188</t>
  </si>
  <si>
    <t>Directed Termination Payment Wage type not created</t>
  </si>
  <si>
    <t>Override processing for transitional ETP incorrect</t>
  </si>
  <si>
    <t>Termination Organiser not updating all the subtypes</t>
  </si>
  <si>
    <t>Text of Backpay related functionalities revised</t>
  </si>
  <si>
    <t>PS/ETP PS selection screen appears in Termination Organiser</t>
  </si>
  <si>
    <t>Override payments not processed for inactive employees</t>
  </si>
  <si>
    <t>Incorrect ETP/Transitional CAP amount and rate</t>
  </si>
  <si>
    <t>Transitinal Payments not updated in Result table.</t>
  </si>
  <si>
    <t>IT0220 - Feature IVWID is set incorrectly for Private sector</t>
  </si>
  <si>
    <t>Changes through Note 1622648 incorrect</t>
  </si>
  <si>
    <t>Avg. earnings incorrect if payroll period spans two months</t>
  </si>
  <si>
    <t>Leave Loading:Incorrect tax in multiple LPBEG loops</t>
  </si>
  <si>
    <t>ITWV Allowance with Rate field causes error in payroll</t>
  </si>
  <si>
    <t>Tax Override not possible when period has lumpsum payments</t>
  </si>
  <si>
    <t>Check for Zero or negative amount missing in QKON and QKOH</t>
  </si>
  <si>
    <t>Payroll Error when Leave Loading lump sum paid in advance</t>
  </si>
  <si>
    <t>Recalculated tax on back pay in retro run not adjusted</t>
  </si>
  <si>
    <t>Locking/unlocking future leave causes I2013 to be deleted</t>
  </si>
  <si>
    <t>Incorrect deduction in I2006 when locking record in I0573</t>
  </si>
  <si>
    <t>Capelo &amp; DmfA: Multiple occupation lines within same per</t>
  </si>
  <si>
    <t>RPCBWMB0, RPCBWAB0 - No ALV log in background</t>
  </si>
  <si>
    <t>Dimona: Duplicate Prevention - No T5BDI0 if PERNR Locked</t>
  </si>
  <si>
    <t>DPUP DmfAPPL Update: runtime error</t>
  </si>
  <si>
    <t>Advance Taxes Upon Temporarily Unemployment Bonus 01-07-2012</t>
  </si>
  <si>
    <t>DmfA(PPL)2012Q2 ReorganizationMeasureInformation (90438)</t>
  </si>
  <si>
    <t>DECAVA : Number of days incorrect due to default 6 days/week</t>
  </si>
  <si>
    <t>BEEVL : Correction in case of NREMP eq 00</t>
  </si>
  <si>
    <t>Dimona: Students - Public Holidays in Planned Work Days</t>
  </si>
  <si>
    <t>DeCavaA: Unit Test Preparation</t>
  </si>
  <si>
    <t>Dismissal - Taxable Exemption - Dump in BFIRE Payroll Funct.</t>
  </si>
  <si>
    <t>Infotype 3271 - Wrong Employment % retrieved (ETQSP)</t>
  </si>
  <si>
    <t>Decava: ER Contribution - Max. Limit</t>
  </si>
  <si>
    <t>Calculation of dismissal allowance faultily</t>
  </si>
  <si>
    <t>Wrong SI special contrib. if RSZSP changes during quarter</t>
  </si>
  <si>
    <t>Income Declaration:Seniority amounts reported in wrong field</t>
  </si>
  <si>
    <t>SEFIP: Underage apprentice reported with FGTS information</t>
  </si>
  <si>
    <t>HBRCAGED - Check of employee's Personal Identification no.</t>
  </si>
  <si>
    <t>SEFIP: Retroactive collect. bargaining in codes 115 and 650</t>
  </si>
  <si>
    <t>GPS: Retrocalculated amounts by AJUS reported twice</t>
  </si>
  <si>
    <t>HBRCCED0: Dump in the report due to the lenght of the field</t>
  </si>
  <si>
    <t>Proportional notice period - considering the first year</t>
  </si>
  <si>
    <t>Termination Term: Adjustments</t>
  </si>
  <si>
    <t>SEFIP: Compensation periods of Record 12 in wrong order</t>
  </si>
  <si>
    <t>SREP: HBRTMIF0 does not accept AFD with more than one header</t>
  </si>
  <si>
    <t>Termination Term: CNPJ of 'Tomador Obra' not displayed</t>
  </si>
  <si>
    <t>Termo de Rescisão:Error in labels and text truncated in form</t>
  </si>
  <si>
    <t>ROE: hours not adding correctly</t>
  </si>
  <si>
    <t>Withholding tax for Vaud: EMP-ACI: Negative gross, error C6</t>
  </si>
  <si>
    <t>CH: Data for LAW 2005 bar code in IMG</t>
  </si>
  <si>
    <t>CE CH: techn. Auslieferung ohne Änderung der Fkt. in SP51</t>
  </si>
  <si>
    <t>[CL] Mandatory Family Allowance Payment</t>
  </si>
  <si>
    <t>[CL] Incorrect Medical Leave subsidy limit calculation</t>
  </si>
  <si>
    <t>[CL] Missing Gratuity information in CCAF interface report</t>
  </si>
  <si>
    <t>SI: Composite SAP Note data exchange 5/2012</t>
  </si>
  <si>
    <t>Personnel expenses: Alternative stmnt wage type w/ day view</t>
  </si>
  <si>
    <t>Vacation allowance with IT 2006: /BUJ w/o amount/leave rules</t>
  </si>
  <si>
    <t>DEUEV: DSME161 Case number contains unpermitted characters</t>
  </si>
  <si>
    <t>RPUELDD0: Deleting log table in administration client</t>
  </si>
  <si>
    <t>EEL: Specifying data using infotype 0651</t>
  </si>
  <si>
    <t>EEL: Error for preexisting condition queries</t>
  </si>
  <si>
    <t>EEL: Data record changes on July 01, 2012 (supplement)</t>
  </si>
  <si>
    <t>Prohibited activities: Supplement to maternity pay too high</t>
  </si>
  <si>
    <t>Prohibited activities: Change of hourly wage to monthly wage</t>
  </si>
  <si>
    <t>Function DSVU terminates when manually granting allowance</t>
  </si>
  <si>
    <t>Principle of origin: Corr as a result of SAP Note 1572653</t>
  </si>
  <si>
    <t>Principle of origin: Forced retroactive accounting run</t>
  </si>
  <si>
    <t>Error message after special repayment and reg maint payments</t>
  </si>
  <si>
    <t>SI: Ambiguity when using file counters</t>
  </si>
  <si>
    <t>SI reporting: Taking information notifications into account</t>
  </si>
  <si>
    <t>Concurrent employment: Difference in semiretirement too high</t>
  </si>
  <si>
    <t>Inclusion of voluntary services in U2 procedure</t>
  </si>
  <si>
    <t>SI reporting: Termination in distributed reporting</t>
  </si>
  <si>
    <t>RHC: Extension of the record number / case number</t>
  </si>
  <si>
    <t>ETStmt: Changes in June 2012</t>
  </si>
  <si>
    <t>ELStAM: Advance correction 07 2012</t>
  </si>
  <si>
    <t>WTs of contribution base rate included for privately-insured</t>
  </si>
  <si>
    <t>V3S: Incorrect day assignment for following-day shift</t>
  </si>
  <si>
    <t>Check for tax exemption for children</t>
  </si>
  <si>
    <t>Var. flat-rate tax rate: Incorrect grouping for tax class 6</t>
  </si>
  <si>
    <t>TV FlexAZ: Corrections to child vested payment</t>
  </si>
  <si>
    <t>Reasons for child allowance and child component for COLA</t>
  </si>
  <si>
    <t>Search help HRPAYDE_T577 displays full results despite sel.</t>
  </si>
  <si>
    <t>Warning when tariff grp smaller/equal for act w/ higher rate</t>
  </si>
  <si>
    <t>Pub Serv reg. Rheinland-Pfalz: Cost-of-living adjustment VI</t>
  </si>
  <si>
    <t>Standard pay increase: Base amount not processed correctly</t>
  </si>
  <si>
    <t>Maternity protection: Chg. from hourly wage to monthly wage</t>
  </si>
  <si>
    <t>TVoeD: One-time flat-rate payment in October 2012</t>
  </si>
  <si>
    <t>Error in check of insurance policy number in pension pay</t>
  </si>
  <si>
    <t>Standard pay increase: Corrections for report RPITRF01</t>
  </si>
  <si>
    <t>Infotyp 0509: Abspeichern eines fehlerhaften Datensatzes</t>
  </si>
  <si>
    <t>Pub Serv reg. Rheinland-Pfalz: Cost-of-living adjustment VII</t>
  </si>
  <si>
    <t>Incorr. disp. of fictitious active mil. service in statement</t>
  </si>
  <si>
    <t>German Interstate Treaty on sharing pension costs (17)</t>
  </si>
  <si>
    <t>Tx exemp. pensions: Dupl. red. care family mmbr acc.sec. 50f</t>
  </si>
  <si>
    <t>Incorrect special payment for upper limit sec 53 BeamtVG</t>
  </si>
  <si>
    <t>Maint. Paymt Sec. 38 with Pension Sec. 55 (2)</t>
  </si>
  <si>
    <t>Periods displayed multiple times in severance pay calc. temp</t>
  </si>
  <si>
    <t>Runtime error in program RPIDEPBSVAVG_VLTSV_P10_UMS</t>
  </si>
  <si>
    <t>Incorrect legal basis for death benefit if PS reg. applied</t>
  </si>
  <si>
    <t>Runtime error IT16 and IT2001 &amp; SP inflow principle for</t>
  </si>
  <si>
    <t>VBL: Street name is too long for the DATUEV-ZVE field</t>
  </si>
  <si>
    <t>RPLEHAD3 Handhabung von Dualen Studiengängen</t>
  </si>
  <si>
    <t>Corrections for statements 08/2012</t>
  </si>
  <si>
    <t>IGA: Issue when limiting IT0062 for first period of the year</t>
  </si>
  <si>
    <t>IRPF: Performance issue on payroll function EST00</t>
  </si>
  <si>
    <t>CALC: Issue with unpaid absence and part-time employee</t>
  </si>
  <si>
    <t>CALC: Royal Decree-Law 3/2012 and Royal Decree-Law 10/2010</t>
  </si>
  <si>
    <t>CALC: Issue in case of payment in kind and irregular incomes</t>
  </si>
  <si>
    <t>REDUC field does not display value in the report RPC190E0</t>
  </si>
  <si>
    <t>CALC: Unpaid absence not discounted from contribution basis</t>
  </si>
  <si>
    <t>CALC: RPCALCE0 is not informing ABKRS to ENISS feature</t>
  </si>
  <si>
    <t>TC: Issue reporting retroactive changes of benefits</t>
  </si>
  <si>
    <t>TC: Literal text A76 not displayed after Note 1645994</t>
  </si>
  <si>
    <t>CALC: Adaptation of Permiso Sin Sueldo to PSE</t>
  </si>
  <si>
    <t>Delt@: wrong values from infotype 0006</t>
  </si>
  <si>
    <t>IGA: Wrong reduction perc. of irregular incomes for Navarra</t>
  </si>
  <si>
    <t>ESS01 feature in the calculation of BRD for report RPCFDIE0</t>
  </si>
  <si>
    <t>TC: RED 13/2011 change in TC1 form for new ingress employees</t>
  </si>
  <si>
    <t>Massive IRPF XML interface for 2012</t>
  </si>
  <si>
    <t>Incorrect contract type for SS in contract 540</t>
  </si>
  <si>
    <t>CRT2: Errors not shown in test mode for RPURT2E0 report</t>
  </si>
  <si>
    <t>TC: training program employee with journey reduction</t>
  </si>
  <si>
    <t>ERE: Contribution for IT and IMS considering Employment</t>
  </si>
  <si>
    <t>Certific@2: support to ERE calendar day type "2"</t>
  </si>
  <si>
    <t>New contract 339 and activate bonif. methods 0083 and 0084</t>
  </si>
  <si>
    <t>MASSIVE: Massive Gener. of IRPF downport for EHP5 and EHP4</t>
  </si>
  <si>
    <t>CALC: Incorrect allowances in months without splits</t>
  </si>
  <si>
    <t>Contrat@: Changes of June, 2012</t>
  </si>
  <si>
    <t>Artists: Wrong number of days and error with DAT segments</t>
  </si>
  <si>
    <t>190: General Corrections III - 2012</t>
  </si>
  <si>
    <t>Delt@: RPCDEBE0 report is not unlocking employees</t>
  </si>
  <si>
    <t>CRT2: Employees with ERE starting in the middle of month</t>
  </si>
  <si>
    <t>TEMSE: Short dump UC_OBJECTS_NOT_CONVERTIBLE in RPUTMSE0</t>
  </si>
  <si>
    <t>TC: Customer decision for CD03 with no contribution base</t>
  </si>
  <si>
    <t>TC: Wrong position of plus sign in TC1</t>
  </si>
  <si>
    <t>IRPF: Issue with descendant with same name and surname</t>
  </si>
  <si>
    <t>Certific@2: Periodos de Actividad XML file rejected</t>
  </si>
  <si>
    <t>Contrat@: Dump of OBJECTS_NOT_CHAR after SAP note 1733336</t>
  </si>
  <si>
    <t>HFILTAX0: Reporting of Tax Code 136 for Payment Types</t>
  </si>
  <si>
    <t>Report HFILHPA0_FI has long run time execution</t>
  </si>
  <si>
    <t>No prog. regul. between SV splits, no assessm. base mapping</t>
  </si>
  <si>
    <t>DUCS: several issues</t>
  </si>
  <si>
    <t>French payroll results reading: performance improvement</t>
  </si>
  <si>
    <t>DUCS Paper: Overlapping Month/Quarter declarations</t>
  </si>
  <si>
    <t>DN-AC: Incorrect S40.G05.00.070</t>
  </si>
  <si>
    <t>AED: S40.G10.00.035 might be lower than the S40 start date</t>
  </si>
  <si>
    <t>DNAC: Incorrect S20.G01.00.004.002</t>
  </si>
  <si>
    <t>AED Documentation</t>
  </si>
  <si>
    <t>DNAC-AED: AED statement viewer</t>
  </si>
  <si>
    <t>AED: B2A process improvements</t>
  </si>
  <si>
    <t>RPLAASF1: Att ASSEDIC, incorrect "préavis"</t>
  </si>
  <si>
    <t>Dump GETWA_NOT_ASSIGNED in IF_HRPAYFR_N4DS~GET_S40_G10_00</t>
  </si>
  <si>
    <t>DN-AC AED: Number of rest of holidays is not generated</t>
  </si>
  <si>
    <t>DN-AC AED - Constants in T511K</t>
  </si>
  <si>
    <t>AED: B2A process improvements 2</t>
  </si>
  <si>
    <t>RPLBS1F0: errors in table 21 and in indicator 00114</t>
  </si>
  <si>
    <t>AED: S48.G16.05.002 incorrect number of days &amp; B2A delet</t>
  </si>
  <si>
    <t>DNAC-AED: Status Handler Viewer process improvements</t>
  </si>
  <si>
    <t>AED: S40.G15.05.025.002 is not obligatory</t>
  </si>
  <si>
    <t>AED: S40.G28.10.003.002 incorrect</t>
  </si>
  <si>
    <t>AED: ABAP improvements</t>
  </si>
  <si>
    <t>PY-FR: PCL2-RF (French payroll) cluster conversion</t>
  </si>
  <si>
    <t>DUCS: TEPA Overtime incorrect in Quarter / Year declaration</t>
  </si>
  <si>
    <t>N4DS: SIRET selection does not work properly</t>
  </si>
  <si>
    <t>IT0217-WERKS, BTRTL missing in feature FRATE variable rates</t>
  </si>
  <si>
    <t>AED: S48.G16.05 negative values are not allowed &amp; more</t>
  </si>
  <si>
    <t>RPUPADF0: Profit sharing: Wrong date of RSA contribution</t>
  </si>
  <si>
    <t>DN-AC AED: unsupported scenarios are not log. in error list</t>
  </si>
  <si>
    <t>DNAC-AED: AED statement, integration within B2A process</t>
  </si>
  <si>
    <t>AED: lock indicator issue in case of multiple contracts</t>
  </si>
  <si>
    <t>DNAC-AED: Section S48.G55.00 using wrong cluster split.</t>
  </si>
  <si>
    <t>2012 parameters for French payroll (mid-year)</t>
  </si>
  <si>
    <t>DN-AC AED: Section S48.G47.06 - Dates</t>
  </si>
  <si>
    <t>TEDI/TEDC upload not working after notes 1590933 &amp; 16200</t>
  </si>
  <si>
    <t>Infotype 0032: "Zone résidence" not filled</t>
  </si>
  <si>
    <t>Correct tax code in P45(3) and P46 after P9X/P6</t>
  </si>
  <si>
    <t>RTI Payroll and Report enhancements</t>
  </si>
  <si>
    <t>RTI Payroll, FPS and EAS report bug fixes</t>
  </si>
  <si>
    <t>Follow up of note 1721812</t>
  </si>
  <si>
    <t>PY-GB-PS: USS Monthly Reporting: Pilot Changes</t>
  </si>
  <si>
    <t>Follow up of note 1697034:RPUTCUG0:Tax code upliftment issue</t>
  </si>
  <si>
    <t>Incoming P6 processing</t>
  </si>
  <si>
    <t>EOY ZIP File Submission to HMRC fails with business error</t>
  </si>
  <si>
    <t>Issues in Electronic P11D form for 2012</t>
  </si>
  <si>
    <t>Side Effect of RTI on IT0065</t>
  </si>
  <si>
    <t>P11D form not generated when there is payroll area change</t>
  </si>
  <si>
    <t>Follow up of note 1716087</t>
  </si>
  <si>
    <t>ME Issue:P11D processing when the payroll area is changed</t>
  </si>
  <si>
    <t>RTI updates for Payroll and Reports</t>
  </si>
  <si>
    <t>Issue with the loan processing on P11D form</t>
  </si>
  <si>
    <t>Employer PAYE reference on P11DB form is displayed partially</t>
  </si>
  <si>
    <t>Multiple issues in Electronic P11D form for tax year 2012</t>
  </si>
  <si>
    <t>Private use of the car field is blank in EP11D</t>
  </si>
  <si>
    <t>PY-HK:Table TAXCU enabling in report Remuneration Statement</t>
  </si>
  <si>
    <t>Issue while genrating IR56 forms for the LE wise</t>
  </si>
  <si>
    <t>PY-ID: Processing class '70' of WT'/LEX' issue</t>
  </si>
  <si>
    <t>PY-IE:P45 Disability XML and ALV changes</t>
  </si>
  <si>
    <t>Pension Related Development (PRD) DRQ's Effective 2011 (20)</t>
  </si>
  <si>
    <t>Layout Corrections for Form 7 and Form 8 - Pension Reports</t>
  </si>
  <si>
    <t>Deferred Interest: For multiple loans</t>
  </si>
  <si>
    <t>Professional Tax Reporting (Bihar) - Changes</t>
  </si>
  <si>
    <t>Inconsistent Tax Calculation when AFY switch is enabled</t>
  </si>
  <si>
    <t>HINCF24Q: Mid hire Ee's not reported during period of hiring</t>
  </si>
  <si>
    <t>PY-IN : Incorrect Form 16 for Correction run with Offcycle</t>
  </si>
  <si>
    <t>PTax Tamil Nadu: Transfer Among Different Panchayats</t>
  </si>
  <si>
    <t>NPS : Rounding off employer's monthly contribution amount</t>
  </si>
  <si>
    <t>Monthly Car &amp; Conveyance Amount Not Calculated Consisten</t>
  </si>
  <si>
    <t>Finance Bill 2012: Section 80CCF not valid from FY 2012-2013</t>
  </si>
  <si>
    <t>/616 Inconsistent When Payroll Run For Multiple Employees</t>
  </si>
  <si>
    <t>Inconsistency in /6I2 calculation</t>
  </si>
  <si>
    <t>HR-IT: UniEmens 1.2.6 - Correction Package I</t>
  </si>
  <si>
    <t>HR-IT: TFR - Execution of new solution before period date</t>
  </si>
  <si>
    <t>HR-IT: Model F24 New contribution payments in section INPS</t>
  </si>
  <si>
    <t>HR-IT: Modello 770-2012 Correction Package IV</t>
  </si>
  <si>
    <t>HR-IT: ANF 2012/2013</t>
  </si>
  <si>
    <t>HR-IT: F24 Credit Compensation - Section INPS not saved</t>
  </si>
  <si>
    <t>HR-IT: 770/2012 Correction Package V</t>
  </si>
  <si>
    <t>HR-IT: UniEmens 1.2.6</t>
  </si>
  <si>
    <t>RPCSISJ0: Incorrect Comp. Amount for Mid-Entry employees</t>
  </si>
  <si>
    <t>RPCEWGJ1: Further Correction for Note 1712712</t>
  </si>
  <si>
    <t>/5K3 &amp; /5K5 Not Saved into RT during Shoyo Calculation</t>
  </si>
  <si>
    <t>RPCKTOJ0: Amount Alignment in Non-Unicode JA systems</t>
  </si>
  <si>
    <t>RPCEWGJ1: Incorrect Total Page Number Display</t>
  </si>
  <si>
    <t>Wrong EI Paid Premium During EI Adjustment</t>
  </si>
  <si>
    <t>Withdrawn Stock Option Allowance Not Included in SI Base</t>
  </si>
  <si>
    <t>Item 37 Transferred Amount Is Empty in Separation Receipt</t>
  </si>
  <si>
    <t>LC2012: Credit Card Expense Deduction</t>
  </si>
  <si>
    <t>Wrong HI Adjustment in Off-cycle Payrolls (0007/0008)</t>
  </si>
  <si>
    <t>PY-MY: Incorrect Account number in Maybank payment files</t>
  </si>
  <si>
    <t>LC 2012 PY-MY: BBCD and BORANG A form layout changes</t>
  </si>
  <si>
    <t>PY-MY: Hiring and leaving dates enchancement</t>
  </si>
  <si>
    <t>Field 'IC number' incorrectly displayed in ALV of EPF report</t>
  </si>
  <si>
    <t>Last active position before termination - CP22 form</t>
  </si>
  <si>
    <t>Subapplications: Documentation Enhancements</t>
  </si>
  <si>
    <t>RPCALCN0: Obsolete Gross-Up Upon Negative Wage</t>
  </si>
  <si>
    <t>Information about the use of MoMi wage types and IT0014</t>
  </si>
  <si>
    <t>Correction of messages 352, 355 and 357 (HRPAYNLLA_EN)</t>
  </si>
  <si>
    <t>Year Statement: Hide Special Tax Indicator</t>
  </si>
  <si>
    <t>RPCALCN0: Incorrect Rate Due to Payroll Function N30PV</t>
  </si>
  <si>
    <t>NLATE: Add. Terms of Employment - Third Customer Exit</t>
  </si>
  <si>
    <t>HRNO: Annual tax statement:check tax code 913A for inc.limit</t>
  </si>
  <si>
    <t>HRNO: Reimbursement Issues June 2012</t>
  </si>
  <si>
    <t>SPK - Process by company change</t>
  </si>
  <si>
    <t>SPK - RPCSPKV0_DL - Overflow runtime error in checksum</t>
  </si>
  <si>
    <t>Correction to Personal Transition Allowance(PTA) eligibility</t>
  </si>
  <si>
    <t>Correction to LWOP days calculation</t>
  </si>
  <si>
    <t>EVE: Attributes for number of Dependents on last active day</t>
  </si>
  <si>
    <t>EVE: Correction to Attribute customizing for MOGED</t>
  </si>
  <si>
    <t>Correction to Length of Service in Mobility (IT0960) Screen</t>
  </si>
  <si>
    <t>HNZLDET0 and HNZLSUM0 shows incorrect results in offcycle</t>
  </si>
  <si>
    <t>PY-NZ : Issue of retro periods dropping the ESCT wagetypes</t>
  </si>
  <si>
    <t>PY-NZ : EMS (IR348) not reporting EE processed in off-cycle</t>
  </si>
  <si>
    <t>MESSAGES table not getting updated for pretax deductions</t>
  </si>
  <si>
    <t>Retro periods dropping the company contribution wagetypes</t>
  </si>
  <si>
    <t>PY-PH: Delimitation issues with the views V_T7PHRE &amp; T7P</t>
  </si>
  <si>
    <t>PY-PH: Philhealth contribution rate changes 2013</t>
  </si>
  <si>
    <t>RPCIIDP0 - Ret. Date for pre-retirement category 'A' missing</t>
  </si>
  <si>
    <t>RPCAIDP0: wrongly displaying previous years without amount</t>
  </si>
  <si>
    <t>New report: income declaration for non-resident employees</t>
  </si>
  <si>
    <t>RPCSSRP0:wrong R2 record when SSNSA is changed retroactively</t>
  </si>
  <si>
    <t>LC: biannual information for SIOE 2012</t>
  </si>
  <si>
    <t>RPCADXPT0PBS report is not rejecting employees without NISS</t>
  </si>
  <si>
    <t>Family Allowance: Wrong message is being displayed</t>
  </si>
  <si>
    <t>RPCRGDPT0PBS: no messages when none employee is processed</t>
  </si>
  <si>
    <t>SIOE 2012 Biannual information - Correction Package I</t>
  </si>
  <si>
    <t>SIOE 2012 Biannual information - Correction Package II</t>
  </si>
  <si>
    <t>HR-RU T-60: updated vacation payments in future periods</t>
  </si>
  <si>
    <t>HR-RU: payroll operation RUP uses unsupported reaction type</t>
  </si>
  <si>
    <t>HR-RU: new payroll operation RUPER</t>
  </si>
  <si>
    <t>Bonus in vacation compensation</t>
  </si>
  <si>
    <t>Global Pay increase on the 1st day of month during absence</t>
  </si>
  <si>
    <t>HR-RU T-60: regular run is in other period than vacation</t>
  </si>
  <si>
    <t>HR-RU: Several issues in delivered customizing</t>
  </si>
  <si>
    <t>HR-RU: HRULPAY2_CE - Incorrect firing date</t>
  </si>
  <si>
    <t>Averages calculation of vacations of future periods in OC</t>
  </si>
  <si>
    <t>Sweden: Paid Leave Quota and Unpaid Leave Quota correction</t>
  </si>
  <si>
    <t>H29 should not have 0 for EE without reduced yearly income</t>
  </si>
  <si>
    <t>HRSE: RPLTCES0 - BADI for Working Hours + Additional info</t>
  </si>
  <si>
    <t>Issue with previous day indicator in SNAB</t>
  </si>
  <si>
    <t>RPCEDTS0 the Rate field of some wagetypes are not correct.</t>
  </si>
  <si>
    <t>Issues with reporting of Sick people in RPSINSS0</t>
  </si>
  <si>
    <t>RPLLASS1 some of the employees are not reported correctly</t>
  </si>
  <si>
    <t>SNAB: Issues with incorrect valuation for 105+ absence days</t>
  </si>
  <si>
    <t>HRSE: RPLTCES0 - Chapter 13 fields are made as editable</t>
  </si>
  <si>
    <t>Capacity utilization:Hourly paid EE should not be considered</t>
  </si>
  <si>
    <t>Incorrect data display in GPML/GPAL report</t>
  </si>
  <si>
    <t>Incorrect CPF Retro differences</t>
  </si>
  <si>
    <t>LC-SG: New legal change for Labour Market Survey Report 2012</t>
  </si>
  <si>
    <t>IT0739(stock options) update for transfer case</t>
  </si>
  <si>
    <t>PY-SG: FWL tier changes effective from July 01, 2012.</t>
  </si>
  <si>
    <t>EHP5: CPF calculation in projection method for terminated EE</t>
  </si>
  <si>
    <t>CPF on prorated OW for non-pensionable employee</t>
  </si>
  <si>
    <t>PY-TH: Misalignments in ITF1(Monthly Thai Tax Form)</t>
  </si>
  <si>
    <t>PY-TH: Correction to note 1726135</t>
  </si>
  <si>
    <t>PY-TH: Download file format issue in ITF1 &amp; ITF1A</t>
  </si>
  <si>
    <t>Enhance Taiwan Periodic Tax Summary Report HTWCTXP0</t>
  </si>
  <si>
    <t>Amount Is Multiplied by 100 Times in LI/NHI Certification</t>
  </si>
  <si>
    <t>USCLM: Duplicated overpayment after running same per. twice</t>
  </si>
  <si>
    <t>TAX: Courtesy withholding for PA localities</t>
  </si>
  <si>
    <t>Tax Types 90 and 91 for Washington</t>
  </si>
  <si>
    <t>BEN: 403(b) 15+ years catch-up incorrect refunding</t>
  </si>
  <si>
    <t>VETS: Forms VETS-100 and VETS-100A for 2012</t>
  </si>
  <si>
    <t>NWH: Magnetic media changes for 2012</t>
  </si>
  <si>
    <t>TR: Tips are not considered in W-2 for specific localities</t>
  </si>
  <si>
    <t>TR: W-2C PR only generated when wages are corrected.</t>
  </si>
  <si>
    <t>TR: Magmedia for W-2c Puerto Rico</t>
  </si>
  <si>
    <t>TR: BTXRATE overwrite for tax comp w/ more than 4 characters</t>
  </si>
  <si>
    <t>Corrections to Online W-2: Wave 4</t>
  </si>
  <si>
    <t>TR: Blank employee counter in Form 941 for CE</t>
  </si>
  <si>
    <t>TR: Incorrect length in SUI PR magmedia</t>
  </si>
  <si>
    <t>TAX: Incorrect selection of Connecticut supplemental method.</t>
  </si>
  <si>
    <t>TAX: System preparation for Foreign Earned Income.</t>
  </si>
  <si>
    <t>[VE] Relevant periods for Seniority incorrectly selected</t>
  </si>
  <si>
    <t>[VE] Change in Seniority Calculus (new LOT)</t>
  </si>
  <si>
    <t>SARS Code 3907 - Other Lump Sums Model Wage Types</t>
  </si>
  <si>
    <t>COID - Selection according to criteria provided on screen</t>
  </si>
  <si>
    <t>XX-TRANSL-SV</t>
  </si>
  <si>
    <t>Translation into Swedish</t>
  </si>
  <si>
    <t>Correction of translation of 'Teacher' and 'Employment'</t>
  </si>
  <si>
    <t>SAPKE60451</t>
  </si>
  <si>
    <t>SAPKE60452</t>
  </si>
  <si>
    <t>Schreiben von Änderungszeigern für PA Infotypen bricht ab</t>
  </si>
  <si>
    <t>HR-IDM Datenextraktion (ohne Delta) bei aktiviertem CE</t>
  </si>
  <si>
    <t>0HR_PA_OS_1: IS_LEADER and CONTROL_SPAN are not filled</t>
  </si>
  <si>
    <t>Extractor 0CA_TS_IS_1 extracts too much negative data</t>
  </si>
  <si>
    <t>Extraktion von Abrechnungsdaten mit Fehler HR_BW_PY99023</t>
  </si>
  <si>
    <t>Team viewer cached for one day by default</t>
  </si>
  <si>
    <t>IT3238 Meldung: Letzte Maßnahme kein Austritt oder Ruhend</t>
  </si>
  <si>
    <t>IT0107 - feature BFIVA is reused when pushing ENTER</t>
  </si>
  <si>
    <t>HBRFICHA: HR_ENTRY_DATE function not used to get entry date</t>
  </si>
  <si>
    <t>IT0021: Termination or inconsistent value for payment factor</t>
  </si>
  <si>
    <t>[CL] Cannot create Garnishment for Spouse</t>
  </si>
  <si>
    <t>Enhancement: Pay Date for China Bank File</t>
  </si>
  <si>
    <t>Batch Update of IT0530 is Affected by Warning Messages</t>
  </si>
  <si>
    <t>Infotype 576 is evaluated for seniority in employment</t>
  </si>
  <si>
    <t>TNM: Enhancement to the report RPCTNM9S_SNAP_GUI</t>
  </si>
  <si>
    <t>TNM: Enhancement to the report RPCTNM9S_SNAP_GUI (part 2)</t>
  </si>
  <si>
    <t>Failing Unit Test for class CL_HRBAS_INFTY_1681_BL</t>
  </si>
  <si>
    <t>PPSN Number legal change for Ireland effective from 2013</t>
  </si>
  <si>
    <t>IT 0483 (Liquidazione dati da CAAF) not available in V_T588M</t>
  </si>
  <si>
    <t>Subtype Check Correction for Pension Infotypes</t>
  </si>
  <si>
    <t>ESS: Name order and output selection parameter</t>
  </si>
  <si>
    <t>Mid-YEA 2012: YED Receipt and Traditional Market Expense</t>
  </si>
  <si>
    <t>LR2012: Retirement Pension Details on Separation Receipt</t>
  </si>
  <si>
    <t>[MX] HR_MX_VALIDATE_CURP - Dependents CURP validation</t>
  </si>
  <si>
    <t>PY-MY:IT0199 - Short Dump in Data Input through Fast Entry</t>
  </si>
  <si>
    <t>IT0808: Wrong Default Value For Field CAO Code (CAOCL)</t>
  </si>
  <si>
    <t>Maintain Text icon not shown for some Portuguese infotypes</t>
  </si>
  <si>
    <t>Infotype 0295 - screen texts correction</t>
  </si>
  <si>
    <t>SZV-6-*: unexpected SZV-6-2 Form for a fired employee</t>
  </si>
  <si>
    <t>2-NDFL: empty form for previous years</t>
  </si>
  <si>
    <t>SPV-1: wrong end date of the seniority period</t>
  </si>
  <si>
    <t>PA-PA-SG: IT0002 not being updated on IT0185 deletion</t>
  </si>
  <si>
    <t>PA-PA-SG: Name/Birth field does not store 40 characters.</t>
  </si>
  <si>
    <t>Correspondence: The title is not displayed in some cases</t>
  </si>
  <si>
    <t>PP61: BAdI HRSPPBS_ADD_CHECKS not getting updated break time</t>
  </si>
  <si>
    <t>[AR] HARCOS00 - Wrong total amount when split in ARSES</t>
  </si>
  <si>
    <t>[AR] SAC provision not included in old ART calculation</t>
  </si>
  <si>
    <t>Dokumentation, ID der IMG-Strukturen</t>
  </si>
  <si>
    <t>Termination Organiser updating Infotypes in Test Mode</t>
  </si>
  <si>
    <t>Documentation updated for V_T5QGP - field GETNM</t>
  </si>
  <si>
    <t>Payment summary incorrect in few scenarios</t>
  </si>
  <si>
    <t>2012 Tax: Recalculated Backpay Tax Adjustment Correction</t>
  </si>
  <si>
    <t>Wage type /LTT is updated in retro</t>
  </si>
  <si>
    <t>Incorrect tax in case of retro for negative backpay</t>
  </si>
  <si>
    <t>Retroactive change in backpay tax adding twice to /401,/416</t>
  </si>
  <si>
    <t>Dimona: Duplicate Prevention - Incorrect Record Duplication</t>
  </si>
  <si>
    <t>Dismissal Taxable Exemption: B055 Corrections</t>
  </si>
  <si>
    <t>Decava: Employment % Based on IT0109 not IT0107</t>
  </si>
  <si>
    <t>Work Bonus: Split Assignment - Correction</t>
  </si>
  <si>
    <t>DmfA: reduction 3101 - not calculated correctly</t>
  </si>
  <si>
    <t>BEEVL : Dump if none BEEVL in the last payroll cluster</t>
  </si>
  <si>
    <t>DeCavaA: Number of days field in DmfA incorrect</t>
  </si>
  <si>
    <t>DIRF/Income Declaration: Seniority of Christmas bonus</t>
  </si>
  <si>
    <t>HomologNet: Field 41 not filled with dismissal SJ2</t>
  </si>
  <si>
    <t>DIRF/Income Declaration: delimited wage type are disregarded</t>
  </si>
  <si>
    <t>CAGED: Wrong hiring date when movement code reintegration</t>
  </si>
  <si>
    <t>BRPED: Expired vacation paid as proportional vacation</t>
  </si>
  <si>
    <t>GPS: Substitution of Social Contribution</t>
  </si>
  <si>
    <t>HBRRTER3: Updates on fields 22, 27, 31, 32, 69 and 103</t>
  </si>
  <si>
    <t>Termination Term: Incorrect output form</t>
  </si>
  <si>
    <t>Termo de Rescisão: Field 28 - Alimony percent is not correct</t>
  </si>
  <si>
    <t>Termination Term: Legal change 2012</t>
  </si>
  <si>
    <t>Termination Term: Invalid sequence for fields 67, 95 and 115</t>
  </si>
  <si>
    <t>TAX:Incorrect outflow for WT's with PCL 47 set</t>
  </si>
  <si>
    <t>RPCALCK0:Short Dump when STD field is blank in IT2001</t>
  </si>
  <si>
    <t>Tax : Incorrect Influx processing for WT's with PCL 47 set</t>
  </si>
  <si>
    <t>TAX : New Tax - PST for Manitoba w.e.f July 15th 2012</t>
  </si>
  <si>
    <t>RPCAUDK0 shows incorrect result for Out-of-sequence run</t>
  </si>
  <si>
    <t>ROE: ROE run date incorrect when based on absences</t>
  </si>
  <si>
    <t>Incorrect WHT percentage rate for salary over CHF 100,000</t>
  </si>
  <si>
    <t>WHT VD EMP-ACI: Error message despite BAdI implementation</t>
  </si>
  <si>
    <t>ELM: Neuer View für Eingabe von Reports und Varianten</t>
  </si>
  <si>
    <t>CH Reports: Auslieferung von neuen HR Reportklassen</t>
  </si>
  <si>
    <t>CE CH: techn. Auslieferung ohne Änderung der Fkt. in SP52</t>
  </si>
  <si>
    <t>ELM/FAK: Mustervariante für ELM fehlt im Report RPLFAKC6_ELM</t>
  </si>
  <si>
    <t>HR-CH: PLZ einlesen, Muster für logischen Dateinamen</t>
  </si>
  <si>
    <t>[CL] Adjustment Off-cycle preparation for Payroll Chile</t>
  </si>
  <si>
    <t>[CL] Social Insurance basis not generated in function CLTSS</t>
  </si>
  <si>
    <t>[CL] Incorrect limit application for Subsidy basis calc.</t>
  </si>
  <si>
    <t>[CL] Wrong Social Insurance basis generation in CLLIC</t>
  </si>
  <si>
    <t>[CL] Social Insurance basis calculation with splits</t>
  </si>
  <si>
    <t>[CL] Incorrect V0 table entries generation in function CLAFA</t>
  </si>
  <si>
    <t>[CL] Incorrect AFP code in CCAF interface report</t>
  </si>
  <si>
    <t>[CL] Wrong number of Vacation days in Termination</t>
  </si>
  <si>
    <t>[CL] Inactive employees in PREVIRED report</t>
  </si>
  <si>
    <t>[CL] Correction PY Preparation: Garnisment over serverances</t>
  </si>
  <si>
    <t>[CL] Monthly Minimum Income (IMM) changes for 2012/2013</t>
  </si>
  <si>
    <t>[CL] Corrections and enhancements for Payroll Chile</t>
  </si>
  <si>
    <t>[CL] Wrong output file in CCAF interface for multiple APVs</t>
  </si>
  <si>
    <t>Enhanced Average Salary Report for Period Parameters</t>
  </si>
  <si>
    <t>Correction accounting for off-cycle payment</t>
  </si>
  <si>
    <t>Tax Reduction When Amount is Lower Than One</t>
  </si>
  <si>
    <t>SFP/leave: Contribution calc. for GNAs of industrial workers</t>
  </si>
  <si>
    <t>Flexi: Operation DFLEX positioning of WPBP is undefined</t>
  </si>
  <si>
    <t>Personnel expenses: Moving locked trips</t>
  </si>
  <si>
    <t>Year-end legal change 2011/2012 DEUEV: Corrections 6</t>
  </si>
  <si>
    <t>DEUEV: Corrections VII</t>
  </si>
  <si>
    <t>EEL: Corrections and enhancements (09/2012)</t>
  </si>
  <si>
    <t>EEL: Process view - corrections and enhancements 6</t>
  </si>
  <si>
    <t>EEL: Improvement of assignment of inbound notifications</t>
  </si>
  <si>
    <t>AAG: Enhancing the check for reporting data</t>
  </si>
  <si>
    <t>ZMV: Correction for assigning and comparing notifications</t>
  </si>
  <si>
    <t>SI reporting: Text of health ins. fund on detail screen</t>
  </si>
  <si>
    <t>EEL process view: Consideration of linked absences</t>
  </si>
  <si>
    <t>Payroll acct:Occupational code in DK01 for retroactive acctg</t>
  </si>
  <si>
    <t>Payroll acct: Label for SP insurance policy no. is missing</t>
  </si>
  <si>
    <t>Prohibited activities:Supplement to maternity pay too high 2</t>
  </si>
  <si>
    <t>BVV: Corrections 08 2012</t>
  </si>
  <si>
    <t>AAG fictitious run/incapacity to work: Corrections VII</t>
  </si>
  <si>
    <t>Miners' insurance: Calc. of contr. amts/reimburs. for miners</t>
  </si>
  <si>
    <t>BVV contribution survey: Set to zero if no compulsory contr.</t>
  </si>
  <si>
    <t>Unpaid leave for persons w/ vol. ins. (voluntarily reduced)</t>
  </si>
  <si>
    <t>Warning message if deviation between SI master data and DSKK</t>
  </si>
  <si>
    <t>Correction of dynamic action for infotype 0013</t>
  </si>
  <si>
    <t>ELStAM: Vorabkorrekturen</t>
  </si>
  <si>
    <t>ZfA: Differentiating revenue type for BZ01</t>
  </si>
  <si>
    <t>Dienstrecht Rheinland-Pfalz: Ausgleichszulage (IMG, Doku)</t>
  </si>
  <si>
    <t>ZfA inbound processing: Several/no personnel numbers found</t>
  </si>
  <si>
    <t>TVOED: Increase of guarantee amounts as of March 01, 2012</t>
  </si>
  <si>
    <t>Rentenauskunftsverfahren: Aktualisierung PAN-Liste</t>
  </si>
  <si>
    <t>Abbruch RPCALCD0 nach Hinweis 1720532</t>
  </si>
  <si>
    <t>Dienstrecht Rheinland-Pfalz: Ausgleichszulage VIII</t>
  </si>
  <si>
    <t>ZfA: ZB01 notification with new bonus number and diff. name</t>
  </si>
  <si>
    <t>Achte Anpassung nach § 69e BeamtVG VII</t>
  </si>
  <si>
    <t>Falsche Kollisionsprüfung bei Dienstzeitengenerierung</t>
  </si>
  <si>
    <t>Kürzung § 57: Keine ruhegehaltfähige Dienstzeit vorhanden</t>
  </si>
  <si>
    <t>Im Bescheid Anlage E P55 fehlt Berechnung des Ruhensbetrags</t>
  </si>
  <si>
    <t>Abbruch Festsetzung aktiv Verstorbener mit Hochschulzeiten 2</t>
  </si>
  <si>
    <t>Feld 'vorüberg. Gewährung' Zuschläge nicht eingabebereit</t>
  </si>
  <si>
    <t>Unschöne Darstellung individuelle Erhöhung Kürzung § 57</t>
  </si>
  <si>
    <t>Staatsvertrag über die Verteilung von Versorgungslasten (19)</t>
  </si>
  <si>
    <t>Laufzeitfehler im Personalteilvorgang Dienstzeiten</t>
  </si>
  <si>
    <t>Anpassungsfaktor § 69e verbergen nach 8. Anpassung</t>
  </si>
  <si>
    <t>Dienstrecht Bayern: Versorgungsabschlag falsch berechnet</t>
  </si>
  <si>
    <t>Fehlende Felder Anlage Versorgungsbezüge Erstattung</t>
  </si>
  <si>
    <t>Felder Infotyp Rentenauskunft im Anzeigemodus eingabebereit</t>
  </si>
  <si>
    <t>Fiktivbrutto während Mutterschutzzeiten und Umlagemonate</t>
  </si>
  <si>
    <t>Namens- und Adresssätze nur speichern, wenn zu übertragen</t>
  </si>
  <si>
    <t>Zuflussprinzip während KGZ-Zeiten; Zu-/Abfluss-LoA in CRT</t>
  </si>
  <si>
    <t>DATÜV-ZVE 1.04 und VBL: Zahlmonat/-jahr füllen</t>
  </si>
  <si>
    <t>PA30: Kurzdump beim Pflegen der Versicherungsnummer IT0051</t>
  </si>
  <si>
    <t>Corrections for statements 09/2012</t>
  </si>
  <si>
    <t>190: Retention with negative arrears from previous year</t>
  </si>
  <si>
    <t>Incorrect distribution of bonifications with VND days</t>
  </si>
  <si>
    <t>BRD: Wrong minimum base for Multiple Employment employee</t>
  </si>
  <si>
    <t>TC: MPG segment missing if Payment mode is empty</t>
  </si>
  <si>
    <t>Contract Printing: corrections of RDL 03/2012</t>
  </si>
  <si>
    <t>AFI: General issues regarding affiliation report</t>
  </si>
  <si>
    <t>TC: Issue with field number 601 in TC1 printed form</t>
  </si>
  <si>
    <t>CALC: Retroactivity issues with SAP Note 1733209</t>
  </si>
  <si>
    <t>ERE: Error when validating the CCC number in 0714 infotype</t>
  </si>
  <si>
    <t>190: Fields of Deduction Certificate not shown correctly</t>
  </si>
  <si>
    <t>IRPF: Familiar minimum for employees with age above 75 old</t>
  </si>
  <si>
    <t>AFI: New values in Labor Special Relationship field</t>
  </si>
  <si>
    <t>CALC: Issue with Indemnity payment for contracts 410 and 510</t>
  </si>
  <si>
    <t>190: No Spouse NIF taken when SITPER set as C in IT0062</t>
  </si>
  <si>
    <t>Wrong key and subkey treatment for 296 after note 1675939</t>
  </si>
  <si>
    <t>TC: New fixed value for recargo de mora (RED 06/2012)</t>
  </si>
  <si>
    <t>Certific@2: error when running with payroll simulation</t>
  </si>
  <si>
    <t>RED 06/2012</t>
  </si>
  <si>
    <t>ERE: Change in HR_ES_RE_L7_R_09 form</t>
  </si>
  <si>
    <t>Certific@2: update in XML files</t>
  </si>
  <si>
    <t>HRFI: Max. number of hits to be displayed in IT 0228</t>
  </si>
  <si>
    <t>Forfait social prévoyance for employees who left the company</t>
  </si>
  <si>
    <t>PY-FR: missing the IDOC segment E1P3316 from the table T777D</t>
  </si>
  <si>
    <t>DMMO does not display temporary employee</t>
  </si>
  <si>
    <t>RPL4CRF0: duplicated entries generated</t>
  </si>
  <si>
    <t>DUCS paper: regularization for IRC paper decl. not generated</t>
  </si>
  <si>
    <t>Missing entries for wage groups DZXX in view V_T5F99FV</t>
  </si>
  <si>
    <t>DN-AC AED: unsupported scenarios log enhancements</t>
  </si>
  <si>
    <t>N4DS: SIRET selection does not work properly II</t>
  </si>
  <si>
    <t>AED: report RPLAEDF0, no result under the "Salarié&amp;quot</t>
  </si>
  <si>
    <t>AED: issue with "rehiring the next day" actions</t>
  </si>
  <si>
    <t>DUCS Paper: incorrect ALV deltas (2)</t>
  </si>
  <si>
    <t>N4DS: S48.G10.00 problems in retro hiring</t>
  </si>
  <si>
    <t>N4DS: Incorrect S60 processing</t>
  </si>
  <si>
    <t>Report RPLASAF3: runtime error "NO_ENTRY_IN_T5F2B"</t>
  </si>
  <si>
    <t>Missing entries for SMICH and MINGA constants in T511P T511K</t>
  </si>
  <si>
    <t>AED: "enveloppe" file rejected</t>
  </si>
  <si>
    <t>AED: issue during CRA/AER upload and other fixes</t>
  </si>
  <si>
    <t>RPCEDTF0: Missing contribution percentages if split IT 0064</t>
  </si>
  <si>
    <t>N4DS DADSU: S60.G05.00.003 = 00.00.0000</t>
  </si>
  <si>
    <t>AED: CRA display switch (temse vs. xml)</t>
  </si>
  <si>
    <t>AED: S48.G55.15 sometimes is empty</t>
  </si>
  <si>
    <t>Pensions Auto Enrolment</t>
  </si>
  <si>
    <t>Stillbirth with child's DOB before the qualifying week</t>
  </si>
  <si>
    <t>RTI issue with NICs &amp; FPS XML file for leaver with no pa</t>
  </si>
  <si>
    <t>Update Manager: Correction to note 1464058</t>
  </si>
  <si>
    <t>Changes to Child Maintenance DEO 2012</t>
  </si>
  <si>
    <t>Payment Category is not updated for entries with zero value.</t>
  </si>
  <si>
    <t>HRGBPS: HESA Staff Return 2012-13 (Legal Changes)</t>
  </si>
  <si>
    <t>PY-GB-PS: School's Work Force Census (2012 legal changes)</t>
  </si>
  <si>
    <t>PY-GB : Minor Bugs related to Support pack activities (HESA)</t>
  </si>
  <si>
    <t>RTI: Incomming P6/P9 clears Works Number in IT0065</t>
  </si>
  <si>
    <t>Starter tax code after incoming tax update</t>
  </si>
  <si>
    <t>RTI Leaver Report update</t>
  </si>
  <si>
    <t>RTI: FPS report doesn't produce XML for leavers with nil pay</t>
  </si>
  <si>
    <t>RTI: EAS ME processing for leavers</t>
  </si>
  <si>
    <t>Issue with P45 report after applying Note 1675278</t>
  </si>
  <si>
    <t>Issue with Date of commencement field in P60</t>
  </si>
  <si>
    <t>DDIC Changes-USC Withhold flag,delivered via field in IT359.</t>
  </si>
  <si>
    <t>Legal Change: New Version(8) of P35L for XML</t>
  </si>
  <si>
    <t>Issue with Prodct field in P45 XML</t>
  </si>
  <si>
    <t>Form 16: Inconsistent Perquisite values in Form 12BA</t>
  </si>
  <si>
    <t>Electronic Challan Cum Return For Employee's Provident Fund</t>
  </si>
  <si>
    <t>HINUF24Q:inconsistency in salary and tax details tab</t>
  </si>
  <si>
    <t>Section 80CCG : Rajiv Gandhi Equity Saving Schema (RGESS)</t>
  </si>
  <si>
    <t>Form16 : When AFY switch is activated FY end date is blank</t>
  </si>
  <si>
    <t>Payroll Execution Inconsistent for Third Party Deductions</t>
  </si>
  <si>
    <t>HINCF24Q : Name &amp; PAN getting repeated for all employees</t>
  </si>
  <si>
    <t>PF No. Not Displayed In Overview After PF No. Length Change</t>
  </si>
  <si>
    <t>IT185:Inconsistent for multiple employees when mass uploaded</t>
  </si>
  <si>
    <t>Form 24Q: Salary and Income Tax Details inconsistent</t>
  </si>
  <si>
    <t>HR-IT: ITMEC missing calculation for CIG straordinaria</t>
  </si>
  <si>
    <t>HR-IT: 730 2012</t>
  </si>
  <si>
    <t>HR-IT: UniEmens 1.2.6 - Correction Package II</t>
  </si>
  <si>
    <t>Unnecessary display fields in Santei/Geppen data file</t>
  </si>
  <si>
    <t>Position issue for RPCELVJ0&amp;RPCEWCJ0</t>
  </si>
  <si>
    <t>Configuration Changes for New LI Wage Types</t>
  </si>
  <si>
    <t>RPCLIAJ0: Incorrect Wage Amount for Syoyo Retro results</t>
  </si>
  <si>
    <t>Performance Problems in HKRCYEA0 and HKRCYED0 Reports</t>
  </si>
  <si>
    <t>[MX] Changes in SIRI layout</t>
  </si>
  <si>
    <t>PY-MY : Split in Borang E form and EA form issues</t>
  </si>
  <si>
    <t>PY-MY: Issues in functions LTAX and LEPF</t>
  </si>
  <si>
    <t>PY-MY: ER name is truncated in M2N download format for EPF</t>
  </si>
  <si>
    <t>EPF contribution is not tax exempted in semi monthly payroll</t>
  </si>
  <si>
    <t>M2N CP39 Download: Bank Product for Sabah &amp; Sarawak regi</t>
  </si>
  <si>
    <t>Correction of statutory minimum wages as of July 1st, 2012</t>
  </si>
  <si>
    <t>Jaaropgave WN: Webdynpro - Special Indicators</t>
  </si>
  <si>
    <t>HRNO: RPLSDIV0 Self-declared illness warn.-issue in Februar</t>
  </si>
  <si>
    <t>Altinn-2 - support for error messages in integration process</t>
  </si>
  <si>
    <t>Altinn 2 - outdated data from T5VXI in outgoing ERC document</t>
  </si>
  <si>
    <t>HRNO: Reimbursement Issues July 2012</t>
  </si>
  <si>
    <t>SPK - correction of issues - July 2012</t>
  </si>
  <si>
    <t>PY-NZ: Additional ESCT Override Wagetype Functionality</t>
  </si>
  <si>
    <t>Incorrect KiwiSaver deductions in retros with Advance Pay</t>
  </si>
  <si>
    <t>PY-PH: Wrong tax in Projection Tax method for multiple EE's</t>
  </si>
  <si>
    <t>Single Report:Corrections in attachments 0, A, C and E</t>
  </si>
  <si>
    <t>PNAB: Wrong valuation rule due to WPBP split</t>
  </si>
  <si>
    <t>RPCSSRP0:Wrong nr of days in part-time schedule due to split</t>
  </si>
  <si>
    <t>Wrong start date for dynamic action of compensation</t>
  </si>
  <si>
    <t>HR-PT: Generation of leave entitlement without increase</t>
  </si>
  <si>
    <t>PSSD0: Modifications to report absences with working days</t>
  </si>
  <si>
    <t>Wrong deduction of absences in seniority counting</t>
  </si>
  <si>
    <t>Wrong rounding of IRS amounts for non-resident employees</t>
  </si>
  <si>
    <t>SIOE: Wrong selection of employees with disability</t>
  </si>
  <si>
    <t>RPCWARP0: Changes to apply 100% of contributive base for SS</t>
  </si>
  <si>
    <t>RPCNRRP0: dump generated when reading infotype 0185</t>
  </si>
  <si>
    <t>CGA report: Corrections III - 2012</t>
  </si>
  <si>
    <t>RPCVALPT0PBS: Message error when saving data</t>
  </si>
  <si>
    <t>ADSE: Incremental rate deduction does not consider CA and VA</t>
  </si>
  <si>
    <t>HR-RU: Standard tax privilege in off-cycle</t>
  </si>
  <si>
    <t>SZV-6-3: Both contract types are marked in Adobe form</t>
  </si>
  <si>
    <t>Missing customizing: Preparation SAP_HR objects for LC in CE</t>
  </si>
  <si>
    <t>Sickness counting of 180 days is incorrect in SEV0 schema</t>
  </si>
  <si>
    <t>HRSE:RPLTCES0 - Section 12 Overtime without WT assigned</t>
  </si>
  <si>
    <t>CPF calculation for mid period payroll</t>
  </si>
  <si>
    <t>PY-SG:CPF Rate Changes Sep 2012 - Correction to Note 1728251</t>
  </si>
  <si>
    <t>Correction for GPML flexi leaves</t>
  </si>
  <si>
    <t>Incorrect split in CPF contribution for rehire case</t>
  </si>
  <si>
    <t>PY-TH: Paid Date is not displayed on SS Detail Page</t>
  </si>
  <si>
    <t>LC-TH: ITF1, ITF1A, PIT91 and 50BIS adddress format changes</t>
  </si>
  <si>
    <t>HTWCDTA0: ZALDT Is Wrong</t>
  </si>
  <si>
    <t>HTWCDTA0: Creation Date for Payment DME File</t>
  </si>
  <si>
    <t>USCLM: IT partial forgiveness recovery not considering gross</t>
  </si>
  <si>
    <t>USCLM: Switch CLMGR, disables gross verification on IT reco.</t>
  </si>
  <si>
    <t>CE: Payroll Type is cleared when off-cycle is run</t>
  </si>
  <si>
    <t>TAX:Documentation for courtesy withholding for PA localities</t>
  </si>
  <si>
    <t>NWH: Documentation for BAdI HRPADUS_NHR_0001</t>
  </si>
  <si>
    <t>TR: Unemployment Taxable Wages for State of Ohio</t>
  </si>
  <si>
    <t>TR: W-2C Magmedia blank locations correction</t>
  </si>
  <si>
    <t>TR: Reporting PSD codes in custom magnetic media files</t>
  </si>
  <si>
    <t>TR: Form W-2 based on remittance tax authority for PA</t>
  </si>
  <si>
    <t>TR: Tax rate not displayed in magnetic media for SUI TX</t>
  </si>
  <si>
    <t>TR: Rollover of wages for cross-month retrocalculations</t>
  </si>
  <si>
    <t>[VE] Internal corrections for Seniority Calculus (new LOT)</t>
  </si>
  <si>
    <t>[VE] Corrections for new Seniority Calculus</t>
  </si>
  <si>
    <t>Taxation of Employment Related Insurance Policies</t>
  </si>
  <si>
    <t>Tax is calculated with negative value due to MA tax credit</t>
  </si>
  <si>
    <t>Medical Aid: Late Joiners penalty calculation on risk factor</t>
  </si>
  <si>
    <t>IRP5 2013: Introduction of SARS code 4116</t>
  </si>
  <si>
    <t>COID: Rejected Employees Amounts Added to Previous</t>
  </si>
  <si>
    <t>OFO Code/Alternative Titles Search Help Inconsistent</t>
  </si>
  <si>
    <t>XX-CSC-FI</t>
  </si>
  <si>
    <t>XX-CSC-FI-HR</t>
  </si>
  <si>
    <t>HRFI: HFILVAC1 - TYPO in PROVIDE cmd(not raised check err)</t>
  </si>
  <si>
    <t>SAPK-60601</t>
  </si>
  <si>
    <t>Change Person Responsible for Objects in Travel Management</t>
  </si>
  <si>
    <t>2)Web/WDA Completion &amp; Search Help Reason not based on P</t>
  </si>
  <si>
    <t>Incorrect handling of meal codes in accommodation receipt</t>
  </si>
  <si>
    <t>RGV: DZ tägl.Kehre: Meldung bei fehlenden Anwesenheiten</t>
  </si>
  <si>
    <t>Dienstantrittsreise: Datenübernahme aus DZ: Verkettung</t>
  </si>
  <si>
    <t>Sicherheitsabfrage Navigation zu Periode nach Änderung DZ</t>
  </si>
  <si>
    <t>PS AT: Uhrzeit für Abzüge im ESS</t>
  </si>
  <si>
    <t>'Begrenzung DZ-Gebühr auf 180-Tage' ausblenden</t>
  </si>
  <si>
    <t>HCM P &amp; F: current comments missing descriptive name in</t>
  </si>
  <si>
    <t>HCM P&amp;F: Wrong F4 values in WDA application on reselecti</t>
  </si>
  <si>
    <t>HCM Processes &amp; Forms - "Collision with another tim</t>
  </si>
  <si>
    <t>Personnel Information Systems</t>
  </si>
  <si>
    <t>ODP Analytics EA-HRGXX EA-HRRXX 6.06 SP01 Composite SAP Note</t>
  </si>
  <si>
    <t>HRPBCM: PERSK/PERSG inheritance in "Basic Data" ta</t>
  </si>
  <si>
    <t>Incorrect texts in reporting launchpad</t>
  </si>
  <si>
    <t>Unable to extend Leave request feeder classes</t>
  </si>
  <si>
    <t>SAPK-60602</t>
  </si>
  <si>
    <t>Correcting Checkman Errors</t>
  </si>
  <si>
    <t>Indirectly quoted rate not transferred to offline</t>
  </si>
  <si>
    <t>Save a cost assignment possible even though it is closed</t>
  </si>
  <si>
    <t>Incorrect message when displaying trip in the status "D</t>
  </si>
  <si>
    <t>AT: Additional amounts in RPRTEF10 - part 2</t>
  </si>
  <si>
    <t>PS-AT, PS-DE: Feldsteuerung bei Dienstantritts u. -rückreise</t>
  </si>
  <si>
    <t>Formular Andruck Frühstücksabzug U-Beleg mit Betrag 0</t>
  </si>
  <si>
    <t>Setting text element for "Location" field in sourc</t>
  </si>
  <si>
    <t>PS: Feldsteuerung Rahmendaten einer DZ/TG in IMG-Aktivität</t>
  </si>
  <si>
    <t>PS DE:Popup große Vergleichsrechnung fiktives Tagegeld DA/DR</t>
  </si>
  <si>
    <t>Web: error message not displayed when cancel direct hotel</t>
  </si>
  <si>
    <t>ESS Launchpad</t>
  </si>
  <si>
    <t>Enable Save button for Review and Save step in Enrollment</t>
  </si>
  <si>
    <t>Performance Management Localization for China</t>
  </si>
  <si>
    <t>PMP:PDF appraisal tmplte displays no note info for role&amp;</t>
  </si>
  <si>
    <t>PMP: Termination on 'Employee Documents' tab page</t>
  </si>
  <si>
    <t>RHRFPM_SET_CLOSEDKZ: Termination message MESSAGE_TYPE_X</t>
  </si>
  <si>
    <t>S-&amp;gt;O Extraction: Call HR_STRUCTURE_GET wit READ_MODE spac</t>
  </si>
  <si>
    <t>Fill S-&amp;gt;O Extraction Node separately instead table wise</t>
  </si>
  <si>
    <t>RPTIME01: Employee is rejected</t>
  </si>
  <si>
    <t>Multi Actions column in Leave Overview</t>
  </si>
  <si>
    <t>Incorrect column and event Time Format in Clock-In/out Corr</t>
  </si>
  <si>
    <t>Translation of text in Leave Request</t>
  </si>
  <si>
    <t>Notes entered first time are not displayed in Leave Overview</t>
  </si>
  <si>
    <t>DEUEV data record version 02: Corrections V</t>
  </si>
  <si>
    <t>Short dump in CE Payroll Driver when called from RPCIPE</t>
  </si>
  <si>
    <t>XX-CSC-PL</t>
  </si>
  <si>
    <t>Poland</t>
  </si>
  <si>
    <t>XX-CSC-PL-TV</t>
  </si>
  <si>
    <t>Incorrect ratio for exchange rates</t>
  </si>
  <si>
    <t>SAPK-60603</t>
  </si>
  <si>
    <t>MSS Add-on 1.0: Modifying Team View for cachemaxage</t>
  </si>
  <si>
    <t>MSS Position Requirement Confirm button not working</t>
  </si>
  <si>
    <t>FM: HRMSS_RFC_RD_DATES_GETLIST enhanced for performance</t>
  </si>
  <si>
    <t>MSS Position Requirements- Success message not shown</t>
  </si>
  <si>
    <t>Web Travel approver: messages deleted by refresh</t>
  </si>
  <si>
    <t>Error OA 413 Barcode already exists on approving/saving trip</t>
  </si>
  <si>
    <t>History not displayed for trips without versions</t>
  </si>
  <si>
    <t>Web: impossible to modify a cost assignement if message</t>
  </si>
  <si>
    <t>WEB: Outdated currencies can still be selected for receipts.</t>
  </si>
  <si>
    <t>PR05/TRIP: Required field check for editor with default text</t>
  </si>
  <si>
    <t>The Results-Travel Request button is not displayed in PR05.</t>
  </si>
  <si>
    <t>Lengths of text symbols for translation</t>
  </si>
  <si>
    <t>WEB ABAP: Problem displaying pdf files after note 1444940</t>
  </si>
  <si>
    <t>Missing authorization check in FI-TV</t>
  </si>
  <si>
    <t>Cost assignement button does not appear in trip / request</t>
  </si>
  <si>
    <t>Reference to travel request is missing in itinerary</t>
  </si>
  <si>
    <t>NWBC: SAP_EMPLOYEE_ESS_WDA_2 - Create Travel request missing</t>
  </si>
  <si>
    <t>Web: Mileage details not saved if only one entry (Part 2)</t>
  </si>
  <si>
    <t>Web: Visibility of field for business partner</t>
  </si>
  <si>
    <t>PR05:Warning msg for all rcpts if max.rate per diem exceeded</t>
  </si>
  <si>
    <t>PRRW: Status of trip not reset when posting run discarded</t>
  </si>
  <si>
    <t>Web: Company code for provided tax codes</t>
  </si>
  <si>
    <t>RPRFLDEL deletes matchcode W (KOABR)</t>
  </si>
  <si>
    <t>Travel Management: Uploading participant list as a file</t>
  </si>
  <si>
    <t>In My Trip and expenses - Default schema selection issue</t>
  </si>
  <si>
    <t>Web: Check of tax jurisdiction code for document defaults</t>
  </si>
  <si>
    <t>Total Miles are not filled in the pdf form</t>
  </si>
  <si>
    <t>Web: CO check no longer performed</t>
  </si>
  <si>
    <t>Receipt information is overwritten</t>
  </si>
  <si>
    <t>Web ABAP: COPY not possible in Express Expense Sheet (EES)</t>
  </si>
  <si>
    <t>Display of all trips in TRIP in the list</t>
  </si>
  <si>
    <t>WDA Travel: Support for MS Office 2007 formats</t>
  </si>
  <si>
    <t>Web: Addit destinations abroad for domestic trips not in EES</t>
  </si>
  <si>
    <t>PR05: Infotype 17 does not exist on 00.00.0000</t>
  </si>
  <si>
    <t>WD ABAP: Request: Field control for street not working</t>
  </si>
  <si>
    <t>Entries in participant list cannot be deleted</t>
  </si>
  <si>
    <t>Addnl receipt info: Participant list correction of err msg</t>
  </si>
  <si>
    <t>EES: Required field for street is not filled</t>
  </si>
  <si>
    <t>WEB ABAP: Travel Expenses picks vehicle class on wrong date</t>
  </si>
  <si>
    <t>Incorrect header in overview of Receipt Wizard</t>
  </si>
  <si>
    <t>TRIP_EWT: Decimal places for credit card receipts</t>
  </si>
  <si>
    <t>WEB ABAP: additional line breaks added in general data edito</t>
  </si>
  <si>
    <t>PDF: From/to-date in accommodations per diem for Sweden 2</t>
  </si>
  <si>
    <t>EES: Moving trip and destinations</t>
  </si>
  <si>
    <t>Incorrect data declaration</t>
  </si>
  <si>
    <t>WEB ABAP: Reason lost in additional destinations</t>
  </si>
  <si>
    <t>Web: Start address overwritten in miles/kilometers entry</t>
  </si>
  <si>
    <t>WEB ABAP: Copy expense report with wrong vehicle class/type</t>
  </si>
  <si>
    <t>RGV-Novelle: 180 Tage nach §22 RGV</t>
  </si>
  <si>
    <t>PS-AT: No print-out of accommodations per diem if amount = 0</t>
  </si>
  <si>
    <t>Trg:'Beibehaltung entgeltlicher Unterkunft' nicht auswählbar</t>
  </si>
  <si>
    <t>PS DA/SA: Cannot change start or end date</t>
  </si>
  <si>
    <t>PS AT: Legal trip type 'V' in travel expense manager (PR05)</t>
  </si>
  <si>
    <t>FITVPS728 nicht nur beim Anlegen eines Unterkunftsbelegs</t>
  </si>
  <si>
    <t>Bavaria/PR02: No "Forenight" deduction on welcome</t>
  </si>
  <si>
    <t>Express Expense Sheet: Fehler beim Verschieben einer Reise</t>
  </si>
  <si>
    <t>Public sector Austria/Germany: Sorting DA/SA in TGPER</t>
  </si>
  <si>
    <t>Times according to constants for public sector Austria only</t>
  </si>
  <si>
    <t>TRIP: User data when creating request or plan</t>
  </si>
  <si>
    <t>FOID customizing not handdled in Abap WD UI for Etix</t>
  </si>
  <si>
    <t>eTravel: No deletion of trips from AMI after synchronization</t>
  </si>
  <si>
    <t>HCM P&amp;F: Unable to interpret "B" as a number e</t>
  </si>
  <si>
    <t>HCM P&amp;F: Duplicate error messages on clicking Check and</t>
  </si>
  <si>
    <t>OADP Org structure view with list not displayed</t>
  </si>
  <si>
    <t>Workitem lock not released after application is closed</t>
  </si>
  <si>
    <t>Incorrect calculation of cost items with limits</t>
  </si>
  <si>
    <t>Detail planning. Organizational reassignment.</t>
  </si>
  <si>
    <t>Extractor 0HR_PACP_2: Message HRHCP00_PLAN030, wrong Limit</t>
  </si>
  <si>
    <t>WD Detail Planning: No button "Settings" in ALV to</t>
  </si>
  <si>
    <t>WD Detail Planning: Wrong position of column in user layout.</t>
  </si>
  <si>
    <t>Release Plan. Error HRHCP00_PLAN111. Limit of Cost items</t>
  </si>
  <si>
    <t>Correction to SU22</t>
  </si>
  <si>
    <t>Sorting data in planning table incorrect</t>
  </si>
  <si>
    <t>Rejection of IT0759 in Planning Overview</t>
  </si>
  <si>
    <t>Planning Overview displays only error messages and no data</t>
  </si>
  <si>
    <t>Audit Report for Budgets currency conversion does not work</t>
  </si>
  <si>
    <t>Method GET_SPENT_AMOUNT_BY_EE provides wrong amount</t>
  </si>
  <si>
    <t>HREIC:Error when accepting a call fron external contact.</t>
  </si>
  <si>
    <t>User was not navigated to detail screen during create</t>
  </si>
  <si>
    <t>CATS: Dump in Time Levelling class</t>
  </si>
  <si>
    <t>HR-BR: Dump when hiring Brazilian employee</t>
  </si>
  <si>
    <t>Leave Request BR - Payment in Advance of Christmas Allowance</t>
  </si>
  <si>
    <t>HR-BR: New legal document RIC - Infotype decoupling</t>
  </si>
  <si>
    <t>SREP: New field for mandatory work break record (IT0016)</t>
  </si>
  <si>
    <t>Leave request BR - Save button not working in ESS</t>
  </si>
  <si>
    <t>Birth certificate register field (infotype 0021)</t>
  </si>
  <si>
    <t>Improvement to the TN handling process</t>
  </si>
  <si>
    <t>TNM DDIC enhancements</t>
  </si>
  <si>
    <t>Activation of Enhancement on the LSO-TNM</t>
  </si>
  <si>
    <t>Correct Gender Check for Form of Address in ESS</t>
  </si>
  <si>
    <t>Infotype 1655: "Subordinate Code of FSS" field</t>
  </si>
  <si>
    <t>Singapore allows multiple spouse records for female employee</t>
  </si>
  <si>
    <t>IT0009: Entered IBAN is initialized</t>
  </si>
  <si>
    <t>Predefined Performance Management proc: Manager search fails</t>
  </si>
  <si>
    <t>PMP: Status note is not available in appraisal document</t>
  </si>
  <si>
    <t>Position management - Valid-to date reassignment locks</t>
  </si>
  <si>
    <t>Multiple selection in reports drops IDs</t>
  </si>
  <si>
    <t>Various errors during period-end closing of commitment docs</t>
  </si>
  <si>
    <t>Error msg HRFPM 101 during payroll or commitment creation</t>
  </si>
  <si>
    <t>TM: "Obsolete" column in development plan document</t>
  </si>
  <si>
    <t>TMC search: "Incumbent Key Position" search field</t>
  </si>
  <si>
    <t>Avoid exclusion of search terms in Talent Management Search</t>
  </si>
  <si>
    <t>Talent review meeting overview: Displaying talent profile</t>
  </si>
  <si>
    <t>Correcting the IMG documentation SIMG TMC_0015</t>
  </si>
  <si>
    <t>TMC search: Incorrect matrix size in the results list</t>
  </si>
  <si>
    <t>Talent review meeting: Termination in follow-up activities</t>
  </si>
  <si>
    <t>Duplicate bookings happen; resources assigned automatically</t>
  </si>
  <si>
    <t>Course Worklist : Select multiple Delivery Methods</t>
  </si>
  <si>
    <t>HR Forms: Corrections to SAP_PAYSLIP_DE_P</t>
  </si>
  <si>
    <t>Problems during pay slip visualization using HRFORMS model</t>
  </si>
  <si>
    <t>Availability of EhP 6 and EhP 5 functionalities on EhP 4</t>
  </si>
  <si>
    <t>ESS deleted leave encashment appearing in approver's UWL</t>
  </si>
  <si>
    <t>ESS-Income from other sources infotype updation error</t>
  </si>
  <si>
    <t>Few fields of infotype 0021 are not available in ESS - NPO</t>
  </si>
  <si>
    <t>Russian CE report incorrectly rejects EE: "No payroll d</t>
  </si>
  <si>
    <t>PY CE: wrong parameter 'S' of operation RUAWP</t>
  </si>
  <si>
    <t>RPCNORS0_CE: Page break in Nordea file</t>
  </si>
  <si>
    <t>SPV reporting issues in Absence and Income.</t>
  </si>
  <si>
    <t>RPCNORS0_CE:Split in Infotype 0001 results in error message.</t>
  </si>
  <si>
    <t>Issues with BAdI implementation HRXSS_PER_BEGDA_US</t>
  </si>
  <si>
    <t>H99_HRFORMS_CALL -Parameters not passed to the print program</t>
  </si>
  <si>
    <t>HRFORMS:MetaStar PAYMENTS changed to 'All' payroll results</t>
  </si>
  <si>
    <t>IBAN field not filled from BT table in MetaDimension IBAN</t>
  </si>
  <si>
    <t>Inncorrect settlement of "Travel Flat Rates" in fo</t>
  </si>
  <si>
    <t>SAPK-60604</t>
  </si>
  <si>
    <t>Appraisals structure HAP_S_BW_IS_3_PA cannot be enhanced</t>
  </si>
  <si>
    <t>WDA Team Calender missing header when employees are changed</t>
  </si>
  <si>
    <t>CATS WD: Work center ARBPL is changed if there is an error</t>
  </si>
  <si>
    <t>CATS WD: 3 decimal places are displayed for Actual hours</t>
  </si>
  <si>
    <t>Timesheet Records move into next line.</t>
  </si>
  <si>
    <t>CATS WD:Search Help not working after save action</t>
  </si>
  <si>
    <t>Incorrect data being imported while using favorites</t>
  </si>
  <si>
    <t>CATS WDA:Workflow not triggered when record is saved</t>
  </si>
  <si>
    <t>CATS WDA:Description is not fully displayed in F4  Results</t>
  </si>
  <si>
    <t>MSS Add-On 1.0:Position hierarchy and menu not displayed</t>
  </si>
  <si>
    <t>Dump POSTING_ILLEGAL_STATEMENT in SAPLHRTR on saving a trip</t>
  </si>
  <si>
    <t>3)Web/WDA Completion &amp; Search Help Reason not based on P</t>
  </si>
  <si>
    <t>4)Web/WDA Completion &amp; Search Help Reason not based on P</t>
  </si>
  <si>
    <t>Paid Trips Text not displayed in transaction TRIP .</t>
  </si>
  <si>
    <t>Correction for authorization check</t>
  </si>
  <si>
    <t>Web: Field control for official business fields w/o impact</t>
  </si>
  <si>
    <t>Web: Country sorting wrong for non-ASCI characters</t>
  </si>
  <si>
    <t>NWBC: SAP_EMPLOYEE_ESS_WDA_1/2 - Create external Travel Plan</t>
  </si>
  <si>
    <t>RPCLSTTE: Report title text missing in original language DE</t>
  </si>
  <si>
    <t>BAdI: No deletion of personnel numbers with trips</t>
  </si>
  <si>
    <t>PR05/TRIP: Amount in message when maximum rate is exceeded</t>
  </si>
  <si>
    <t>Substracting private expense might result in error</t>
  </si>
  <si>
    <t>Tax codes when tax entry is deactivated</t>
  </si>
  <si>
    <t>PRRW: Company code for posting non-deductible tax</t>
  </si>
  <si>
    <t>Web: No exchange rate in case of read-only exchange rate fld</t>
  </si>
  <si>
    <t>WD: error when entering non-numeric number of breakfasts</t>
  </si>
  <si>
    <t>Wrong entry in table WWWPARAMS for travel form</t>
  </si>
  <si>
    <t>TCK(SP): SAPK-60603INEAHR -&amp;gt; CHK_TSTC -&amp;gt; PRDO</t>
  </si>
  <si>
    <t>Web Dynpro Travel Management: Comment field becomes higher</t>
  </si>
  <si>
    <t>receipt additional information are not all cleared for CC</t>
  </si>
  <si>
    <t>Web: No editor text for kilometers in TRIP_WEB_CHECK</t>
  </si>
  <si>
    <t>Tax-exempt meals per diem in PTRV_SHDR</t>
  </si>
  <si>
    <t>IT: One-day trip less than ten hours with stopovers</t>
  </si>
  <si>
    <t>WEB ABAP: Vehicle Class/Type not updated with trip dates</t>
  </si>
  <si>
    <t>No check Perdiem vs Hotel, in TRIP, when screen collapsed</t>
  </si>
  <si>
    <t>Web: Consolidating receipts from Travel Planning</t>
  </si>
  <si>
    <t>EES: Mileage field values get lost</t>
  </si>
  <si>
    <t>PR04: Error 56 163: Conversion from &amp;1 to &amp;2 is not</t>
  </si>
  <si>
    <t>BUS2089: Currency translation of currencies w/o deciml place</t>
  </si>
  <si>
    <t>PR05 Infocenter Exch. Rates: wrong format of curr amount</t>
  </si>
  <si>
    <t>PR05: irrelevant times for deductions</t>
  </si>
  <si>
    <t>Norway: Incorrect amount for salary element</t>
  </si>
  <si>
    <t>Mssg PG 602 also issued w/o intgrtn in payroll acctng part 2</t>
  </si>
  <si>
    <t>Norway: Check of names for passengers entered</t>
  </si>
  <si>
    <t>IT: 10-hour rule trips with stopovers</t>
  </si>
  <si>
    <t>BAdI: Deletion of pers. numbers in Enhancement Package 05</t>
  </si>
  <si>
    <t>RGV: DZ mit Beginnuhrzeit 00:00 - Perioden um 1 Tag zu kurz</t>
  </si>
  <si>
    <t>Überflüssig Einträge in der pers. Wertehilfe für die Adresse</t>
  </si>
  <si>
    <t>AT: Adressübernahme aus Antrag in Abrechnung unvollständig</t>
  </si>
  <si>
    <t>Fully cancel duty allocation</t>
  </si>
  <si>
    <t>PS DE: Abzüge 'unentgelt. Verpflegung' nicht eingabebereit</t>
  </si>
  <si>
    <t>Mahlzeiten im U.-Beleg: unentgelt. Verpflegung (Pauschalen)</t>
  </si>
  <si>
    <t>PS DE: FITVFELD Abordnung in der Abordnung bei tägl. Kehre</t>
  </si>
  <si>
    <t>PS DE: Vergleichsrechnung im Formular/Dienstantrittsreise</t>
  </si>
  <si>
    <t>PS AT: Ort einer Dienstreise wird gelöscht</t>
  </si>
  <si>
    <t>Formular: Anzeige anzurechnender Drittel/12. der parall. DR</t>
  </si>
  <si>
    <t>BRKG: No capping doc for accommod. if you choose "Back&amp;</t>
  </si>
  <si>
    <t>PS: Programmabbruch bei Auswahl des Ortes einer DZ</t>
  </si>
  <si>
    <t>Not possible to save external plan: Required field is empty</t>
  </si>
  <si>
    <t>WD ABAP: Street field not displayed as mandatory in Planning</t>
  </si>
  <si>
    <t>Reason code is lost for Hotel and Car</t>
  </si>
  <si>
    <t>Best price reason not taken into account.</t>
  </si>
  <si>
    <t>e-Travel: URL for SAP Single Sign On</t>
  </si>
  <si>
    <t>AMI (eTravel integration): error when car item populated</t>
  </si>
  <si>
    <t>eTravel: External Approval Correction in Workflow</t>
  </si>
  <si>
    <t>Airline OPC fees - include in fare displays and booking</t>
  </si>
  <si>
    <t>BIBE: Changed transf parameter for portal call as of Dec 11</t>
  </si>
  <si>
    <t>error when booking a room with hotel.de</t>
  </si>
  <si>
    <t>GetThere: Error when calculating timestamp to retrieve PNRs</t>
  </si>
  <si>
    <t>Wrong generation of fields of type pad_long_text</t>
  </si>
  <si>
    <t>Structural Auth not checked for PD objects in Process Browse</t>
  </si>
  <si>
    <t>un-necessary call to FM even when central switch is off</t>
  </si>
  <si>
    <t>Error not logged when saving data from the background step</t>
  </si>
  <si>
    <t>Customizing Include missing in structure HRI5010</t>
  </si>
  <si>
    <t>BUTYP and FINYR for two CITEMs for bottom-up budget</t>
  </si>
  <si>
    <t>Employees not editable in Planning UI EHP4</t>
  </si>
  <si>
    <t>Preassignment for Compensation Review Statement</t>
  </si>
  <si>
    <t>Performance enhancement with disabled Power User Mode</t>
  </si>
  <si>
    <t>Errors in changes to process status if no manager</t>
  </si>
  <si>
    <t>PECM_DISPLAY_BUDGETS: Currency conversion of field Own Rest</t>
  </si>
  <si>
    <t>Approval of org. units not possible</t>
  </si>
  <si>
    <t>Changing data for employees in approval does not work</t>
  </si>
  <si>
    <t>Planning UI with PowerUser mode and user is not plan manager</t>
  </si>
  <si>
    <t>Check and correction of budget spent amounts based on 0759</t>
  </si>
  <si>
    <t>Error that no available budget for employee exists is wrong</t>
  </si>
  <si>
    <t>PA-EC-LT</t>
  </si>
  <si>
    <t>Long-Term Incentives</t>
  </si>
  <si>
    <t>RHECM_PROCESS_EVENT does not delete IT0761</t>
  </si>
  <si>
    <t>Inconsistency in case of multiple photos and custom archive</t>
  </si>
  <si>
    <t>ESS- CE functionality is not working after upgrade</t>
  </si>
  <si>
    <t>WD CATS: Release directly does not work in dayly view</t>
  </si>
  <si>
    <t>CORBU: CATS Issues</t>
  </si>
  <si>
    <t>IT8 appears again at the end of action '82' or '83'</t>
  </si>
  <si>
    <t>CE: French Social Security Number is always checked</t>
  </si>
  <si>
    <t>Legal Changes of 2011 Year-End Adjustment for ESS</t>
  </si>
  <si>
    <t>Missing search help for postal code in CE 0006 infotype</t>
  </si>
  <si>
    <t>SZV: cumulative legal changes for HRULPFP5_CE report</t>
  </si>
  <si>
    <t>ESS: W-4 Filing Status values not filtered by validity</t>
  </si>
  <si>
    <t>ESS: Adding a Missing View to Customizing Activity</t>
  </si>
  <si>
    <t>Short dump occurs on launching #Create Plan# from MSS role</t>
  </si>
  <si>
    <t>Performance improvement for CL_HRPA_AUTO_TEXT</t>
  </si>
  <si>
    <t>IT0008: Decimal places of annual salary changed</t>
  </si>
  <si>
    <t>Dump in BSP HAP_CALIBRATION</t>
  </si>
  <si>
    <t>PMP: Visiblility of appraisals to employee</t>
  </si>
  <si>
    <t>PMP: Incorrect sequence of competencies in profile matchup</t>
  </si>
  <si>
    <t>PMP: Titel length of a new individual objective</t>
  </si>
  <si>
    <t>PMP:Incorrect document status text for the employee</t>
  </si>
  <si>
    <t>Documentation changes</t>
  </si>
  <si>
    <t>Team goals: 'Add Goal' link does not work</t>
  </si>
  <si>
    <t>Alternat. financing requirement-personnel budget plan mngmnt</t>
  </si>
  <si>
    <t>CustConn Public Sector: PBC, reassignment lock exit</t>
  </si>
  <si>
    <t>HRPBCC: Incorrect validity date during creation of root elem</t>
  </si>
  <si>
    <t>IT 1515: Reminder date can be entered after completion date</t>
  </si>
  <si>
    <t>Message HRFPM236 during parallelization</t>
  </si>
  <si>
    <t>Improvement for GL account derivation using HCP03</t>
  </si>
  <si>
    <t>Very long runtime during commitment creation</t>
  </si>
  <si>
    <t>Unexplained differences between current commitment &amp; pay</t>
  </si>
  <si>
    <t>0PSM_PBC_01: Dump ITAB_NON_NUMERIC_COMPONENT during extract</t>
  </si>
  <si>
    <t>Performance improvement when reading the talent name</t>
  </si>
  <si>
    <t>Talent review meeting follow-up: Writing assessment</t>
  </si>
  <si>
    <t>TMC search: Unneccessary entries in the application log</t>
  </si>
  <si>
    <t>TMC search: Long runtime for position search in Nakisa</t>
  </si>
  <si>
    <t>Missing BAdI documentation</t>
  </si>
  <si>
    <t>Incorrect authorization check when accessing infotype</t>
  </si>
  <si>
    <t>TMC search: Indexing of HRTMC_CENTRALPERSON runs endlessly</t>
  </si>
  <si>
    <t>Performance issue when searching in the learning portal</t>
  </si>
  <si>
    <t>Performance issue in learning portal</t>
  </si>
  <si>
    <t>Truncated display in the learning portal</t>
  </si>
  <si>
    <t>LSOWD: Future Dated courses are listed in follow-up</t>
  </si>
  <si>
    <t>LSO - Error when opening the course administration</t>
  </si>
  <si>
    <t>Buffering issue in Manage Participation application</t>
  </si>
  <si>
    <t>No participation data for a course programe in LSO_PSV1</t>
  </si>
  <si>
    <t>Changes of note 1133293 in releases above EH4 are missing</t>
  </si>
  <si>
    <t>RHFAKT00_LSO: Menu 'Compare All Docs' is disabled</t>
  </si>
  <si>
    <t>ESS LEA: Index: 0, Size: 0 Exception in Team calendar</t>
  </si>
  <si>
    <t>ESS LEA: Workflow error while changing a rejected leave.</t>
  </si>
  <si>
    <t>RPTARQPOST: Error not shown when the DEL item are not found.</t>
  </si>
  <si>
    <t>ESS LEA: Duplicate entries in TeamCalendar for same leave.</t>
  </si>
  <si>
    <t>ESS LEA: Approver's worklist has doubled value in used field</t>
  </si>
  <si>
    <t>ESS LEA: Workitem is not assigned to next agent on deletion.</t>
  </si>
  <si>
    <t>ESS LEA: Employee rulegroup is not correctly determined.</t>
  </si>
  <si>
    <t>ESS QUOTAS: QuotaOverview is not displayed as per keydate</t>
  </si>
  <si>
    <t>ESS COR:- RPTCORPOST does not create infotype 2011 records.</t>
  </si>
  <si>
    <t>ESS LEA: Index:0, Size:0 Exception on click in TeamCalender</t>
  </si>
  <si>
    <t>ESS Team Calendar: Attendances are wrongly displayed</t>
  </si>
  <si>
    <t>ESS Team Calendar: Dumps when multiple Attendances in a day</t>
  </si>
  <si>
    <t>ESS LEA: Clock times are not displayed during leave approval</t>
  </si>
  <si>
    <t>ESS LEA: TeamView does not show absence/attendence records.</t>
  </si>
  <si>
    <t>ESS LEA: Customizing attributes are not correctly fetched.</t>
  </si>
  <si>
    <t>IS_DIRTY method not implemented to display data loss pop up</t>
  </si>
  <si>
    <t>ESS LEA: TeamView applications shows duplicate entries.</t>
  </si>
  <si>
    <t>ESS LEA: Approved Leave Requests not displayed</t>
  </si>
  <si>
    <t>New/Updated time events shown in calendar on &amp;qu</t>
  </si>
  <si>
    <t>Navigation based on the employee Molga in Leave Approval</t>
  </si>
  <si>
    <t>CICO Alignment issues in Details popup</t>
  </si>
  <si>
    <t>Short dump in the Termination Organiser</t>
  </si>
  <si>
    <t>CE:IT0002 Screen Fields Become Uneditable in case of error</t>
  </si>
  <si>
    <t>SAP_PAYSLIP_DE_P: Incrr numeratr hours for retroactve acctng</t>
  </si>
  <si>
    <t>IT0065 CE Module pool: tax reference 10 characters long</t>
  </si>
  <si>
    <t>ESS IR56B Report Scenario Return "500 Internal Server E</t>
  </si>
  <si>
    <t>ESS: E-seperation text changes</t>
  </si>
  <si>
    <t>Few fields from IT0021 can not be added to form scenarios</t>
  </si>
  <si>
    <t>Education Grant : Field objps is not available on ESS</t>
  </si>
  <si>
    <t>HR-RU: table TAX processing in class CL_HRPAYRU_PLTAXRUN_CE</t>
  </si>
  <si>
    <t>HR-RU-CE: Documentation for Note 1630086</t>
  </si>
  <si>
    <t>HR-RU: Calculation of SI Contribution (NSP&amp;PZ) w. Mat. H</t>
  </si>
  <si>
    <t>HR-RU:CIA - syntax error occurred in program</t>
  </si>
  <si>
    <t>HR-CE: Wrong tax amount if RUTX were changed during month</t>
  </si>
  <si>
    <t>RPSRFVS0_CE Issue due to PSARB and incorrect date.</t>
  </si>
  <si>
    <t>RPLGAXS0_CE: Error in transferring the data to Local file</t>
  </si>
  <si>
    <t>OC: Error 'HR_POSTING_IDX_REV_ADJUSTMENT DELTA_TABLE'</t>
  </si>
  <si>
    <t>XLIDI, CE: Too much data in log</t>
  </si>
  <si>
    <t>Cumulation Wage Types not displayed in HRFORMS</t>
  </si>
  <si>
    <t>Issue w/ Check Replacements on a mult-assignments person.</t>
  </si>
  <si>
    <t>IT0045: ABAP dump from unassigned field symbol</t>
  </si>
  <si>
    <t>Incorrect setting for editing deduction times</t>
  </si>
  <si>
    <t>Trip break, wrong number of hours</t>
  </si>
  <si>
    <t>Missing currency in trip segment</t>
  </si>
  <si>
    <t>Czech Travel expenses - wrong rounding</t>
  </si>
  <si>
    <t>Missing values in fields for Mobile Travel Interface</t>
  </si>
  <si>
    <t>PL: Incorrect meals per diem</t>
  </si>
  <si>
    <t>Correction of translation of 'Tutor'</t>
  </si>
  <si>
    <t>SAPK-60605</t>
  </si>
  <si>
    <t>Germany: Legal change on January 01, 2012 / Payments in kind</t>
  </si>
  <si>
    <t>Öff. Dienst Deutschland: Sachbezugswerte 2012</t>
  </si>
  <si>
    <t>HRULNDFL_CE: new form 2-NDFL (MMV-7-3/611@ from 17.11.2010)</t>
  </si>
  <si>
    <t>SPV Legal change for year 2011/2012.</t>
  </si>
  <si>
    <t>SAPK-60606</t>
  </si>
  <si>
    <t>MSS Add-On 1.0 : Nakisa View does not refresh (EHP6 system)</t>
  </si>
  <si>
    <t>CATS WDA: Absence defaulted onto Timesheet (Incorrect hours)</t>
  </si>
  <si>
    <t>Program termination in compensation planning</t>
  </si>
  <si>
    <t>OADP column configuration is incorrect.</t>
  </si>
  <si>
    <t>creating the property for making the OADP table read only</t>
  </si>
  <si>
    <t>Per Diem rates not imported for all countries with 3 codes</t>
  </si>
  <si>
    <t>WD ABAP: Changes to trip request are not saved</t>
  </si>
  <si>
    <t>Icon changes from old icons to new icons.</t>
  </si>
  <si>
    <t>Button Standing Approval of Business Trips in info type 17</t>
  </si>
  <si>
    <t>No. of nights displayed in deductions error Message is wrong</t>
  </si>
  <si>
    <t>Adobe request form: No country for additional destination</t>
  </si>
  <si>
    <t>TRIP: No text for icon in column Travel Expense Statement</t>
  </si>
  <si>
    <t>POWL: No trips are selected</t>
  </si>
  <si>
    <t>FITV_POWL_APPROVER: No attachment info in request details</t>
  </si>
  <si>
    <t>History not updated on cancelling a paid and posted trip.</t>
  </si>
  <si>
    <t>Web: Cannot add travel service after warning message</t>
  </si>
  <si>
    <t>PR05: When entering expense type SAL, the rate is wrong</t>
  </si>
  <si>
    <t>WD ABAP Expenses: No field control for street in add. dest.</t>
  </si>
  <si>
    <t>NO:Name of passenger is deleted from editor in Trip segments</t>
  </si>
  <si>
    <t>Dump LOAD_COMMON_PART in SM37</t>
  </si>
  <si>
    <t>WD ABAP : Short dump receipts in foreign currency</t>
  </si>
  <si>
    <t>PRRW: Company code "" does not exist - part 2</t>
  </si>
  <si>
    <t>Incorrect end of trip date in table PTRV_TRIP_CHAIN</t>
  </si>
  <si>
    <t>RPRTEF10: Selecting personnel numbers w/o IRE</t>
  </si>
  <si>
    <t>IT: Trip more than 10 hours with stopover</t>
  </si>
  <si>
    <t>Runtime error when merging receipts</t>
  </si>
  <si>
    <t>PRCC: Check for the company Id</t>
  </si>
  <si>
    <t>DME: RPRDTANO: Bank control key not stored to REGUH</t>
  </si>
  <si>
    <t>DE: Per diems for meals and accommodation as of Jan 01, 2012</t>
  </si>
  <si>
    <t>Web: Wrong naming/translation for tax codes</t>
  </si>
  <si>
    <t>Infotype 0017: frames displayed without content</t>
  </si>
  <si>
    <t>FI: Legal change to travel expenses as of 01 January 2012</t>
  </si>
  <si>
    <t>NO: Legal change to travel expenses January 1, 2012 (part 1)</t>
  </si>
  <si>
    <t>USA: Flat rates for travel costs 2012</t>
  </si>
  <si>
    <t>PR02: Infotype '0017' for DD.MM.YYYY does not exist</t>
  </si>
  <si>
    <t>WD ABAP : error messages after entering dates with calendar</t>
  </si>
  <si>
    <t>PR05: incorrect message for deduction times</t>
  </si>
  <si>
    <t>NO: Legal change to travel expenses January 01, 2012  part 2</t>
  </si>
  <si>
    <t>TRIP: Request times overwritten by expenses default times</t>
  </si>
  <si>
    <t>PR05/TRIP/WEB : Number of breakfast not taken into account</t>
  </si>
  <si>
    <t>Error in BAdI TRIP_RECURRENT_DEST</t>
  </si>
  <si>
    <t>Web: Location in address dropdown is added to itself</t>
  </si>
  <si>
    <t>SE: Legal change to travel expenses as of January 1, 2012</t>
  </si>
  <si>
    <t>AT: Enterprise spec. trip type no impact on field control</t>
  </si>
  <si>
    <t>DZ: Fehler bei der Änderung des Beginndatums</t>
  </si>
  <si>
    <t>Konstante BFA11 nur für Trennungsgeld wichtig</t>
  </si>
  <si>
    <t>DZ: Berücksichtigung der parall. Dienstreisen nicht korrekt</t>
  </si>
  <si>
    <t>PS: Falsche Generierung Zieleintrag bei Ende DR 00:00</t>
  </si>
  <si>
    <t>PS: Abbruch bei DA und DR zu Dienstzuteilung/Trennungsgeld</t>
  </si>
  <si>
    <t>FITVFELD: Termination when saving receipt settl. trip schema</t>
  </si>
  <si>
    <t>PR05: Buchungskreis "" ist nicht vorgesehen</t>
  </si>
  <si>
    <t>FF 743 when approving a trip</t>
  </si>
  <si>
    <t>AT: Gemeindekennziffer ungültig bei Adresse f. weitere Ziele</t>
  </si>
  <si>
    <t>AT: Keine Prüfung der Gemeindekennziffer im Reiseantrag</t>
  </si>
  <si>
    <t>PS DE: Lesen der Höchstsätze Unterkunft z.B. ohne Tätigkeit</t>
  </si>
  <si>
    <t>PS:TGMOD:Bei Sichern wird FITVFELD-Wert nicht berücksichtigt</t>
  </si>
  <si>
    <t>TGMOD: Auswahl TRG/DZ wiederholtes Anzeigen desselben TRG/DZ</t>
  </si>
  <si>
    <t>DZ: Simulation und Speicherung von DZ-Perioden nicht aktuell</t>
  </si>
  <si>
    <t>DZ: kein Erstattungsklassenwechsel in red. DZ-Periode</t>
  </si>
  <si>
    <t>Keine Verprobung der Uhrzeit Abzüge auf Reisezeitraum</t>
  </si>
  <si>
    <t>PS-DE: nach Abrechnung sind die erfassten Abzüge gelöscht</t>
  </si>
  <si>
    <t>Abwesenheit Gr. Vgl.rechnung: Übernachtungsgeld nicht kürzen</t>
  </si>
  <si>
    <t>DZ: Berücksicht. der parall. Dienstreise (5 h) nicht korrekt</t>
  </si>
  <si>
    <t>Display of date field in Web Dynpro ABAP</t>
  </si>
  <si>
    <t>WD ABAP/JAVA: Alternative best price on review screen</t>
  </si>
  <si>
    <t>Unauthorized modification of displayed content in FI-TV-PL</t>
  </si>
  <si>
    <t>Location for travel request cannot be set as required field</t>
  </si>
  <si>
    <t>External Travel Plan - Target System &amp; Client Correction</t>
  </si>
  <si>
    <t>GET_ETRAVEL_PNR: Report Improvements</t>
  </si>
  <si>
    <t>BIBE: geänderte Übergabeparameter ab 11.12.2011</t>
  </si>
  <si>
    <t>Flag for HRS priority not taken into account</t>
  </si>
  <si>
    <t>GET_GETTHERE_PNR Improvements</t>
  </si>
  <si>
    <t>GetThere: Travel Profile Synchronization</t>
  </si>
  <si>
    <t>HCM P&amp;F: Start application uses wrong form scenario vers</t>
  </si>
  <si>
    <t>HCM P&amp;F DTT: Not able to add field to form scenario</t>
  </si>
  <si>
    <t>Displaying cost items with annual time period</t>
  </si>
  <si>
    <t>Compensation Planning UI: Name link in Review step</t>
  </si>
  <si>
    <t>PA-EC-JP</t>
  </si>
  <si>
    <t>Job Pricing</t>
  </si>
  <si>
    <t>Display of graphics in Job Pricing does not work</t>
  </si>
  <si>
    <t>Missing State on EIC activity affected employee screen</t>
  </si>
  <si>
    <t>Renaming the icon names to begin with ~</t>
  </si>
  <si>
    <t>Running Summary on Personal Profile and Confirmation Step</t>
  </si>
  <si>
    <t>Grouping of Create buttons on the Overview Page</t>
  </si>
  <si>
    <t>Issue in Health and Miscellaneous Benefit Plan</t>
  </si>
  <si>
    <t>Link does not appear in Ineligible pop-up in Benefits</t>
  </si>
  <si>
    <t>Icon Changes in ESS Roles- SAP_CORBU</t>
  </si>
  <si>
    <t>Personal Profile - Save issue in the replaced edit screen</t>
  </si>
  <si>
    <t>Year End Tax Form ESS Webdynpro dumps: tax year missing</t>
  </si>
  <si>
    <t>Improvement to the TN creation process II</t>
  </si>
  <si>
    <t>ESS-JP: Icon changes from old icons to new icons</t>
  </si>
  <si>
    <t>RSV-1: issues in CE form after Note 1623036</t>
  </si>
  <si>
    <t>CE: payroll area changing</t>
  </si>
  <si>
    <t>SZV: cumulative updates for HRULPFP5_CE report</t>
  </si>
  <si>
    <t>PA-PA-SG: Additions to note 1655151 for ESS scenarios</t>
  </si>
  <si>
    <t>PMP: Incorrect assignment of part appraisals</t>
  </si>
  <si>
    <t>PMP: Incorrect progress display in process overview</t>
  </si>
  <si>
    <t>PMP: Manager opens own ESS document with manager rights</t>
  </si>
  <si>
    <t>Performance Management Flash Island new styles</t>
  </si>
  <si>
    <t>Appraisal document: Add course from LSO</t>
  </si>
  <si>
    <t>PMP: Termination when opening document using ESS</t>
  </si>
  <si>
    <t>HRPBCM financing wizard creates very many splits</t>
  </si>
  <si>
    <t>HRPBCM: No zero financing after implem. of SAP Note 1561640</t>
  </si>
  <si>
    <t>HRFPM_VACANCY_DISP: No multiple selection of objects</t>
  </si>
  <si>
    <t>Problems when using filter STANDARD_2_SINGLE_UPDATE</t>
  </si>
  <si>
    <t>Inconsistencies betw funds commitments/funds precommitments</t>
  </si>
  <si>
    <t>Runtime error in program SAPLHRFPM_FTE_FIN_CHK_PROVIDE</t>
  </si>
  <si>
    <t>Performance improvement in talent groups</t>
  </si>
  <si>
    <t>Average value calculation for competencies</t>
  </si>
  <si>
    <t>TM: No talents in the calibration grid</t>
  </si>
  <si>
    <t>Successors for position are not displayed</t>
  </si>
  <si>
    <t>Search Extraction - Provide all Relations above Package Size</t>
  </si>
  <si>
    <t>Renaming the Old Icons of PAOC_TMC</t>
  </si>
  <si>
    <t>Decision Pop-Up to Search Requests for large result lists</t>
  </si>
  <si>
    <t>Talent assessment: Create documents</t>
  </si>
  <si>
    <t>Speed improvements in the DataSource 0PA_TMC_8</t>
  </si>
  <si>
    <t>Succession Planning (HRTMC_PPOM): Displaying the talent data</t>
  </si>
  <si>
    <t>Approving a talent assignment takes too long</t>
  </si>
  <si>
    <t>PM: LSO_RC_FIND_COURSES does not consider 'No Intranet' flag</t>
  </si>
  <si>
    <t>Instructor portal error: The ASSERT condition was violated</t>
  </si>
  <si>
    <t>Admin portal: Time out occurs in Worklist of Courses.</t>
  </si>
  <si>
    <t>Authorization checks not performed in Manage Participation</t>
  </si>
  <si>
    <t>Error not displayed when changing Extended course text</t>
  </si>
  <si>
    <t>CONVT_NO_NUMBER error in follow up</t>
  </si>
  <si>
    <t>Learning Solution ICON changes</t>
  </si>
  <si>
    <t>checkman</t>
  </si>
  <si>
    <t>LearnerID minLength in LSO XI conent</t>
  </si>
  <si>
    <t>XLSO - Wave3 version 4 enhancements.</t>
  </si>
  <si>
    <t>LPD cust entries not switched</t>
  </si>
  <si>
    <t>SU22 authorizations updated</t>
  </si>
  <si>
    <t>Missing parameter INTRANET_FILTER in LSO_RC_FIND_COURSES</t>
  </si>
  <si>
    <t>xLSO - Enhancements wave 3 Version 5</t>
  </si>
  <si>
    <t>LSO: Cannot book a WBT with multiple languages in LSO_PSV1</t>
  </si>
  <si>
    <t>Posted CICO entries could not be edited in ESS</t>
  </si>
  <si>
    <t>Advance Pay: Empty Version table in Q4 cluster</t>
  </si>
  <si>
    <t>Payroll account: SAP_PAYRACC_DE - "DBKV" is not kn</t>
  </si>
  <si>
    <t>ESS Bank Information search help is case sensitive</t>
  </si>
  <si>
    <t>HR-RU: CE: payroll data reading when CE is not active for RU</t>
  </si>
  <si>
    <t>HR-RU: 4-FSS(CE) doesn't process statistical data</t>
  </si>
  <si>
    <t>RPSRFVS0_CE: Incorrect Date Displayed</t>
  </si>
  <si>
    <t>XPAY: external bank from wrong employee</t>
  </si>
  <si>
    <t>Short dump with exception "CX_SY_CONVERSION_OVERFLOW&amp;qu</t>
  </si>
  <si>
    <t>HRFORMS : Blank line in Metadimensions</t>
  </si>
  <si>
    <t>Missing exchange rate in travel request</t>
  </si>
  <si>
    <t>Sum of two days</t>
  </si>
  <si>
    <t>Incorrect default currency in Trip Segments</t>
  </si>
  <si>
    <t>Trip break, wrong number of hours II</t>
  </si>
  <si>
    <t>CZ: Legal Changes from 1.1.2012</t>
  </si>
  <si>
    <t>Doubled deduction, foreign trip</t>
  </si>
  <si>
    <t>Incorrect Cost Object for Rounding Receipt</t>
  </si>
  <si>
    <t>Missing Texts in Travel Expense Statement</t>
  </si>
  <si>
    <t>XX-TRANSL-NO</t>
  </si>
  <si>
    <t>Translation into Norwegian</t>
  </si>
  <si>
    <t>Correction of translation of 'Expense Reports'</t>
  </si>
  <si>
    <t>Correction of Norwegian translation of 'Arrival at Home'</t>
  </si>
  <si>
    <t>SAPK-60607</t>
  </si>
  <si>
    <t>LSOBW: Issues with 0LEARNER_TEXT extractor</t>
  </si>
  <si>
    <t>Extractor 0HR_LSO_1 not extracting 034 records</t>
  </si>
  <si>
    <t>ESS Change Own Data: Tel No or Extn not saved</t>
  </si>
  <si>
    <t>Incorrect Job Title in the Organization Assignment Iview</t>
  </si>
  <si>
    <t>Corrections to role structure</t>
  </si>
  <si>
    <t>Cannot use PR_WEB_1200: E 56 016</t>
  </si>
  <si>
    <t>Travel request form: District is not printed</t>
  </si>
  <si>
    <t>Authorization flag AUTHF badly filled for HTML form</t>
  </si>
  <si>
    <t>FITV_POWL_TRIPS: error IT0017 not existing</t>
  </si>
  <si>
    <t>RPRVAT00_ALV missing coding from note 1076335</t>
  </si>
  <si>
    <t>Web: Amounts less than 0.5 displayed in red</t>
  </si>
  <si>
    <t>Performance problems with receipts in the Web</t>
  </si>
  <si>
    <t>PRRW: Unjustified error message when reversing</t>
  </si>
  <si>
    <t>Inconsistencies in credit card buffer (cluster TC)</t>
  </si>
  <si>
    <t>WD ABAP Expense report - Border Crossing  - Return Time</t>
  </si>
  <si>
    <t>Web: CCC receipts are written back to Web</t>
  </si>
  <si>
    <t>IT: Paid 'Other' receipts</t>
  </si>
  <si>
    <t>IT: Stopover in a T706H interval</t>
  </si>
  <si>
    <t>Web: Field control for receipts</t>
  </si>
  <si>
    <t>Displaying table RUW in report RPCLSTTE</t>
  </si>
  <si>
    <t>RPRPAY00: Transfer of table RUW from previous trip version</t>
  </si>
  <si>
    <t>Bei Verpflegungseinzelbelegen fehlen Werbungskosten</t>
  </si>
  <si>
    <t>Web: Valdtn for max. rate per diem for receipts in for. crcy</t>
  </si>
  <si>
    <t>PDF: Incorrect cost assignment of total trip in PDF form</t>
  </si>
  <si>
    <t>Web: Vehicle type on general data screen incorrect</t>
  </si>
  <si>
    <t>Cannot delete itemized receipt after ccc buffer import</t>
  </si>
  <si>
    <t>Country Dropdown in Mileage Screen not sorted</t>
  </si>
  <si>
    <t>Incorrect display of reimbursement amount in trip overview</t>
  </si>
  <si>
    <t>PR05: Function for schema change within trip disabled</t>
  </si>
  <si>
    <t>PS-DE BRKG 2012: Verpflegungs-Unterkunftspauschalen</t>
  </si>
  <si>
    <t>Wrong commitment calculation for multiple cost distribution</t>
  </si>
  <si>
    <t>Bund: Mahlzeiten im Unterkunftsbeleg WD ABAP</t>
  </si>
  <si>
    <t>Trennungsgeld: Untertägiges Reisegeld falsch berechnet</t>
  </si>
  <si>
    <t>PS: Abzüge in PR05: Fehlender Button für 'Essensbon'</t>
  </si>
  <si>
    <t>Web: AT-Public-Sektor-Zugehörigkeit nicht ausgewertet</t>
  </si>
  <si>
    <t>PS-DE: Zuschuß zur Unterkunft im PDF Formular</t>
  </si>
  <si>
    <t>Bayern: falsche Statistik bei Konstante BSRHW mit Wert 2</t>
  </si>
  <si>
    <t>AT PS: Ort ist unter Umständen nicht über Popup auswählbar</t>
  </si>
  <si>
    <t>Accomm. rcpt: "Accom.Rcpt.Detail" changeable in di</t>
  </si>
  <si>
    <t>PS DE: Fehler bei der Bestimmung des Unterk.-Kappungsbeleg</t>
  </si>
  <si>
    <t>Dynpro 1311: Laufzeitfehler DYNP_WRONG_SCREEN_TYPE</t>
  </si>
  <si>
    <t>Dump when entering very long text in Travel Plan/Request</t>
  </si>
  <si>
    <t>Warning: Implementation missing SET_PROFILE_LOGIN_USER_NAME</t>
  </si>
  <si>
    <t>TP04: Validation check of account assignment</t>
  </si>
  <si>
    <t>Web Travel Planning : error message in car availability</t>
  </si>
  <si>
    <t>Related activities are not displayed correctly</t>
  </si>
  <si>
    <t>Error in Process Browser search</t>
  </si>
  <si>
    <t>Withdraw process button does not work</t>
  </si>
  <si>
    <t>F4 help for manager in Power User mode does not update</t>
  </si>
  <si>
    <t>Process Support Report: performance and data selection</t>
  </si>
  <si>
    <t>Memory consumption in ECM reports</t>
  </si>
  <si>
    <t>Ignore spent amounts when deleting budget structure</t>
  </si>
  <si>
    <t>Performance improvement when creating budget structures</t>
  </si>
  <si>
    <t>Copied categories are not included in transport request.</t>
  </si>
  <si>
    <t>Reset UI guideline property to "Default Setting"</t>
  </si>
  <si>
    <t>Family details added during enrollment not available</t>
  </si>
  <si>
    <t>Personal Profile: Authorization Object changes</t>
  </si>
  <si>
    <t>WD CATS: Display Attendances in Timesheet</t>
  </si>
  <si>
    <t>[MX] Missing fields for HCMT_BSP_PA_MX_R0021 Screen Struct.</t>
  </si>
  <si>
    <t>PA-PA-MY: Spouse Tax Office Text does not appear</t>
  </si>
  <si>
    <t>Infotype 0331 class is not checking payroll year status</t>
  </si>
  <si>
    <t>HR-RU Travel Forms, CALL_FUNCTION_REMOTE_ERROR</t>
  </si>
  <si>
    <t>RSV-1: infotype 0004(Challenge) blocked records processing</t>
  </si>
  <si>
    <t>PA-PA-SG: Title check in the ESS application</t>
  </si>
  <si>
    <t>Simplified maintenance of budgeting rules</t>
  </si>
  <si>
    <t>RUEHP6: Field name too long in table T77HRFPM_FLAGS</t>
  </si>
  <si>
    <t>Only one commitment currency is available</t>
  </si>
  <si>
    <t>Determining the date for the currency conversion</t>
  </si>
  <si>
    <t>BAdI for customer-specific determination of G/L account</t>
  </si>
  <si>
    <t>Error message HRFPM 130 in the error log</t>
  </si>
  <si>
    <t>HRFPM_ERLK: Termination MOVE_TO_LIT_NOTALLOWED_NODATA</t>
  </si>
  <si>
    <t>PPOME: Calculation of non-allocated full-time equivalent</t>
  </si>
  <si>
    <t>Deleting potential documents has no effect</t>
  </si>
  <si>
    <t>Minor UI corrections to the Talent Profile</t>
  </si>
  <si>
    <t>Check Manager (CheckMan)</t>
  </si>
  <si>
    <t>Talent overview: Competencies not displayed</t>
  </si>
  <si>
    <t>CheckMan correction</t>
  </si>
  <si>
    <t>Talent Management flash island new styles</t>
  </si>
  <si>
    <t>Talent review meeting: Performance when selecting org. units</t>
  </si>
  <si>
    <t>Non-authorized courses are displayed in worlist</t>
  </si>
  <si>
    <t>Performance issue in search from learning portal</t>
  </si>
  <si>
    <t>Error while scheduling an event in LSO admin portal</t>
  </si>
  <si>
    <t>Unplaced attendees are not moved up during firmly booking</t>
  </si>
  <si>
    <t>Assign Course Program as Mandatory from Administrator Portal</t>
  </si>
  <si>
    <t>Display Course Catalog does not have 'Change Period' button</t>
  </si>
  <si>
    <t>Admin portal: incorrect text displayed for instructor search</t>
  </si>
  <si>
    <t>Instructor Portal: Performance Issue during course follow up</t>
  </si>
  <si>
    <t>Qualifications are assigned to failed participants</t>
  </si>
  <si>
    <t>Team Calendar Sorting based on Last Name</t>
  </si>
  <si>
    <t>Changes in UI for Calendar and Team Calendar</t>
  </si>
  <si>
    <t>HRFORMS: Error in payroll PYXXFO_SAP_PAYSLIP_CH</t>
  </si>
  <si>
    <t>Remun. statement w/ HR Forms: Small corrections 1/2012</t>
  </si>
  <si>
    <t>Starter report errors when P45 values of Prev. Tax year used</t>
  </si>
  <si>
    <t>IT0065 CE: Error OT TAX CODE is valid only from 06/04/2011</t>
  </si>
  <si>
    <t>ESS: Advanced Claims approval scenario issue</t>
  </si>
  <si>
    <t>ESS ABAP : Income Tax declaration changes for EhP 6</t>
  </si>
  <si>
    <t>Education Grant : Field FAMSA is not available on ESS</t>
  </si>
  <si>
    <t>Field ORDEX of Infotype 0021 is not available on ESS screen</t>
  </si>
  <si>
    <t>HRULNDFL_CE: new form 2-NDFL (MMV-7-3/909@ from 06.12.2011)</t>
  </si>
  <si>
    <t>HR-RU-CE: Error in Gross Up rule RUT9</t>
  </si>
  <si>
    <t>SNABC Function - Incorrect sick period calculation</t>
  </si>
  <si>
    <t>CE-ESS:Payslip displayed for a different grouping assignment</t>
  </si>
  <si>
    <t>Wrong display deductions in trip break</t>
  </si>
  <si>
    <t>Wrong Calculation of Reference Date for Exchange Rate in CZ</t>
  </si>
  <si>
    <t>Error in Translation of PDF Form GLO_EXPENSE_FORM</t>
  </si>
  <si>
    <t>Deductions on accommodation for Poland</t>
  </si>
  <si>
    <t>Problem with calculation of transport per diem</t>
  </si>
  <si>
    <t>Correction of translation of task text</t>
  </si>
  <si>
    <t>SAPK-60608</t>
  </si>
  <si>
    <t>0HR_LSO_1 : Training records extracted multiple times</t>
  </si>
  <si>
    <t>MSS Add-on 1.0: Changes in display table</t>
  </si>
  <si>
    <t>Changes to Function Module HRMSS_RFC_RD_DATES_GETLIST</t>
  </si>
  <si>
    <t>MSS Add-On 1.0:List/Grid View not showing the correct data</t>
  </si>
  <si>
    <t>Unended loop in the appraisal function module</t>
  </si>
  <si>
    <t>Corbu : horizontal lines in OADP table</t>
  </si>
  <si>
    <t>Style sheet enhancements to Nakisa embedded Org. chart</t>
  </si>
  <si>
    <t>History does not show records before versioning</t>
  </si>
  <si>
    <t>The substitute cannot see the trips for approval.</t>
  </si>
  <si>
    <t>TRIP: Request comment not stored in TE cluster on first save</t>
  </si>
  <si>
    <t>IT banking: wrong PD reimbursement amounts for 24h periods</t>
  </si>
  <si>
    <t>AT: wrong assignment of wage types to per diems</t>
  </si>
  <si>
    <t>Web: Receipts without tax jurisdiction code can be entered</t>
  </si>
  <si>
    <t>WEB ABAP: Copy Expense Report with Vehicle Class/Types</t>
  </si>
  <si>
    <t>Web: Settlement from advance</t>
  </si>
  <si>
    <t>FITV_POWL_APPROVER: Settlements in status "Request reco</t>
  </si>
  <si>
    <t>IT: Missing constant 'MAXRE' results in rejection</t>
  </si>
  <si>
    <t>PRTE: Pymts in kind and receipt no. missing in table ABZUG</t>
  </si>
  <si>
    <t>IT: Stopover in interval T706H but before constant L_DED</t>
  </si>
  <si>
    <t>WEB: EES Column Miles read only but set as ready for input</t>
  </si>
  <si>
    <t>Web: Exchange rate updated on importing cc receipt</t>
  </si>
  <si>
    <t>WEB ESS: cannot change already rejected expense report</t>
  </si>
  <si>
    <t>Web: Wrong receipt amount on reset deductions</t>
  </si>
  <si>
    <t>Web: Tax code in case of negative amounts</t>
  </si>
  <si>
    <t>Time fields for deductions in Austria</t>
  </si>
  <si>
    <t>RPRTAX_FINLAND: BOM not visible in UTF-8 text editors</t>
  </si>
  <si>
    <t>PDF: "Simulation" is printed for trips without amo</t>
  </si>
  <si>
    <t>Web: Itemization: Mand. fields in priv. expenses not checked</t>
  </si>
  <si>
    <t>WEB: Region not taken over from F4 help</t>
  </si>
  <si>
    <t>Web: Dump on save for company code w/o calculation procedure</t>
  </si>
  <si>
    <t>IT: Stopover and meals receipt (Pie Di Lista)</t>
  </si>
  <si>
    <t>Itemize delete: Mand. fields in priv. expenses not checked</t>
  </si>
  <si>
    <t>WEB: wrong country in itemization screen</t>
  </si>
  <si>
    <t>Web: Itemization: to and from dates not adjusting</t>
  </si>
  <si>
    <t>Web: Retroactive accounting date always deleted from IT0003</t>
  </si>
  <si>
    <t>Web: Creating travel expenses from request or plan</t>
  </si>
  <si>
    <t>Dump on navigating from itemization to receipts view</t>
  </si>
  <si>
    <t>Adobe trip form: No tax-free amount for multiple-day trips</t>
  </si>
  <si>
    <t>Web: Check and transfer an individual account assgmt line</t>
  </si>
  <si>
    <t>BAPIs do not transfer time fields for deductions</t>
  </si>
  <si>
    <t>NO: Bruspenger and salary element 2012</t>
  </si>
  <si>
    <t>TGV Deutschland: Summenbetrag Tagegeld im Formular falsch</t>
  </si>
  <si>
    <t>PR05: Addnl receipt info : No deductns for capping documents</t>
  </si>
  <si>
    <t>PR05: Error with deductions in accommodations receipts</t>
  </si>
  <si>
    <t>PS AT: Plausibilitätsprüfung bei Simulation DZ tgl. Kehre</t>
  </si>
  <si>
    <t>PR05: Checks for meal deductions in accommodations receipts</t>
  </si>
  <si>
    <t>LRKG Baden-Wuerttemberg:Verpflegungs-Unterkunftspausch. 2012</t>
  </si>
  <si>
    <t>PS: Fehlende Meldung bei Simulation ausw. Verbleib mit Abw.</t>
  </si>
  <si>
    <t>RPRTEF10: Kein Eintrag in T706_CONST für Konstante FALDA</t>
  </si>
  <si>
    <t>RPR_TRIP_COST_ASSIGMENT_DATA2: Filter separation allowances</t>
  </si>
  <si>
    <t>PR05: Payts in kind for business trips w/o meals per diem</t>
  </si>
  <si>
    <t>PS: TGMOD/TGANZ Überschreibung des Feldes PTP02-ST_TRG_TYP</t>
  </si>
  <si>
    <t>E00344: Keine Batchinput Daten für Screen SAPLSPO1 0300</t>
  </si>
  <si>
    <t>Standard form: Deductions for several accomm. receipts</t>
  </si>
  <si>
    <t>Web Travel : dump when user change flight seat reservation</t>
  </si>
  <si>
    <t>Web travel : seat map correction of note 1677585</t>
  </si>
  <si>
    <t>Dump when duplicate Flight TST returned from Amadeus</t>
  </si>
  <si>
    <t>Web Travel : Car rate code incorrect using corporate ID</t>
  </si>
  <si>
    <t>Web Travel : impossible to reserve car if several cust card</t>
  </si>
  <si>
    <t>Web Travel : dump when clicking on address on Geo Map</t>
  </si>
  <si>
    <t>Hotel amount parsing with SABRE WS not working.</t>
  </si>
  <si>
    <t>Data collection: Input help for additional parameters</t>
  </si>
  <si>
    <t>Incorrect message handling, Planning UI, Power User mode</t>
  </si>
  <si>
    <t>Columns not displaying data in ECM WD ABAP application</t>
  </si>
  <si>
    <t>Unexpected organizational changes by PECM_PROCESS_SUPPORT</t>
  </si>
  <si>
    <t>Wrong E-Mail displayed in Employee Search or in an activity</t>
  </si>
  <si>
    <t>Activity search - no Values in Drop Down for Categories 2-4</t>
  </si>
  <si>
    <t>Completion time is overwritten when EIC activity is closed</t>
  </si>
  <si>
    <t>Resolutions dropdown values do not appear immediately</t>
  </si>
  <si>
    <t>Navigation not possible from screen Display of Webrequest</t>
  </si>
  <si>
    <t>Exception raised within ERC_SE_REQUI_CREATE_RC</t>
  </si>
  <si>
    <t>Employee cost always shown as Pre Tax. No option to change</t>
  </si>
  <si>
    <t>Plan costs do not change on change of plan type on edit.</t>
  </si>
  <si>
    <t>Missing SU22 Authorization Objects for Web Dynpro App</t>
  </si>
  <si>
    <t>SU22 Authorization Objects</t>
  </si>
  <si>
    <t>Minor improvements Belgium specific ESS scenarios - Backend</t>
  </si>
  <si>
    <t>IT0218 - Number of children</t>
  </si>
  <si>
    <t>TNM, note 1648288: LSO adjustements</t>
  </si>
  <si>
    <t>Missing BAdI Implementation on HRTNM_LSO_INTEGRATION_01</t>
  </si>
  <si>
    <t>IT Declaration -Corrections</t>
  </si>
  <si>
    <t>New ITF: Changes in Fieldattributes for IT0006</t>
  </si>
  <si>
    <t>Infotype 1655(RU CE)/1656(UA) cumulative updates 01.2012</t>
  </si>
  <si>
    <t>PA-PA-TH: Enhancement of HCMT structure for address infotype</t>
  </si>
  <si>
    <t>ESS: US Bank Details - Missing values for Bank Control Key</t>
  </si>
  <si>
    <t>Infotype 0008: Short dump ASSIGN_BASE_TOO_SHORT</t>
  </si>
  <si>
    <t>Organizational Goals: Improvements and corrections</t>
  </si>
  <si>
    <t>PMP: 'Assess Team Goals' task in subappraisal</t>
  </si>
  <si>
    <t>Abw. Finanzierungsbedarf: Diverse Fehlerkorrekturen</t>
  </si>
  <si>
    <t>PSM_PBC_XPL Error msg HRFPM 126 during commitment creation</t>
  </si>
  <si>
    <t>Runtime error MESSAGE_TYPE_X when executing certain programs</t>
  </si>
  <si>
    <t>Report RHRFPM_FTE_CHK does not display any results</t>
  </si>
  <si>
    <t>Error message HRFPM_FTE 762 when changing/creating lock note</t>
  </si>
  <si>
    <t>Allocation with start and end date DEC/31/9999</t>
  </si>
  <si>
    <t>Succession Planning (HRTMC_PPOM): Job family assignment</t>
  </si>
  <si>
    <t>TMC search: Package size when indexing HRTMC_AUTHORITY_VIEW</t>
  </si>
  <si>
    <t>Deletion process for grouped assessments is incomplete</t>
  </si>
  <si>
    <t>Poor performance when reading the photo URLs</t>
  </si>
  <si>
    <t>Talent group assignment cannot be extended</t>
  </si>
  <si>
    <t>Enhancement implementations not processed</t>
  </si>
  <si>
    <t>Positive search criterion about mobility is ignored</t>
  </si>
  <si>
    <t>Avoid extraction error if node field "IS_KEY" is u</t>
  </si>
  <si>
    <t>No error when a course date part of curriculum is changed</t>
  </si>
  <si>
    <t>LSOWD: Issue while deleting all mandatory assignment in MMA</t>
  </si>
  <si>
    <t>LSOWD: Incorrect error message on Participant tab</t>
  </si>
  <si>
    <t>LSO Admin portal: Course status displayed incorrectly.</t>
  </si>
  <si>
    <t>LSO Admin portal: Course status is incorrect</t>
  </si>
  <si>
    <t>LSOWD: IDR shows incorrect status for course</t>
  </si>
  <si>
    <t>Incorrect participants are displayed during follow up</t>
  </si>
  <si>
    <t>Attendee replacement does not happen in Manage Participation</t>
  </si>
  <si>
    <t>Dump 'OBJECTS_WA_NOT_COMPATIBLE' in RHBUCH00_LSO</t>
  </si>
  <si>
    <t>Incorrect number of booked participants displayed in portal</t>
  </si>
  <si>
    <t>Double click on curriculum elements leads to wrong screen</t>
  </si>
  <si>
    <t>LSO - Auditing logic adjusted to check for existence of WBTs</t>
  </si>
  <si>
    <t>xLSO - Enhancements Wave 3 Version 6</t>
  </si>
  <si>
    <t>xLSO - Enhancements Wave 3 Version 7</t>
  </si>
  <si>
    <t>Dump while booking employees with cost center distribution</t>
  </si>
  <si>
    <t>An invalid tutor can be saved in a course</t>
  </si>
  <si>
    <t>Invalid qualifications are displyed during follow-up</t>
  </si>
  <si>
    <t>RPTIME01 P2 013: Incorrect determination of maximum value</t>
  </si>
  <si>
    <t>The Clock In/Out records are not displayed correctly</t>
  </si>
  <si>
    <t>HELP contribution incorrect in case of retro &amp;gt; 12 months</t>
  </si>
  <si>
    <t>Form 16 not displayed through ESS portal for valid TAN</t>
  </si>
  <si>
    <t>ESS: Section 80 and 80C Deduction error</t>
  </si>
  <si>
    <t>Rosters - Inclusion of entries in customizing request</t>
  </si>
  <si>
    <t>ESS Loan request for changed approver appearing in UWL</t>
  </si>
  <si>
    <t>Tax Classification Of Cross-Year Benefit And YEB Down-port</t>
  </si>
  <si>
    <t>CE ESS Payslip-Incorrect Gross amount in Overview</t>
  </si>
  <si>
    <t>HRF_READ_EMPLOYEE_ATTRIBS:Authorization exception not caught</t>
  </si>
  <si>
    <t>HRFORMS:Payslip printed with IT0128 data irrespective of ESS</t>
  </si>
  <si>
    <t>CZ Domestic/Foreign trip during one day</t>
  </si>
  <si>
    <t>PL: Missing Deduction Times in ESS</t>
  </si>
  <si>
    <t>Problem with saving calculation of transport per diem</t>
  </si>
  <si>
    <t>For PL transports is not calculated Amount in PR05.</t>
  </si>
  <si>
    <t>Correction of translation of 'Curriculum'</t>
  </si>
  <si>
    <t>SAPK-60609</t>
  </si>
  <si>
    <t>0PA_EIC_1: Needs a selection criteria by create time</t>
  </si>
  <si>
    <t>CATSWD: Dump while importing favorites with clock times</t>
  </si>
  <si>
    <t>CATS WDA: ALV personalization message</t>
  </si>
  <si>
    <t>CATS WDA: Decimal display in Actual column</t>
  </si>
  <si>
    <t>checkman errors-There are unmaintained default statuses</t>
  </si>
  <si>
    <t>Checkman error: There are unmaintained check indicators</t>
  </si>
  <si>
    <t>The Statutory trip type is empty for an additional dest.</t>
  </si>
  <si>
    <t>TRIP: Request: Cost object dropdown gone after selecting</t>
  </si>
  <si>
    <t>KR1025: Error in definition of header of file AMEX KR1025</t>
  </si>
  <si>
    <t>Wrong IMG Activity Assignment - Integration of Time Sheet</t>
  </si>
  <si>
    <t>Web Travel : icon missing in status</t>
  </si>
  <si>
    <t>Syntax error in include MP56TF90</t>
  </si>
  <si>
    <t>Web: Request: Activity Type KZTKT not updated in PTRV_HEAD</t>
  </si>
  <si>
    <t>FI: Meals per diem in case of return from abroad</t>
  </si>
  <si>
    <t>RPRPAY00, RPRTLOCK: Enhancement of lock logic</t>
  </si>
  <si>
    <t>Dump when importing archived trips</t>
  </si>
  <si>
    <t>No commit Work when deleting trip in TP01 and Web</t>
  </si>
  <si>
    <t>RPRTAX_FINLAND: Trips not selected by clearing date</t>
  </si>
  <si>
    <t>WD ABAP : Exchange rate when receipt date changes</t>
  </si>
  <si>
    <t>Archiving parameters not considered when printing using PR05</t>
  </si>
  <si>
    <t>P.S.: France: Alternative meals per diem</t>
  </si>
  <si>
    <t>Statistics: Amounts for receipts outside travel time</t>
  </si>
  <si>
    <t>BAPI_TRIP_CREATE_FROM_DATA: No tax jurisdiction code</t>
  </si>
  <si>
    <t>Problems in enhancement spot TRIP_RECEIPT_ENHANCEMENT</t>
  </si>
  <si>
    <t>RPRDTAA0: Trip paid despite error in HEAD</t>
  </si>
  <si>
    <t>DTA: Labels missing for input fields for date and time</t>
  </si>
  <si>
    <t>Deductions with time and date of end of trip invalid</t>
  </si>
  <si>
    <t>PRRW: F5 702 "Balance in transaction currency"</t>
  </si>
  <si>
    <t>FITV_POWL_ASSISTANT: Check for user's own personnel number</t>
  </si>
  <si>
    <t>Travel Request: Trip Activity Type default value not saved</t>
  </si>
  <si>
    <t>NO:(2) When entering expense type SAL, the rate is wrong</t>
  </si>
  <si>
    <t>travel : posible dump in UPDATE_PTRV_RECDETAIL</t>
  </si>
  <si>
    <t>Verkettung: Änderung von Reisen im Buchungslauf</t>
  </si>
  <si>
    <t>TG: Vergleichsrechnung TR/AV: Abwesenheit Heimfahrt/par. DR</t>
  </si>
  <si>
    <t>PS DE: Formular mit 'Vergleichsrechnung Heimfahrten'</t>
  </si>
  <si>
    <t>TG: Gr. Vergl.rechnung: Anzahl Übernachtungen zu klein</t>
  </si>
  <si>
    <t>DZ: Unterkunftsversteuerung falsch bei man. Versteuerung</t>
  </si>
  <si>
    <t>PS Österreich: Anwesenheiten bei täglicher Kehre</t>
  </si>
  <si>
    <t>Landes-TGV: Sonderbestimmungen nicht korrekt abgebildet</t>
  </si>
  <si>
    <t>BRKG: Hinzurechnungsbeträge Tagegeld nicht verrechnet</t>
  </si>
  <si>
    <t>No transaction-specific field control for cost objects</t>
  </si>
  <si>
    <t>PS: Kopieren von Trennungsgeldern/Dienstzuteilungen</t>
  </si>
  <si>
    <t>PR05: Deleting meal in accommodations: Payt in kind remains</t>
  </si>
  <si>
    <t>DZ: Simulation vom auswärtigen Verbleib nicht immer korrekt</t>
  </si>
  <si>
    <t>Falscher Erstattungsbetrag: Ergänzung Hinweis 1652684</t>
  </si>
  <si>
    <t>Hinz.beträge für Mahlzeiten in Unterkunftbelegen im Formular</t>
  </si>
  <si>
    <t>Formular: Überschriften bei Mahlzeiten in Unterkunftsbelegen</t>
  </si>
  <si>
    <t>NRW: Systemeinträge für Sonderfälle TEVO fehlen / fehlerhaft</t>
  </si>
  <si>
    <t>PR05: Unterkunftsbeleg: Subscreen Details U.Beleg</t>
  </si>
  <si>
    <t>PS DE: Reiseunterbrechung: Fehler beim Lesen der Unterk.pau.</t>
  </si>
  <si>
    <t>Belegzusatzinfos: Details U-Beleg: Felder zu kurz</t>
  </si>
  <si>
    <t>Formular: Hinzurechnungsbeträge für steuerpfl. Erstattungen</t>
  </si>
  <si>
    <t>BRKG: Unterkunftserst. bei längererem  Aufenthalt (Ort leer)</t>
  </si>
  <si>
    <t>PS: Bezeichnertext Einstiegsdynpro Kopieren von DZ/TRG</t>
  </si>
  <si>
    <t>Mahlzeiten in Unterkunftsbelegen: Fehlende F1-Hilfe</t>
  </si>
  <si>
    <t>WD Travel:FF Card not used in Car reservation if more than 1</t>
  </si>
  <si>
    <t>Dt Bahn BahnCard Business for NVS</t>
  </si>
  <si>
    <t>Travel : Sabre synchronisation dump</t>
  </si>
  <si>
    <t>POBJ Correction to Improve Performance of the Query</t>
  </si>
  <si>
    <t>F4 help values disappear after step 'CONTINUE'</t>
  </si>
  <si>
    <t>Current processor column value is incorrect</t>
  </si>
  <si>
    <t>Customer own check for Micro Eligibility not considered</t>
  </si>
  <si>
    <t>Duplicated entries in T71ADM_PROC_ELIG</t>
  </si>
  <si>
    <t>Incorrect Spent amount when org unit currency is different</t>
  </si>
  <si>
    <t>Organizational Structure for approval manager</t>
  </si>
  <si>
    <t>Position or Job field not filled in Planning UI</t>
  </si>
  <si>
    <t>Incorrect budget values during budget recalculation</t>
  </si>
  <si>
    <t>Unauth. modification of displayed content in Budgeting</t>
  </si>
  <si>
    <t>Error importing budget amounts from PCP</t>
  </si>
  <si>
    <t>Unauth. modification of displayed content in Job Pricing</t>
  </si>
  <si>
    <t>Changes to activity attachment description &amp; type not sa</t>
  </si>
  <si>
    <t>Project Management Authorization objects are not handled</t>
  </si>
  <si>
    <t>After Upadting Dependents/Beneficairy, no data available</t>
  </si>
  <si>
    <t>Missing SU22 Authorization Objects for Web Dynpro</t>
  </si>
  <si>
    <t>CICO:No OK and Cancel buttons in the details popup</t>
  </si>
  <si>
    <t>Unauthorized modification of stored content in PA-GE</t>
  </si>
  <si>
    <t>Activa: Allowance Codes in SI (0100) Infotype (add-on)</t>
  </si>
  <si>
    <t>Missing fields in HCMT_BSP_PA_FR_R0006</t>
  </si>
  <si>
    <t>Modify RC of TN after attendance maintenance (LSO)</t>
  </si>
  <si>
    <t>IT1681: table IT part not correctly refreshed in PP01 (LSO)</t>
  </si>
  <si>
    <t>IT1683: BL class change</t>
  </si>
  <si>
    <t>Changes to Infotype 0196 decoupling classes for EPF rates</t>
  </si>
  <si>
    <t>CE: message in the log about rejected person</t>
  </si>
  <si>
    <t>Taiwan ESS: Correct Gender Display Error for Family Members</t>
  </si>
  <si>
    <t>IT0021: Incorrect state validation in decoupled infotype</t>
  </si>
  <si>
    <t>PMP: Incorrect employee master document list</t>
  </si>
  <si>
    <t>Unauthorized modification of stored content in PA-PD-PM</t>
  </si>
  <si>
    <t>PMP: Adding description and KPI value to team goal</t>
  </si>
  <si>
    <t>Kaskadierende Ziele: Fehlende Planstellenbezeichnung</t>
  </si>
  <si>
    <t>PM organizatorische Ziele in Beurteilungsdokument hinzufügen</t>
  </si>
  <si>
    <t>Search Criteria will be lost after decision popup</t>
  </si>
  <si>
    <t>Succession Planning (Nakisa): Performance improvement</t>
  </si>
  <si>
    <t>Extraction check for type incompatibility incl. log info</t>
  </si>
  <si>
    <t>LSO: Able to book for a no intranet curriculum via course</t>
  </si>
  <si>
    <t>Proficiency is not shown in the course details in BSP.</t>
  </si>
  <si>
    <t>FM LSO_PARTICIPATION_GET_TRAINI_C returns wrong data</t>
  </si>
  <si>
    <t>LSO_PV15: Error while doing follow-up</t>
  </si>
  <si>
    <t>0TRAINING_ATTR: Incorrect course group extracted for course</t>
  </si>
  <si>
    <t>Cost center not displayed in admin portal</t>
  </si>
  <si>
    <t>Collaboration Room not getting deleted</t>
  </si>
  <si>
    <t>SU22 profile update for LSO WD applications</t>
  </si>
  <si>
    <t>LSO Admin Portal: "Change Period" button dissapear</t>
  </si>
  <si>
    <t>Performance issue in LSOCRPCNTXTPRTCL table access</t>
  </si>
  <si>
    <t>Search for a web based training does not work</t>
  </si>
  <si>
    <t>Participant List: The participation document no. is missing</t>
  </si>
  <si>
    <t>Unable to delete descriptions of a course in admin portal</t>
  </si>
  <si>
    <t>Course Worklist : Takes very long to load</t>
  </si>
  <si>
    <t>Incorrect data is deleted on cancelling a WBT</t>
  </si>
  <si>
    <t>Performance issue in Manage Participation application</t>
  </si>
  <si>
    <t>Issue with Input(f4) help in LSO reports</t>
  </si>
  <si>
    <t>Booking priority value for WBT is defaulted</t>
  </si>
  <si>
    <t>Unable to book for a static web based training</t>
  </si>
  <si>
    <t>Error in transaction LSO_PVK0 when current month is selected</t>
  </si>
  <si>
    <t>RPTIME01 P2013: Short dump in 'CL_PT_QUOTA_UTILITIES'</t>
  </si>
  <si>
    <t>Cost Center split shown incorrectly in Time Statement</t>
  </si>
  <si>
    <t>TMW team view: Entering data using "Create"</t>
  </si>
  <si>
    <t>PTMW: Long runtimes when calling TMW</t>
  </si>
  <si>
    <t>PTMW: Persönliche Wertehilfe für TDTYPE und LGART</t>
  </si>
  <si>
    <t>Kalendarische Sichten TMW: Neues BADI PT_GUI_TMW_HOLIDAYCAL</t>
  </si>
  <si>
    <t>WTCOR Approval: Requests missing in Worklist in some cases</t>
  </si>
  <si>
    <t>Tax incorrect in case of cross year Leave Loading decrease</t>
  </si>
  <si>
    <t>Leave Loading payments in leave advance payment report</t>
  </si>
  <si>
    <t>Tax incorrect in case of negative net pay adjustment</t>
  </si>
  <si>
    <t>Averages wagetypes not generated for Retro terminated EE's</t>
  </si>
  <si>
    <t>/BGT incorrect when bonus reduced (retro cross fin. yr)</t>
  </si>
  <si>
    <t>Average incorrect in case of multiple assignments in 2012</t>
  </si>
  <si>
    <t>Tax incorrect when payments reduced across financial year</t>
  </si>
  <si>
    <t>HK-IR56B display in ESS</t>
  </si>
  <si>
    <t>Advanced Claims - Badi for attachments</t>
  </si>
  <si>
    <t>RPCKU1S0_CE - Highest other benefit item for 47</t>
  </si>
  <si>
    <t>RPSRFVS0_CE reports incorrect value in Start date field</t>
  </si>
  <si>
    <t>Transfer legacy data with period split</t>
  </si>
  <si>
    <t>HRFORMS - Enhancement of HRFORMS_HRF02 with method GET_FDATA</t>
  </si>
  <si>
    <t>Missing translation in PR05 for Transport functionality</t>
  </si>
  <si>
    <t>Diem is not calculated</t>
  </si>
  <si>
    <t>Correction of capitalization of 'The Selected Talent Will..'</t>
  </si>
  <si>
    <t>SAPK-60610</t>
  </si>
  <si>
    <t>Warning message on new hire of employee in non WFM store</t>
  </si>
  <si>
    <t>MSS: Team calendar not working in substitution mode</t>
  </si>
  <si>
    <t>Employee Names are displayed as URL in Team Hierarchy View</t>
  </si>
  <si>
    <t>Timesheet approval: Short dump OBJECTS_OBJREF_NOT_ASSIGNED</t>
  </si>
  <si>
    <t>GE generates error message for infotype 17 in portal</t>
  </si>
  <si>
    <t>Warning message not issued for max amount in receipts.</t>
  </si>
  <si>
    <t>WEB ABAP : Incorrect work protect mode in My Profile</t>
  </si>
  <si>
    <t>NO: TRIP When entering expense type SAL the rate is wrong</t>
  </si>
  <si>
    <t>The trip History screen does not close on pressing enter.</t>
  </si>
  <si>
    <t>RPRTEC00: Alternative wage types and service providers</t>
  </si>
  <si>
    <t>TRIP: Required entry of editor and default text for editor</t>
  </si>
  <si>
    <t>TRIP: Advance in request not saved in table PTRV_VERSION</t>
  </si>
  <si>
    <t>Message 'Input must be in the format' for 3 decimals Curr.</t>
  </si>
  <si>
    <t>NO: Warning 56 106 even though you entered passengers</t>
  </si>
  <si>
    <t>The start and end location is compulsory for DK and UK.</t>
  </si>
  <si>
    <t>PREC: Period information for PTRV_PERIO</t>
  </si>
  <si>
    <t>PR05: Error not displayed when entering wrong cost center</t>
  </si>
  <si>
    <t>IT: Multiday trip with stopovers</t>
  </si>
  <si>
    <t>RPRDTAA0: Long runtime or termination if PERIO missing</t>
  </si>
  <si>
    <t>Profit center not printed</t>
  </si>
  <si>
    <t>New user exit in the functn module PAYROLLTRAVELEXPNSESPOST</t>
  </si>
  <si>
    <t>FITVFELD: copy Trip Schema, delete it, recopy is impossible</t>
  </si>
  <si>
    <t>Rprtef10: Multiple printout of trips</t>
  </si>
  <si>
    <t>Warning message 56 168 displayed for receipt with mileage.</t>
  </si>
  <si>
    <t>Overlap check: T702N_A-R11 = 3 shows no effect</t>
  </si>
  <si>
    <t>PR05: Dump IMPORT_WRONG_END_POS in case of KMVER</t>
  </si>
  <si>
    <t>RPRDTAA0: Status nicht zurückgesetzt</t>
  </si>
  <si>
    <t>RPRDTAA0: Error message is issued twice</t>
  </si>
  <si>
    <t>Income-related expenses are not printed</t>
  </si>
  <si>
    <t>Web: Duplicate error message due to empty trip start date</t>
  </si>
  <si>
    <t>PR05: Error when deleting private expenses in Receipt Wizard</t>
  </si>
  <si>
    <t>No overlap popup for new multi-day trips</t>
  </si>
  <si>
    <t>Visible length of field in Screen 3160 too long</t>
  </si>
  <si>
    <t>PR02: Table USER is not emptied after interval change</t>
  </si>
  <si>
    <t>RPRDTAA0: Keine Fehlermeldung bei fehlendem PERIO-Eintrag</t>
  </si>
  <si>
    <t>Batch input: Error when updating matchcode T</t>
  </si>
  <si>
    <t>Dump when saving trip using participants in receipt</t>
  </si>
  <si>
    <t>PR05 Default value set for Travel Expense Type not displayed</t>
  </si>
  <si>
    <t>PR05: Spool archiving for PDF form not working</t>
  </si>
  <si>
    <t>NO Mileages: check on passenger name not working</t>
  </si>
  <si>
    <t>DZ: KH-Aufenthalt tägl.Kehre: Verdoppelung der Tage (Teil 2)</t>
  </si>
  <si>
    <t>PS AT: Kein Eintrag in Tabelle UEPBA beim Simulieren</t>
  </si>
  <si>
    <t>FM Posting date</t>
  </si>
  <si>
    <t>AT PS: Ort wird bei Dienstantrittsreise gelöscht</t>
  </si>
  <si>
    <t>TG: Laufzeitfehler CNTL_ERROR bei TG mit Tägl. Rückkehr</t>
  </si>
  <si>
    <t>DZ:Verlängern DZ mit Beginn am Monatsende falsche Periodaten</t>
  </si>
  <si>
    <t>Formular: Vergl.rechnung Heimfahrten: Gesamtsumme Fahrtk.</t>
  </si>
  <si>
    <t>AT: Simplifying city search help</t>
  </si>
  <si>
    <t>TG: Übernachtungsgeld der fiktiven Dienstantrittsreise</t>
  </si>
  <si>
    <t>TGPER: Erstattungsbetrag wird falsch angezeigt</t>
  </si>
  <si>
    <t>WEB: Falsche Fehlermeldung wegen Uhrzeiten in Abzügen</t>
  </si>
  <si>
    <t>RGV: Anrechnung Dienstantritts- auf Dienstrückreise</t>
  </si>
  <si>
    <t>PS: IMG Rahmendaten einer DZ: Tabelle PTRV_T706Z_FLDS</t>
  </si>
  <si>
    <t>DZ: 180-Tage-Checkbox: Fehlerhafte Erstattung bei der NG</t>
  </si>
  <si>
    <t>PS DE: Abzüge Buttons: Alle Nacht zum / Alle Essensbon</t>
  </si>
  <si>
    <t>AT: Ortssuche groß-/kleinschreibungunabhangig</t>
  </si>
  <si>
    <t>DZ: KH-Aufenthalt tägl.Kehre: Verdoppelung der Tage (Teil 3)</t>
  </si>
  <si>
    <t>Dienstzuteilung: Defaultwert für 180 Tage Checkbox bleibt</t>
  </si>
  <si>
    <t>PS AT: Unterschiedliche Versteuerung durch Checkbox 180 Tage</t>
  </si>
  <si>
    <t>RGV: DZ verlängern erzeugt falsche Periode für Monatsletzten</t>
  </si>
  <si>
    <t>PS AT: Reisen anlegen mittels BAPI_TRIP_CREATE_FROM_DATA</t>
  </si>
  <si>
    <t>Ergänzung zu Hinweis 1616079</t>
  </si>
  <si>
    <t>PS DE: Trennungsreisegeld: Heimfahrt und Abzug F/M/A</t>
  </si>
  <si>
    <t>HHM: zu großer Betrag bei autom. Reduktion auf Tarif 2</t>
  </si>
  <si>
    <t>PS-DE: Reisebelege mit Editor-Musseingabe werden verdoppelt</t>
  </si>
  <si>
    <t>Web Travel : Hotel price incorrect with Japanese Yens</t>
  </si>
  <si>
    <t>Profile Synchronization - E-Travel</t>
  </si>
  <si>
    <t>E-Travel : no entry in table TA22ST during synchro</t>
  </si>
  <si>
    <t>GETTHERE: dump during synchronisation if item has no price</t>
  </si>
  <si>
    <t>Inconsistent steps displayed in FPM start application</t>
  </si>
  <si>
    <t>process history browser has empty processor name</t>
  </si>
  <si>
    <t>Data container missing for Process Browser authorizations</t>
  </si>
  <si>
    <t>Runtime dump while executing a process with end date</t>
  </si>
  <si>
    <t>Lead object ID not filled correctly sometimes</t>
  </si>
  <si>
    <t>HRASR00_PROCESS_EXECUTE change to enhancement implementation</t>
  </si>
  <si>
    <t>participation overview showing dependents of locked record</t>
  </si>
  <si>
    <t>UK Benefits: Issue with dependents for Miscillaneous Plans</t>
  </si>
  <si>
    <t>Cumulate Cost Items: Performance Improvement</t>
  </si>
  <si>
    <t>Detail Planning (BSP): Exception "TOKEN_NOT_FOUND"</t>
  </si>
  <si>
    <t>Planning Overview - Budget Curreny Conversion</t>
  </si>
  <si>
    <t>Employees not editable for higher-level managers</t>
  </si>
  <si>
    <t>Organizational units with wrong status in Planning Overview</t>
  </si>
  <si>
    <t>PECM_CREATE_COMP_PRO shows budget errors</t>
  </si>
  <si>
    <t>HR_ECM_CHECK_MICRO_ELIGIBILITY returns wrong result</t>
  </si>
  <si>
    <t>Incorrect budget deduction monthly in Compensation Planning</t>
  </si>
  <si>
    <t>Unauthorized modification displayed content ECM_BSP_LIBRAY</t>
  </si>
  <si>
    <t>Customizing Include missing in structure HRI1271</t>
  </si>
  <si>
    <t>EIC: SLA alert message for approaching due date is wrong.</t>
  </si>
  <si>
    <t>EIC: Wrong display mode for activity.</t>
  </si>
  <si>
    <t>HREIC: Error message when accepting a call while in activity</t>
  </si>
  <si>
    <t>EIC:inactive display button in contact view in EA-HRGXX 605</t>
  </si>
  <si>
    <t>PA-ESS-DE</t>
  </si>
  <si>
    <t>ESS scenario dumps when viekn is not same as molga</t>
  </si>
  <si>
    <t>COD application dumps if time constraint of IT 32,105 change</t>
  </si>
  <si>
    <t>ESS:WIW Wrong sort order - items with extended characters</t>
  </si>
  <si>
    <t>Wrong Credit Amount field displayed in confirmation screen</t>
  </si>
  <si>
    <t>Configuration Editor for Benefits enrollment application</t>
  </si>
  <si>
    <t>Investment details missing in plan details pop-up</t>
  </si>
  <si>
    <t>EOI grace period details not shown in plan details pop-up</t>
  </si>
  <si>
    <t>When Personal data is hidden,2 review &amp; save steps are s</t>
  </si>
  <si>
    <t>Post-Tax Costs shown as Pre-Tax Costs in Miscellaneous plan</t>
  </si>
  <si>
    <t>Maßnahme 81: Dump wegen zu vieler interner Modi</t>
  </si>
  <si>
    <t>Adjustment of authorization default values for transactions</t>
  </si>
  <si>
    <t>Actions Data Source: does not read Central Person</t>
  </si>
  <si>
    <t>ESS: Specific Belgian Postal Code not saved in backend</t>
  </si>
  <si>
    <t>TNM: adapt system behavior in case of D to D object change</t>
  </si>
  <si>
    <t>TNM: training history report (LSO)</t>
  </si>
  <si>
    <t>Form 16 annexure is not displayed in ESS application</t>
  </si>
  <si>
    <t>ESS: Form 16 is not generated for TAN based reporting</t>
  </si>
  <si>
    <t>[MX] Mexican Decoupling Classes corrections</t>
  </si>
  <si>
    <t>Error in Infotype 0196 decoupling classes for personal rates</t>
  </si>
  <si>
    <t>PA-PA-MY: Enable IT0021 subtype 7 to have multiple entries</t>
  </si>
  <si>
    <t>Error while maintaining spouse record in Infotype 0021</t>
  </si>
  <si>
    <t>HCM P&amp;F and Infotype 0060: Field SOFIN not updated</t>
  </si>
  <si>
    <t>ESS - "Trygdekontor/NAV-kontor" Search Help withou</t>
  </si>
  <si>
    <t>ESS: uppercased texts in the address scenario</t>
  </si>
  <si>
    <t>US Effort Reporting- BADI to Configure Custom Workflows</t>
  </si>
  <si>
    <t>Std report do not work if no entries set in t5ueffr_emppartc</t>
  </si>
  <si>
    <t>IT0019: Text flag ITXEX set even without existing text</t>
  </si>
  <si>
    <t>IT0057: Wage Types Search help displays too many entries</t>
  </si>
  <si>
    <t>IT0015: Feldliste mit falschen Feldnamen gefüllt</t>
  </si>
  <si>
    <t>IT0009/IBAN: Short Dump CX_HRPA_VIOLATED_POSTCONDITION</t>
  </si>
  <si>
    <t>IT0008: Annual salary not saved in database</t>
  </si>
  <si>
    <t>PMP: Beschreibungstext eines Teamzieles falsch angezeigt</t>
  </si>
  <si>
    <t>PM: Teamziel wird in Beurteilungsdokument nicht hinzufügt</t>
  </si>
  <si>
    <t>PMP: Organisatorische Ziele werden nicht angezeigt</t>
  </si>
  <si>
    <t>Organisatorische Ziele: Navigationsleistedarstellung</t>
  </si>
  <si>
    <t>PMP: Ziele fehlen in gesperrten Dokumenten</t>
  </si>
  <si>
    <t>PMP: 'Add Goal' in review status</t>
  </si>
  <si>
    <t>Organizational goals: Runtime error 'ASSERTION_FAILED'</t>
  </si>
  <si>
    <t>PMP: Managersuche schlägt einmal fehl</t>
  </si>
  <si>
    <t>Massenfinanzierung Stellenplanmanagement</t>
  </si>
  <si>
    <t>RHRFPM_FIN_CHECK does not display all persons</t>
  </si>
  <si>
    <t>Runtime error GETWA_NOT_ASSIGNED during commitment creation</t>
  </si>
  <si>
    <t>Fehler bei der Sachkontenableitung bei Obligobelegen</t>
  </si>
  <si>
    <t>Follow-on note to 1335155 (IV)</t>
  </si>
  <si>
    <t>Fehlerdatum wird nicht korrekt gesetzt</t>
  </si>
  <si>
    <t>Finanzierungsregeln: Meldung 000(HRFPM) bei Ergebnisanzeige</t>
  </si>
  <si>
    <t>Deleting performance and potential appraisals</t>
  </si>
  <si>
    <t>Qualifications inserted several times in competency form</t>
  </si>
  <si>
    <t>Talent profile: Overall appraisal in talent assessment</t>
  </si>
  <si>
    <t>Calibration grid: 'Open Assessments' area is too narrow</t>
  </si>
  <si>
    <t>Talent review meeting: Changed deadline not saved</t>
  </si>
  <si>
    <t>Message text does not exist</t>
  </si>
  <si>
    <t>Previous notes for talent groups are lost</t>
  </si>
  <si>
    <t>LSOWD: Performance issue with course worklist</t>
  </si>
  <si>
    <t>Course type description does not consider T778L settings.</t>
  </si>
  <si>
    <t>All the bookings are not retrieved in case CE is active</t>
  </si>
  <si>
    <t>Status of courses inside course program block is incorrect</t>
  </si>
  <si>
    <t>Save does not work for web based training in admin portal</t>
  </si>
  <si>
    <t>Web based training is displayed as a classroom training</t>
  </si>
  <si>
    <t>Search for a course type does not return any value</t>
  </si>
  <si>
    <t>Course Worklist : delivery method selection</t>
  </si>
  <si>
    <t>Incorrect name of the cost center displayed in admin portal</t>
  </si>
  <si>
    <t>Incorrect cost center is displayed in report RHFAKT00_LSO</t>
  </si>
  <si>
    <t>Activity allocation is possible for planned courses</t>
  </si>
  <si>
    <t>Incorrect message displayed during follow-up</t>
  </si>
  <si>
    <t>RPTIME01 QUOTA: Short dump in 'CL_PT_QUOTA'</t>
  </si>
  <si>
    <t>ESS LEA: Report RPTCORTMAIL dumps</t>
  </si>
  <si>
    <t>ESS COR: Report RPTCORAPP - Description is missing</t>
  </si>
  <si>
    <t>ESS: RPTCORTMAIL sends mail to employees w/o error message</t>
  </si>
  <si>
    <t>ESS COR: Exception CX_OS_DB_INSERT when executing RPTCORPOST</t>
  </si>
  <si>
    <t>ESS LEA: Issue when partial day leave starts from 00:00 AM</t>
  </si>
  <si>
    <t>ESS LEA: Error occurs in review step of Leave request</t>
  </si>
  <si>
    <t>ESS LEA: Selection criteria not working in RPTARQDBDEL</t>
  </si>
  <si>
    <t>Wrong time format displayed in tool-tip in Employee Calendar</t>
  </si>
  <si>
    <t>RPTARQDBVIEW: Layout is not considered correctly</t>
  </si>
  <si>
    <t>ESS Leave Approval: Agent of the work item is not determined</t>
  </si>
  <si>
    <t>ESS LEA:Manager not able to see the employee's Leave details</t>
  </si>
  <si>
    <t>ESS LEA: Duplicate Notes are displayed in workflow log</t>
  </si>
  <si>
    <t>TeamCalendar shows doubled up entries for Attendances</t>
  </si>
  <si>
    <t>ESS LEA: Issue when partial day leave without End Time</t>
  </si>
  <si>
    <t>ESS LEA: Not able to perform edit operation on Leave Request</t>
  </si>
  <si>
    <t>ESS Quota Overview: Incorrect display for key date in future</t>
  </si>
  <si>
    <t>Issue in Posting Attendance data using report RPTARQPOST</t>
  </si>
  <si>
    <t>ESS Quota Overview: Quota Type dropdown not filled correctly</t>
  </si>
  <si>
    <t>WDA LEA: Leave is not created when begin-time &amp;gt; End-time</t>
  </si>
  <si>
    <t>Display of date fields in Clock in/out application</t>
  </si>
  <si>
    <t>ESS LEA: Deletion of Leave request is wrongly permitted</t>
  </si>
  <si>
    <t>Unable to post partial leave cancel request</t>
  </si>
  <si>
    <t>WDA COR: Duplicate entries in Additional field drop-down</t>
  </si>
  <si>
    <t>ESS COR: Duplicate records in PTREQ_NOTICE &amp; dump on Pos</t>
  </si>
  <si>
    <t>Short dump in Clock In / Out  application</t>
  </si>
  <si>
    <t>ESS LEA RPTARQPOST: Record Status not changed despite update</t>
  </si>
  <si>
    <t>WDA LEA: Error occurs while approving the Leave with Note</t>
  </si>
  <si>
    <t>RPTCOREMAIL: Wrong Email triggered to the Approvers</t>
  </si>
  <si>
    <t>ESS LEA: Report zum Anlegen von PTREQ_ACTOR Datensätzen</t>
  </si>
  <si>
    <t>ESS LEA RPTARQEMAIL fügt auch bei kurzer Notiz '...' hinzu</t>
  </si>
  <si>
    <t>Translation of text to Hindi</t>
  </si>
  <si>
    <t>Australia Reconciliation Report not showing any result.</t>
  </si>
  <si>
    <t>Missing corrections in Note 1695848</t>
  </si>
  <si>
    <t>Tax on back pay incorrect for a terminated employee</t>
  </si>
  <si>
    <t>Incorrect Gross if there is negetive LSE in Payment Summary</t>
  </si>
  <si>
    <t>Method B: Tax incorrect in case of retro on multiple periods</t>
  </si>
  <si>
    <t>CE:PS Spool Columns are displayed in incorrect order</t>
  </si>
  <si>
    <t>Payment Summary Override flag incorrect in PS Listing report</t>
  </si>
  <si>
    <t>Incorrect Lump Sum E for Terminated Assignment in CE</t>
  </si>
  <si>
    <t>Tax is refunded when Leave Loading is reduced across Fin. Yr</t>
  </si>
  <si>
    <t>Payment Summary: Incorrect PERNR in Lump Sum E sub report.</t>
  </si>
  <si>
    <t>Payment Summary: Incorrect Lump Sum E and Gross.</t>
  </si>
  <si>
    <t>Remun. statement w/ HR Forms: Small corrections 02/2012</t>
  </si>
  <si>
    <t>Error: Tax code 810L is invalid</t>
  </si>
  <si>
    <t>Salary Increment Report Showing Inconsistent Results</t>
  </si>
  <si>
    <t>Short dump in report HRUTQTA0</t>
  </si>
  <si>
    <t>HR-RU: calculation of payments on child rearing in CE</t>
  </si>
  <si>
    <t>HR-RU: Tax privileges for children in CE</t>
  </si>
  <si>
    <t>HR-RU:operation RUGRS assigns empty value of grouping reason</t>
  </si>
  <si>
    <t>RPCEDTS0_CE Remuneration statement incorrect Absence WT's</t>
  </si>
  <si>
    <t>RPLGAXS0_CE: Cost Center not downloaded into Excel sheet</t>
  </si>
  <si>
    <t>NO_AUTH_CHECK parameter not passed when updating IT0045</t>
  </si>
  <si>
    <t>Pocket money not visible in simulation</t>
  </si>
  <si>
    <t>CZ: Missing updated Switch-BC-sets valid from 1.1.2012</t>
  </si>
  <si>
    <t>MOREI 46 short dump SAPLGLO_FITV_TRIP with "Accomodatio</t>
  </si>
  <si>
    <t>Wrong calculation of business trips</t>
  </si>
  <si>
    <t>Correction of translation of 'Expense Report'</t>
  </si>
  <si>
    <t>SAPK-60611</t>
  </si>
  <si>
    <t>RUWFM3.10 Pay rate not updated in WFM for new hire</t>
  </si>
  <si>
    <t>CATS: Fixed table layout setting for tables</t>
  </si>
  <si>
    <t>PR05: Error 56 630 reading feature TRVPA on copying a trip</t>
  </si>
  <si>
    <t>PRRW: Error in lock logic when discarding run</t>
  </si>
  <si>
    <t>PDF: Print parameter in background for RPRTEF00_PDF</t>
  </si>
  <si>
    <t>Web: Exchange rate when consolidating planning receipts</t>
  </si>
  <si>
    <t>Web: Dump on saving report: ASSERT condition was violated</t>
  </si>
  <si>
    <t>Tax jurisdiction code Canada for second receipt defaults</t>
  </si>
  <si>
    <t>Web Travel : Hotel receipts meals field filled with 0</t>
  </si>
  <si>
    <t>Settlement of credit card receipts</t>
  </si>
  <si>
    <t>Web: Maintenance requirement for indirect exchange rates</t>
  </si>
  <si>
    <t>PTRVP: Evaluation of authorization</t>
  </si>
  <si>
    <t>EES: Dump on itemizing</t>
  </si>
  <si>
    <t>FB03: blank document is shown when opening the attachment</t>
  </si>
  <si>
    <t>PR05: Participant disapear after approval</t>
  </si>
  <si>
    <t>Deletion of tables fitv_hinz_werb_s and fitv_hinz_werb_b</t>
  </si>
  <si>
    <t>Default of tax code for trip break is incorrect</t>
  </si>
  <si>
    <t>Wrong receipt details for VAT details shown</t>
  </si>
  <si>
    <t>P.S.: Auslandsreisen mit Reiseunterbrechungen</t>
  </si>
  <si>
    <t>PS-AT: Ausblenden des Belegtabs</t>
  </si>
  <si>
    <t>TG: Falsche Lohnart bei steuerpf. Übernachtungspauschale</t>
  </si>
  <si>
    <t>Österreich-Ortssuche: Cursor nicht sofort in Ortsfeld</t>
  </si>
  <si>
    <t>Dienstzuteilung: Defaultwert für 180 Tage Checkbox (Teil 2)</t>
  </si>
  <si>
    <t>PS DE: Berücksichtigung paralleler DR für Ende TR-Reisegeld</t>
  </si>
  <si>
    <t>Dienstzuteilung: Defaultwert für 180 Tage Checkbox (TGMOD)</t>
  </si>
  <si>
    <t>PS-AT: Inländisches Zwischenziel bei Auslandsreise</t>
  </si>
  <si>
    <t>GUI usability check program SAPMP56PS_TRG</t>
  </si>
  <si>
    <t>Landes-TGV: Sonderbestimmungen nicht korrekt (Teil 2)</t>
  </si>
  <si>
    <t>TG Tägl. Rückkehr: erster Tag verschwindet nach gr. Verglr.</t>
  </si>
  <si>
    <t>BRKG: Generierung von Sachbezugsbelegen bei Auslandsreisen</t>
  </si>
  <si>
    <t>DE: TG m. Kappungsbeleg falsche Erstattung TGPER angezeigt</t>
  </si>
  <si>
    <t>AT: German texts when logged on in English</t>
  </si>
  <si>
    <t>PS-DE: Infomeldungen FITVPS 728/729 erscheint zweimal</t>
  </si>
  <si>
    <t>PR05 Fehler in Belegerfassung mit Von-/Bisdatum Kanneingabe</t>
  </si>
  <si>
    <t>PS-DE: TRG Übernachtung mit falscher Anzahl Nächte</t>
  </si>
  <si>
    <t>PS-AT: Anzahl Nächte und Abzüge in Dienstzuteilung</t>
  </si>
  <si>
    <t>TG: keine Kappung der Unterkunftsbelege im Trennungsgeld</t>
  </si>
  <si>
    <t>LRKG Sachsen: Tage-Übernachtungsgelder ab dem 01.01.2012</t>
  </si>
  <si>
    <t>RPRPAY00: Dump CX_BADI_INITIAL_REFERENCE</t>
  </si>
  <si>
    <t>NVS rail - Enable booking the new rates of the SNCF trains</t>
  </si>
  <si>
    <t>Hotel XI: name prefix is not sent to Hotel reservation</t>
  </si>
  <si>
    <t>WD Detail Planning: Wrong selection of plan</t>
  </si>
  <si>
    <t>Approval of an Org unit in the Planning Overview</t>
  </si>
  <si>
    <t>Planning status updated incorrectly</t>
  </si>
  <si>
    <t>ECM: No recalculation of budgets without employees</t>
  </si>
  <si>
    <t>No authorization group assigned to T71ADM_EE_HIST</t>
  </si>
  <si>
    <t>IMG Node documentation changes</t>
  </si>
  <si>
    <t>Search help H_BANKL: banks marked for deletion</t>
  </si>
  <si>
    <t>Edit and Delete buttons are not visible in FSA Claims</t>
  </si>
  <si>
    <t>HRESS_C_PERSINFO_CONFIG  and Customer-Specific Key</t>
  </si>
  <si>
    <t>Inconsistent data in infotype 0000 and 0706</t>
  </si>
  <si>
    <t>Administrator group in infotype 0710</t>
  </si>
  <si>
    <t>IT 0021: Keine Anlage mehrerer Kinder über ESS</t>
  </si>
  <si>
    <t>ESS WD ABAP - Field Trygdekontor Number doesnot display &amp;quo</t>
  </si>
  <si>
    <t>RSV-1: Legal change, order 232n at 15.03.2012 - XML</t>
  </si>
  <si>
    <t>HRUCEDT0_CE No some contracts with semi-periods in payslip</t>
  </si>
  <si>
    <t>HR_PAD_HIRE_EMPLOYEE: screen structure fields are initial</t>
  </si>
  <si>
    <t>Generische F4-Hilfe schneidet Domänenfestwerte ab</t>
  </si>
  <si>
    <t>IT0009: Fields BANKS/WAERS without text fields</t>
  </si>
  <si>
    <t>IT0057: Feldliste mit falschen Feldnamen gefüllt</t>
  </si>
  <si>
    <t>IT0009: Warnmeldung PBAS_SERVICE067 für Feld P0009-SWIFT</t>
  </si>
  <si>
    <t>HR_PAD_HIRE_EMPLOYEE: Fehlermeldung bei Ländern mit View</t>
  </si>
  <si>
    <t>IT0016: Fehlerbeseitigung im neuen Infotyp-Framework</t>
  </si>
  <si>
    <t>DataSource 0HR_PA_HAP_3: Enhancement of extract structure</t>
  </si>
  <si>
    <t>PM: Core values in appraisal document</t>
  </si>
  <si>
    <t>PMP: Zielzuordnungs-Popup läßt sich nicht mehr schließen</t>
  </si>
  <si>
    <t>CustConn PublicSector: Runtime IT 1509; error corrections</t>
  </si>
  <si>
    <t>Problems when processing lock notes with amount 0</t>
  </si>
  <si>
    <t>HRPBCM: Finanzierungsstatus wird falsch angezeigt</t>
  </si>
  <si>
    <t>TRM: Wrong status text in talent review meeting</t>
  </si>
  <si>
    <t>Talent groups object text truncated after 12 characters</t>
  </si>
  <si>
    <t>Succession Planning (HRTMC_PPOM):Missing authorization check</t>
  </si>
  <si>
    <t>TMC: Function module HRTMC_GET_TALENT_F4_HELPS</t>
  </si>
  <si>
    <t>Performance problems with authorization change pointers</t>
  </si>
  <si>
    <t>Error when creating print preview for calibration grid</t>
  </si>
  <si>
    <t>MSS talent assessment: Status values in calibration grid</t>
  </si>
  <si>
    <t>LSO: Dump while maintaining attendee fee list</t>
  </si>
  <si>
    <t>Organization not displayed for a participant in curriculum</t>
  </si>
  <si>
    <t>Admin portal: Inactive person is allowed to book.</t>
  </si>
  <si>
    <t>DataSource 0HR_PT_5 terminates with error message</t>
  </si>
  <si>
    <t>DataSource 0HR_PT_5 runs endlessly</t>
  </si>
  <si>
    <t>ESS LEA: Team calender application dumps future period</t>
  </si>
  <si>
    <t>Team Calendar Overlapping of Travel details and Leaves</t>
  </si>
  <si>
    <t>ESS LEA Time Accounts: Quota projections not considered</t>
  </si>
  <si>
    <t>Time out encountered in leave overview</t>
  </si>
  <si>
    <t>Sub-system Time events are editable in the ESS Application</t>
  </si>
  <si>
    <t>ESS LEA &amp; COR Anpassungen der PTARQ und PTCOR für WDA</t>
  </si>
  <si>
    <t>RPTARQEMAIL: Emails not sent for substitutes</t>
  </si>
  <si>
    <t>Performance issue when viewing team calendar</t>
  </si>
  <si>
    <t>ESS LEA additional ' ' in deduction description</t>
  </si>
  <si>
    <t>ESS LEA, COR:RPTARQEMAIL &amp; RPTCOREMAIL for several langu</t>
  </si>
  <si>
    <t>Payment Summary: Person specific messages are inconsistent.</t>
  </si>
  <si>
    <t>Updated version of Sub-Schema QTAX, QTXC, QLSP ,QLSC, QAL0.</t>
  </si>
  <si>
    <t>Method C:Tax refund incorrect in case of decrease of payment</t>
  </si>
  <si>
    <t>Payment Summary: Incorrect GCERTS being generated</t>
  </si>
  <si>
    <t>CE: ETP taxable component is incorrect on PS listing report</t>
  </si>
  <si>
    <t>Tax on Leave Loading incorrect in pay in advance scenarios</t>
  </si>
  <si>
    <t>CE:PS listing report truncates Lumpsum E which is incorrect.</t>
  </si>
  <si>
    <t>Payment Summry: PS issued flag incorrect in Listing report.</t>
  </si>
  <si>
    <t>/130 and /LGB incorrect when payments reduced across Fin. Yr</t>
  </si>
  <si>
    <t>/LTL created in 2012 when payments decreased across Fin. Yr.</t>
  </si>
  <si>
    <t>CE:PS is incorrect in case of termination of all assignments</t>
  </si>
  <si>
    <t>Payment Summary: Incorrect allowance when given as LSE</t>
  </si>
  <si>
    <t>Termination Organiser dumps when ETP payments are negative</t>
  </si>
  <si>
    <t>Middle Name Error in Canadian IT0002 (CE)</t>
  </si>
  <si>
    <t>IT0461: Prov. of Health field missing in HCMT structure</t>
  </si>
  <si>
    <t>Delimiting CSDN Court Order produces CSL error message</t>
  </si>
  <si>
    <t>HR-RU: pdf-based HR Form of payslip for CE</t>
  </si>
  <si>
    <t>CE: Missing authorization infotype 0001 in grouping reader</t>
  </si>
  <si>
    <t>SPV - Multiple issues</t>
  </si>
  <si>
    <t>Employer's Certificate report enhancements</t>
  </si>
  <si>
    <t>MSC: Payroll function UTXCE fails to distribute WT /5UH.</t>
  </si>
  <si>
    <t>Dump in CE payroll driver</t>
  </si>
  <si>
    <t>CE versions of Pre-DME programs can't find unique run ID</t>
  </si>
  <si>
    <t>Dump during payroll run</t>
  </si>
  <si>
    <t>HRFORMS: Empty Lines in the end of Notifications(IT0128)</t>
  </si>
  <si>
    <t>CL_HRFORM_HRF02 Method Get_infotype - Error in HR Forms</t>
  </si>
  <si>
    <t>Loan nITF: Enhancement for archiving</t>
  </si>
  <si>
    <t>Travel expense form - missing total amount detail lines</t>
  </si>
  <si>
    <t>Travel expense form - PL missing total amount detail lines</t>
  </si>
  <si>
    <t>ASREI convert to local currency</t>
  </si>
  <si>
    <t>Doubled deduction, foreign trip II</t>
  </si>
  <si>
    <t>Correction of capitalization of 'Do You Want to Delete...'</t>
  </si>
  <si>
    <t>Correction of translation of 'Expense Report(s)'</t>
  </si>
  <si>
    <t>SAPK-60612</t>
  </si>
  <si>
    <t>Timesheet: Absences display in Daily view</t>
  </si>
  <si>
    <t>New BAdI-Method for POWL_APPROVER email notification</t>
  </si>
  <si>
    <t>CE/GE problem with POWL loading object with Infotype 0017</t>
  </si>
  <si>
    <t>Business area not defaulted in prmd in travel privileges</t>
  </si>
  <si>
    <t>PR05: Adobe form not archived in spool</t>
  </si>
  <si>
    <t>Web: Inconsistencies for credit card documents</t>
  </si>
  <si>
    <t>Posting run assignment goes missing during print process</t>
  </si>
  <si>
    <t>Participants disapear after saving</t>
  </si>
  <si>
    <t>WD ABAP: Border crossing arrival is not updated</t>
  </si>
  <si>
    <t>PR05: Wrong reimbursement when settling multiple trips</t>
  </si>
  <si>
    <t>Business document not visible in Web DynPro UI (BUS2089)</t>
  </si>
  <si>
    <t>Web: Dump in FITE_UI_RECEIPT_DETAILS.ENTERTAINMENT_VIEW</t>
  </si>
  <si>
    <t>PR05: Credit card receipts can be lost</t>
  </si>
  <si>
    <t>Trip set for accounting despite broken RFC connection</t>
  </si>
  <si>
    <t>No required entry field check if max. rate per diem exceeded</t>
  </si>
  <si>
    <t>PR05 : additionnal information deleted after copy trip</t>
  </si>
  <si>
    <t>IT: Max. rate per diem chck for 'S' rcpts for domestic trips</t>
  </si>
  <si>
    <t>WD ABAP: Exchange rates not automatically updated</t>
  </si>
  <si>
    <t>Implementation missing in class CL_IM_TEST_TRIP_APPROVAL</t>
  </si>
  <si>
    <t>PS DE: falsches Umsatsteuerkennzeichen bei Zuschussbeleg</t>
  </si>
  <si>
    <t>Höchstbetrag inkl. Frühstück bei Hotelliste des Bundes</t>
  </si>
  <si>
    <t>Anrechnung paralleler Dienstreisen aufs Trennungstagegeld</t>
  </si>
  <si>
    <t>Statistcs updte does nt take separtn alwnces/DA into account</t>
  </si>
  <si>
    <t>PS: Menüpunkt zum Kopieren von DZ/TRG aus DZ/TRG heraus</t>
  </si>
  <si>
    <t>PS AT: Anrechnung paralleler Dienstreise auf DZ-Periode</t>
  </si>
  <si>
    <t>Trennungsgeld Abwesenheiten: Löschen im PopUp</t>
  </si>
  <si>
    <t>PS-DE: Keine Prüfung des Rückreiselandes</t>
  </si>
  <si>
    <t>PS-DE: Receipts are deleted after SAP Note 1709752</t>
  </si>
  <si>
    <t>TG Formular: keine Steuerbeträge bei Vergleichsrechnung</t>
  </si>
  <si>
    <t>Bayern: Mehrere Reisen an einem Tag: falsche Erstattung</t>
  </si>
  <si>
    <t>PS DE: FITVFELD Ankreuzfeld pauschale Unterkunft wirkt nicht</t>
  </si>
  <si>
    <t>TGANL: Doppelklick auf den Wurzelknoten des Baumes</t>
  </si>
  <si>
    <t>PS-DE: Kein Scrollen bei Abzügen vom Unterkunftsbeleg</t>
  </si>
  <si>
    <t>DZ: Falsche Periodenbildung bei Änderung Beginn in Vorjahre</t>
  </si>
  <si>
    <t>DZ: Fehlerhafte Erstattung bei vorhandenen Abwesenheiten</t>
  </si>
  <si>
    <t>PS AT: negative Erstattung nach 180-Tagen bei parallel. DR</t>
  </si>
  <si>
    <t>PS-DE: gesetzliche Reiseart in BAPI_TRIP_CREATE_DATA</t>
  </si>
  <si>
    <t>PS-AT: Fehler beim Anlegen von Hin- und Rückreisen</t>
  </si>
  <si>
    <t>S&amp; 043 when saving a travel plan</t>
  </si>
  <si>
    <t>Version table for travel requests (schema PL)</t>
  </si>
  <si>
    <t>UK Flexible Benefits: Missing texts for message class</t>
  </si>
  <si>
    <t>Conversion to Acc View, Error TSV_TNEW_PAGE_ALLOC_FAILED</t>
  </si>
  <si>
    <t>Create Plan: Wrong Cumulating of Cost Items with DIFFCA</t>
  </si>
  <si>
    <t>Plan in Account Assignment View: Wrong Assignment Info Table</t>
  </si>
  <si>
    <t>Capacity Util. Level: Negative Values before Leaving Date</t>
  </si>
  <si>
    <t>WD Detail Planning: Org. Reassignment not possible</t>
  </si>
  <si>
    <t>WD Detail Planning: Edit of Reason for Action not possible</t>
  </si>
  <si>
    <t>WD Detail Planning: Message Handling, Add to Log</t>
  </si>
  <si>
    <t>Compensation Profile incorrect amounts displayed</t>
  </si>
  <si>
    <t>PECM_STATUS_CHANGE does not update status correctly</t>
  </si>
  <si>
    <t>Fehlermeldung beim Löschen von Budgets</t>
  </si>
  <si>
    <t>Zuviele Org.Einheiten für die Vergütungsplanung gesperrt</t>
  </si>
  <si>
    <t>EIC: E-Mail attachments names are displayed as $TVCVALUE$</t>
  </si>
  <si>
    <t>Leave Request BR - Proportional Pecuniary Bonus</t>
  </si>
  <si>
    <t>IT Declarations - Income from other sources</t>
  </si>
  <si>
    <t>Updation of Sec80 and Sec80c infotypes error</t>
  </si>
  <si>
    <t>Deleting Processing Class Zero in V_T52D1 for New Zealand</t>
  </si>
  <si>
    <t>SZV-6-*: deactivating the Adobe form printing</t>
  </si>
  <si>
    <t>RSV-1: wrong Part.2 tariff code processing by INVA condition</t>
  </si>
  <si>
    <t>HR-RU: RSV-1 Form XML 2012 transformation</t>
  </si>
  <si>
    <t>PA-PA-SG: Enhancement of HCMT structure for address</t>
  </si>
  <si>
    <t>Report RP_US_EFFR_STRESET picks only one record per PERNR</t>
  </si>
  <si>
    <t>PMP: Various error corrections in the PDF print version</t>
  </si>
  <si>
    <t>PM: Long response time for "multiple creation" (PO</t>
  </si>
  <si>
    <t>PM: Ziele zu einer Organisationseinheit kaskadieren</t>
  </si>
  <si>
    <t>Package interface enhancements</t>
  </si>
  <si>
    <t>PMP: Notiz-Kopfdaten werden überschrieben</t>
  </si>
  <si>
    <t>PMP: Completed subappraisal can be changed</t>
  </si>
  <si>
    <t>HRPBCM: Start date overwritten during financing</t>
  </si>
  <si>
    <t>Various error corrections for mass financing</t>
  </si>
  <si>
    <t>RHRFPM_SET_CLOSEDKZ: Message log insufficient</t>
  </si>
  <si>
    <t>Incorrect calculation when activating lock notes</t>
  </si>
  <si>
    <t>Development plan: Incorrect status for inserted action</t>
  </si>
  <si>
    <t>Talent review mtg ovrvw: Quick info text for employee photo</t>
  </si>
  <si>
    <t>MSS talent assessment: Updating data</t>
  </si>
  <si>
    <t>Messages are issued incorrectly</t>
  </si>
  <si>
    <t>No error message is shown even after note 1341287</t>
  </si>
  <si>
    <t>HCM Data Privacy: LSO Archiving object Corrections</t>
  </si>
  <si>
    <t>Payment summary: Incorrect behaviour in some scenarios.</t>
  </si>
  <si>
    <t>CE:Payment Summary report behavior is incorrect in few cases</t>
  </si>
  <si>
    <t>Doubling of tax refund for negetive adjustment across FY</t>
  </si>
  <si>
    <t>Rounding missing in Personnel Calculation Rule QBOC</t>
  </si>
  <si>
    <t>/109 incorrect when payments reduced across Fin. Yr.</t>
  </si>
  <si>
    <t>Refunds incorrectly generated in retro runs within Fin. Yr.</t>
  </si>
  <si>
    <t>CE: LSE is not reported in few cases</t>
  </si>
  <si>
    <t>/130 incorrect when payments made across financial year</t>
  </si>
  <si>
    <t>Tax incorrect when Leave Loading paid retro across Fin. Yr.</t>
  </si>
  <si>
    <t>New Payslip for India Payroll</t>
  </si>
  <si>
    <t>ESS: Union Budget 2012 Changes for IT Declaration Scenarios</t>
  </si>
  <si>
    <t>India ESS : Income Tax Declaration Issues</t>
  </si>
  <si>
    <t>Leave Encashment: Updation of Infotype 0267</t>
  </si>
  <si>
    <t>Tax Simplifier Statement : Date of joining</t>
  </si>
  <si>
    <t>Leave Encashment : Remarks made by employee</t>
  </si>
  <si>
    <t>Correspondance Letter generation inconsistent</t>
  </si>
  <si>
    <t>Error while updating Infotype 582 from ESS</t>
  </si>
  <si>
    <t>E-Separation: Department task owners mail not triggering</t>
  </si>
  <si>
    <t>CE: SZV-6-1/2: dump in offline mode at Adobe form printing</t>
  </si>
  <si>
    <t>CE: Wrong /301 after changing employee status during year</t>
  </si>
  <si>
    <t>USCLM: Cost Assignment Override Handling</t>
  </si>
  <si>
    <t>USCLM: Correction for user exit calls</t>
  </si>
  <si>
    <t>USCLM: Off-Cycle Recovery during Retro Calculation</t>
  </si>
  <si>
    <t>USCLM: Incorrect entries in C1 table</t>
  </si>
  <si>
    <t>USCLM: CE employee RT cleared by USCLM recovery process</t>
  </si>
  <si>
    <t>USCLM: Incorrect cost assignment if IT0027 splits exist</t>
  </si>
  <si>
    <t>USCLM: Incorrect overpayment for reversed payroll</t>
  </si>
  <si>
    <t>USCLM: Overpayment transferred from one EE to another</t>
  </si>
  <si>
    <t>USCLM: CLM_PERSON not correctly updated in case of splits</t>
  </si>
  <si>
    <t>USCLM: Salary overpayments crossing years</t>
  </si>
  <si>
    <t>USCLM: Different recovery wage types merged in RT</t>
  </si>
  <si>
    <t>USCLM: Consolidated corrections for Concurrent Employment.</t>
  </si>
  <si>
    <t>Error in fulfilling of RND document</t>
  </si>
  <si>
    <t>Poland - Travel expense form issue</t>
  </si>
  <si>
    <t>XX-TRANSL-FI</t>
  </si>
  <si>
    <t>Translation into Finnish</t>
  </si>
  <si>
    <t>Correction of FI translations in Travel Management portal</t>
  </si>
  <si>
    <t>Correction of translation of 'Additional Appraiser'</t>
  </si>
  <si>
    <t>SAPK-60613</t>
  </si>
  <si>
    <t>Create Search Connector Indexes Exception</t>
  </si>
  <si>
    <t>CATS WD: Short dump CONVT_NO_NUMBER</t>
  </si>
  <si>
    <t>CATS: Short text display in BAPI_CATIMESHEETRECORD_GETLIST</t>
  </si>
  <si>
    <t>CATS: Work center is overwritten with default</t>
  </si>
  <si>
    <t>Web: Reason field required but not clickable to focus on</t>
  </si>
  <si>
    <t>Web: Minor Enhancement Travel Substitution / Travel Approval</t>
  </si>
  <si>
    <t>WEB: Mileage Address From and To Location hidden but filled</t>
  </si>
  <si>
    <t>Reason for trip as required entry field in transction TRIP</t>
  </si>
  <si>
    <t>NO: Wrong Calculation for expense type SAL in TRIP</t>
  </si>
  <si>
    <t>VATamount not updated in the first attempt forReceipts</t>
  </si>
  <si>
    <t>P.S.: France: Alternative meals per diem part 2</t>
  </si>
  <si>
    <t>WEB ABAP: Pop-up doesn't disappear</t>
  </si>
  <si>
    <t>Rounding differences for credit card receipts</t>
  </si>
  <si>
    <t>DE: Verpflegungseinzelbeleg - bezahlt durch Firma</t>
  </si>
  <si>
    <t>PR05: Employee group on overview screen not always ok</t>
  </si>
  <si>
    <t>Master cost center is saved in trip</t>
  </si>
  <si>
    <t>AT/IT-Banken: kein Erstattungsbetrag bei Uhrzeiten</t>
  </si>
  <si>
    <t>Web: Absolute cost distribution of receipts deleted</t>
  </si>
  <si>
    <t>Web: Dump CONVT_NO_NUMBER with unedited WBS elements</t>
  </si>
  <si>
    <t>Web: KURS_IN_MENGENNOTATION &amp; KURS_IN_PREISNOTATION</t>
  </si>
  <si>
    <t>WD ABAP EES: passengers in mileage table is reset to zero</t>
  </si>
  <si>
    <t>BAdI BADI_TRIP_RECEIPT_ENHANCEMENT: Text for button</t>
  </si>
  <si>
    <t>AT: RPRTEF10 and additional amounts</t>
  </si>
  <si>
    <t>Web: Additional trip text lost when form is called</t>
  </si>
  <si>
    <t>Documentatn for BAdI method SET_POWL_EMAIL_ATTRIB is missing</t>
  </si>
  <si>
    <t>Web: Ortssuchhilfe und Gültigkeitsdatum für AT</t>
  </si>
  <si>
    <t>RPRVAT00_ALV: Parameter in subroutine baue_rot_verpf_paush</t>
  </si>
  <si>
    <t>WEB/PR05: Mileage Address set as 'off' but taken as active.</t>
  </si>
  <si>
    <t>Dump CONVT_NO_NUMBER for negative credit card receipts</t>
  </si>
  <si>
    <t>Deletion of Business Document during the Trip delete</t>
  </si>
  <si>
    <t>No history when approving request using PRAP</t>
  </si>
  <si>
    <t>PRRW: Zero pstng not recognized for change of profit center</t>
  </si>
  <si>
    <t>PR05: Error during account assignment check</t>
  </si>
  <si>
    <t>RPR_TRIP_PAYMENT_HISTORY_FI: Text Abrechnungsstatus</t>
  </si>
  <si>
    <t>PRRW: Kein Eintrag in T706K für Argument &amp;</t>
  </si>
  <si>
    <t>Fehlerhafter Aufruf bei Formularen im Reisekostenmanager</t>
  </si>
  <si>
    <t>'Beibehaltung entgl. Unterkunft' nur für PS DE eingabebereit</t>
  </si>
  <si>
    <t>PDF Formular: Reisen Öffentlicher Dienst</t>
  </si>
  <si>
    <t>LRKG Sachsen: §5 Wegstrecken- und Mitnahmeentschädigung 2012</t>
  </si>
  <si>
    <t>PR05: Dienstreise ÖD Feldsteuerung Kilometer Inland</t>
  </si>
  <si>
    <t>PS-AT/DE: Problem beim Wechsel der Personalnummer in PR05</t>
  </si>
  <si>
    <t>TG: Anrechnung parallele Dienstreise in fiktiver Periode</t>
  </si>
  <si>
    <t>PS AT: Buttons für Abzüge Mahlzeiten und 'Nacht zum'</t>
  </si>
  <si>
    <t>Programmabbruch bei Dienstrückreise und aktivem Obligo</t>
  </si>
  <si>
    <t>TG: Vergleichsrechnung TR/AV: Abgleich parallele Dienstr.</t>
  </si>
  <si>
    <t>Begrenzung DZ-Gebühr auf 180-Tage und Abwh. Zwölftel falsch</t>
  </si>
  <si>
    <t>PS-DE: Abzüge bei reduziertem Tagegeld/Auslandsreisen</t>
  </si>
  <si>
    <t>Änderungen von HW 1618537 ab EH6 nicht vorhanden</t>
  </si>
  <si>
    <t>TG: Abruch beim Simulieren mit großer Vergleichsrechnung</t>
  </si>
  <si>
    <t>Aufteilung stpfl./st.fr. in Folge-DZ mit 180 Tagen, paral.DR</t>
  </si>
  <si>
    <t>Fehlender Tabelleneintrag bei Reisen mit Reiseunterbrechung</t>
  </si>
  <si>
    <t>PS-DE: Popup mit Abzügen vom Hotelbeleg</t>
  </si>
  <si>
    <t>DZ: Änderung der Versteuerung (manuell bzw. automatisch)</t>
  </si>
  <si>
    <t>Validation date of master account assignment</t>
  </si>
  <si>
    <t>Trennungsgeld dauerhaft ohne Hausstand: Versteuerung Verpfl.</t>
  </si>
  <si>
    <t>PS-AT/DE: Auswahl von DZ/TG für Hin- und Rückreisen</t>
  </si>
  <si>
    <t>LRKG BW: Verpflegungspauschalen ab 01.04. 2012</t>
  </si>
  <si>
    <t>TG: Gr.Vergl.rechnung:Kein Tr.reisegeld bei Abw. in fikt.Per</t>
  </si>
  <si>
    <t>Übernahme der FITVFELD Defaultwerte beim Kopieren von DZ/TRG</t>
  </si>
  <si>
    <t>AT: Falsche Rückrollung bei Änderung späterer DR oder DZ</t>
  </si>
  <si>
    <t>WD ABAP: Dump when selecting hotel reason code on review</t>
  </si>
  <si>
    <t>Third Party Travel Planning in NWBC</t>
  </si>
  <si>
    <t>Getthere: error when  PNR in status 'Suspended'</t>
  </si>
  <si>
    <t>GetThere: profile synchronisation for concurrent employment</t>
  </si>
  <si>
    <t>Getthere : Trips created in portal not editable with PR05</t>
  </si>
  <si>
    <t>Viewing DPF Record information throws authorization error</t>
  </si>
  <si>
    <t>WD Detail Planning: Changes done, Close PopUp with OK-Button</t>
  </si>
  <si>
    <t>Display Plan: Quarter View, Cost Items with Annual Limits</t>
  </si>
  <si>
    <t>Plan List Results: Change Time Interval View, No Results</t>
  </si>
  <si>
    <t>WD Detail Planning: Order or WBS-Element as a Cost Unit</t>
  </si>
  <si>
    <t>Planning Data: Distributed Dependent Cost Items</t>
  </si>
  <si>
    <t>Text correction for variant of HRECM_REV Archiving Object</t>
  </si>
  <si>
    <t>Dump in compensation planning if special characters in note</t>
  </si>
  <si>
    <t>ODP 0HCM_COMP_CODE ist nicht sprachabhängig</t>
  </si>
  <si>
    <t>Employee HeadCount Direct Access TREX Indexing fails</t>
  </si>
  <si>
    <t>Minor improvement for ESS scenario Addresses</t>
  </si>
  <si>
    <t>ESS BR: new field NATUR in infotype 0002 - Personal Data</t>
  </si>
  <si>
    <t>ESS BR: Only key code is being showed without description</t>
  </si>
  <si>
    <t>ANS Normative Resolution No. 250 - Additional changes</t>
  </si>
  <si>
    <t>IT0465: General Corrections</t>
  </si>
  <si>
    <t>TNM, Trainer Costs: LSO adaptation for the 2483 statement</t>
  </si>
  <si>
    <t>Short Dump When Maintain IT0021 with Subtype Not Number</t>
  </si>
  <si>
    <t>Correct Input Help for Dependent for Infotype 0858 in ESS</t>
  </si>
  <si>
    <t>ESS(WD ABAP) - Validation during FPM_BACK_TO_MAIN event</t>
  </si>
  <si>
    <t>Dump SAPSQL_ARRAY_INSERT_DUPREC in program HRULNDFL_CE</t>
  </si>
  <si>
    <t>CE: SZV-6-*: organization short name in the Adobe form</t>
  </si>
  <si>
    <t>HR-RU: RSV-1 leading minus for sums in XML-file</t>
  </si>
  <si>
    <t>PA-PA-SG: Gender mis-match error in ESS infotype 0002 screen</t>
  </si>
  <si>
    <t>PA-PA-TH: Paymant method is not available in webdynpro ABAP</t>
  </si>
  <si>
    <t>Report RP_US_EFFR_STRESET - reset Status for Multiple record</t>
  </si>
  <si>
    <t>PMP: Competencies use incorrect scale</t>
  </si>
  <si>
    <t>PMP: Displaying part appraisals on UI and in PDF</t>
  </si>
  <si>
    <t>PM: Improvement to extractor 'HRHAP_PA_BW_IS_3'</t>
  </si>
  <si>
    <t>PMP: Various appraisal document UI corrections</t>
  </si>
  <si>
    <t>PMP: Error when generating appraisal template</t>
  </si>
  <si>
    <t>Diverse Verbesserungen an Report 'Stellenanalyse'</t>
  </si>
  <si>
    <t>HRPBC_FINLIST: Runtime error RAISE_EXCEPTION</t>
  </si>
  <si>
    <t>HRPBC_FINLIST delivers incorrect results</t>
  </si>
  <si>
    <t>MESSAGE_TYPE_UNKNOWN when executing various programs</t>
  </si>
  <si>
    <t>HRFPM_VACANCY_DISP: zu hohe Finanzierungseinsparungen</t>
  </si>
  <si>
    <t>Commitment creation: Err when determining cost distribution</t>
  </si>
  <si>
    <t>'Business area' &amp; 'Segment' filled despite not being act</t>
  </si>
  <si>
    <t>Extractor 0PA_TMC_7: Runtime problem (2)</t>
  </si>
  <si>
    <t>Talent groups: Various corrections</t>
  </si>
  <si>
    <t>Restriction to AOR when searching talents for review meeting</t>
  </si>
  <si>
    <t>Inconsistent display of talent groups and their status</t>
  </si>
  <si>
    <t>TMC: RPTMC_CREATE_CHANGEPOINT_AUTH - Authorization check</t>
  </si>
  <si>
    <t>Talent review meeting: Search for support team member</t>
  </si>
  <si>
    <t>MSS talent information: Display of talent group assignment</t>
  </si>
  <si>
    <t>Talent review mtg: Talent search only in responsibility area</t>
  </si>
  <si>
    <t>SU22 entry maintained</t>
  </si>
  <si>
    <t>SCORM2004 4th Edition changes</t>
  </si>
  <si>
    <t>Past courses are showm in 'My Training Activites'</t>
  </si>
  <si>
    <t>LSO Instructor Portal:Courses for followup are not displayed</t>
  </si>
  <si>
    <t>LSO- SU22 update for admin portal application</t>
  </si>
  <si>
    <t>Tax on bonus incorrect</t>
  </si>
  <si>
    <t>/ARF is incorrectly calculated in retro across Fy yr</t>
  </si>
  <si>
    <t>Private Health Insurance Extra tax not calculated on backpay</t>
  </si>
  <si>
    <t>Back pay added twice to /106 and /116</t>
  </si>
  <si>
    <t>2012 Tax:Incorrect tax for negative backpay inflow across FY</t>
  </si>
  <si>
    <t>Missing /420 in retro termination across FY.</t>
  </si>
  <si>
    <t>/LTB not generated in a specific retro scenario</t>
  </si>
  <si>
    <t>Wage type /LTT incorrect in a retroactive run</t>
  </si>
  <si>
    <t>Text of Error message is missing in Payroll log for CE</t>
  </si>
  <si>
    <t>Tax on Leave Loading lump sum pay incorrect in 2012</t>
  </si>
  <si>
    <t>E-Separation : HINUEADI report changes</t>
  </si>
  <si>
    <t>ESS: Section 80 &amp; 80C deduction date issue for new hires</t>
  </si>
  <si>
    <t>ESS: First name &amp; last name displayed incorrectly in cla</t>
  </si>
  <si>
    <t>HR-RU CE: wrong average in RUAVC if off-cycle exists</t>
  </si>
  <si>
    <t>HR-RU CE: incorrect average if sick-list calculated before</t>
  </si>
  <si>
    <t>HR-RU CE: Operation RUAWPL doesn't set grouping reason</t>
  </si>
  <si>
    <t>RUPOC during advance OC imports OC results other contracts</t>
  </si>
  <si>
    <t>IT0909: Original Overpaid and Remaining Balance incorr. val.</t>
  </si>
  <si>
    <t>NWH: Magnetic media changes for 2012 (CE)</t>
  </si>
  <si>
    <t>Default value for reference date</t>
  </si>
  <si>
    <t>The start and end location is compulsory for PL</t>
  </si>
  <si>
    <t>SAPK-60614</t>
  </si>
  <si>
    <t>MSS Add-on 1.0: Missing customizing entries after upgrade</t>
  </si>
  <si>
    <t>HCM_ECM_PLANNING_UI_GAF is not considering custom parameters</t>
  </si>
  <si>
    <t>HCM_ECM_TEAMVIEWER_OIF is not considering custom parameters</t>
  </si>
  <si>
    <t>CATS WDA: Description is truncated in F4 selection screen</t>
  </si>
  <si>
    <t>CATS WD: Code error in CL_MSS_CAT_APPR_TR_BUFFER</t>
  </si>
  <si>
    <t>CATS WD: Performance issue in search help for RPROJ</t>
  </si>
  <si>
    <t>CATS WD: ESS record working time worklist</t>
  </si>
  <si>
    <t>CATS Webdypro: MSS Approve Working Time Performance issue</t>
  </si>
  <si>
    <t>ESS CATS: Performance issue with Cproject integration</t>
  </si>
  <si>
    <t>CATS: Exception CONVERSION_ERROR for field Valuation basis</t>
  </si>
  <si>
    <t>CATS: Longtext is not updated during Release of timesheet</t>
  </si>
  <si>
    <t>Timesheet: Valuation basis(BWGRL)</t>
  </si>
  <si>
    <t>Various issue in Webdynpro ABAP time sheet application</t>
  </si>
  <si>
    <t>CATS WDA: Error messages disappears after any action</t>
  </si>
  <si>
    <t>Switching between the data entry profiles does not work</t>
  </si>
  <si>
    <t>CATSWD: Absence sum missing in weekly view</t>
  </si>
  <si>
    <t>Lines with same A/A Type are not merged for leave records</t>
  </si>
  <si>
    <t>Icon url length not sufficient for webicons</t>
  </si>
  <si>
    <t>Data refresh link is not aligned in the OADP table</t>
  </si>
  <si>
    <t>PR05: Kostenverteilung nur als Button und Pflichtfelder</t>
  </si>
  <si>
    <t>BAPI_TRIP_CREATE_FROM_DATA: Feld RECEIPT_VALIDATED</t>
  </si>
  <si>
    <t>PR01: Validation of trip activity type</t>
  </si>
  <si>
    <t>Übernachtungsabzüge nach Druck mit RPRTEF00</t>
  </si>
  <si>
    <t>Attachments in PRAP</t>
  </si>
  <si>
    <t>PDF: Steuerkennzeichen für Mahlzeiten im Hotelbeleg</t>
  </si>
  <si>
    <t>Reiseversionierung: es erfolgt keine Archivierung mehr</t>
  </si>
  <si>
    <t>FI: Verpflegungspauschale Ausland &amp;gt; 10 Stunden</t>
  </si>
  <si>
    <t>Testtransaktion reaktivieren</t>
  </si>
  <si>
    <t>Sort ALV dumps for report RPRCCC_READ_KR1025</t>
  </si>
  <si>
    <t>Parallele Dienstreise führt zur falschen Tagesgebühr</t>
  </si>
  <si>
    <t>TG: Kappungsbeleg Gr. Vergl.rechnung ohne Detaildaten</t>
  </si>
  <si>
    <t>PR05: Buchungsdatum wird beim Schemenwechsel gelöscht</t>
  </si>
  <si>
    <t>Bayern: TG Tägl.Rückkehr Vergleichsrechnung: Verpfl.zuschuss</t>
  </si>
  <si>
    <t>DZ:Genehmigung führt zu falschem RAU-Eintrag (Verkett.-Tab)</t>
  </si>
  <si>
    <t>Formular: Werbungskosten für Verpflegungspauschale</t>
  </si>
  <si>
    <t>Auslandsreise: Kappung Kilometer bei Inlandskilometer</t>
  </si>
  <si>
    <t>Reading table part of infotype(HRTNNNN) with SAP_PD service</t>
  </si>
  <si>
    <t>Extractor 0HR_PACP_1: No Amount due to a Gap in CO_INFO</t>
  </si>
  <si>
    <t>Unnecessary Warning Message HRHCP00_PLAN 147</t>
  </si>
  <si>
    <t>WD Detail Planning: Reclassification, Employee Subgroup</t>
  </si>
  <si>
    <t>ECM Mitarbeitereinzelplanung: Währungsfelder</t>
  </si>
  <si>
    <t>EIC: Blank window when opening email attachments</t>
  </si>
  <si>
    <t>WD CATS: ATC Checkman Error</t>
  </si>
  <si>
    <t>SAPLHRPAD_EXTRACTION - Extended Check Warnings and Fixes</t>
  </si>
  <si>
    <t>Extended Check Warnings</t>
  </si>
  <si>
    <t>Correct Error in Personal Data Service in ESS</t>
  </si>
  <si>
    <t>Field 'STATE' is not set up with input help</t>
  </si>
  <si>
    <t>TNM: enh. to the report RPCTNM9S_SNAP_GUI, LSO adaptation</t>
  </si>
  <si>
    <t>ESS Commuting Allowance Form: Enhancement for help text</t>
  </si>
  <si>
    <t>Name Fields not highlighted as mandatory in Web Dynpro ABAP</t>
  </si>
  <si>
    <t>MY: IT0198 issues in the decoupling framework</t>
  </si>
  <si>
    <t>RSV-1: Accrued amounts in retro calculated periods</t>
  </si>
  <si>
    <t>CE: SZV-6-*: personal number missing in list of employees</t>
  </si>
  <si>
    <t>Business function HCM_SRV_CI_2 is missing in EHP5</t>
  </si>
  <si>
    <t>Probleme mit Flex-Control im PMP Konfiguration Wizard</t>
  </si>
  <si>
    <t>PMP: Competencies and scale for part appraisal</t>
  </si>
  <si>
    <t>PMP: Direct Reports werden falsch ermittelt</t>
  </si>
  <si>
    <t>PMP: Dokumentübersicht zeigt Beschreibung falsch an</t>
  </si>
  <si>
    <t>PMP: Adjusting competencies in qualifications profile</t>
  </si>
  <si>
    <t>PMP: Notiz-Filteroption für zusätzliche Beurteiler</t>
  </si>
  <si>
    <t>PMP: Abbruch beim Hinzufügen von Notizen</t>
  </si>
  <si>
    <t>PMP: Negative Werte in der prozentualen Zielverteilung</t>
  </si>
  <si>
    <t>HRPBCM: Budgetaktualisierungen entsprechen n. Einstellungen</t>
  </si>
  <si>
    <t>Erweiterung für Bestimmung von Finanzierungsrelvanz</t>
  </si>
  <si>
    <t>HRFPM_CUST_DIAGNOSE: Falsche Diagnosemeldungen</t>
  </si>
  <si>
    <t>Error during financing after implementing SAP Note 1595522</t>
  </si>
  <si>
    <t>HRFPM_PBCDOC_DISP: Keine Anzeige von Mittelbindungen</t>
  </si>
  <si>
    <t>Diverse Fehler bei Verwendung des Genehmigungsworkflow</t>
  </si>
  <si>
    <t>'To be reclassified' note not proposed for activation</t>
  </si>
  <si>
    <t>Keine Prüfmeldungen bei Besetzung einer Planstelle</t>
  </si>
  <si>
    <t>Display large number of items in the TM/PM Accordion Control</t>
  </si>
  <si>
    <t>PA-TM: Bearbeiter für Talentgruppenzuordnung nicht gefunden</t>
  </si>
  <si>
    <t>Calibration grid: Labeling of axes is not displayed</t>
  </si>
  <si>
    <t>TMC: HRTMC_VIEW_AUTH - CheckMan</t>
  </si>
  <si>
    <t>TMC: Succession Planning and error message DB 861</t>
  </si>
  <si>
    <t>0PA_TMC_3: Schlechte Performance des Extraktors</t>
  </si>
  <si>
    <t>HRTMC_TEAMVIEWER: Checkman</t>
  </si>
  <si>
    <t>LSO Course Administrator Work Monitor poor performance</t>
  </si>
  <si>
    <t>The text for Learning Progress is getting truncated</t>
  </si>
  <si>
    <t>Error when clicking confirm participation in learning portal</t>
  </si>
  <si>
    <t>Performance issue when launching the learning portal</t>
  </si>
  <si>
    <t>Booking is not getting cancelled for the curriculum</t>
  </si>
  <si>
    <t>Deletion of waiting list booking when capacity is changed</t>
  </si>
  <si>
    <t>LSO_PSV1 - In Prebookings, Note selected does not match</t>
  </si>
  <si>
    <t>The Organizational unit of person is incorrect</t>
  </si>
  <si>
    <t>Display of instructors for a course in portal is incorrect</t>
  </si>
  <si>
    <t>Issues with fee assignment for a course</t>
  </si>
  <si>
    <t>Correspondence history read incorrectly</t>
  </si>
  <si>
    <t>Incorrect relations created with course program</t>
  </si>
  <si>
    <t>Incomplete message displayed to the end user</t>
  </si>
  <si>
    <t>LSO Admin portal: Only Firmly booked courses are visible</t>
  </si>
  <si>
    <t>Performance issue in course worklist while reading HRVPAD25</t>
  </si>
  <si>
    <t>LSO: Performance issue while navigating to learning portal</t>
  </si>
  <si>
    <t>'Posting date is initial' error when booking a participant</t>
  </si>
  <si>
    <t>Incorrect tutors are displayed when creating a course</t>
  </si>
  <si>
    <t>Selecting a value in F4 help for S.ID display incorrect data</t>
  </si>
  <si>
    <t>Tutor Field appears although relationship is not maintained</t>
  </si>
  <si>
    <t>LSO Admin Portal: Course language is displayed incorrectly.</t>
  </si>
  <si>
    <t>Leave Loading LumpSum Payments not added to Wage type /116</t>
  </si>
  <si>
    <t>Incorrct /LTR in case of retro over period with -Ve backpay</t>
  </si>
  <si>
    <t>Retrospective payroll execution giving run time error</t>
  </si>
  <si>
    <t>Incorrect tax for inactive employees in case of XFY backpay</t>
  </si>
  <si>
    <t>Check for negative value of Wage type /BON missing in QCN1</t>
  </si>
  <si>
    <t>Wrong text displayed in PA30 for IT 0902 &amp; IT 0906</t>
  </si>
  <si>
    <t>SAP New Payslip - HR Forms Changes</t>
  </si>
  <si>
    <t>ESS: Incorrect drop down value for title in personal info</t>
  </si>
  <si>
    <t>Correspondance Letter (IT0906) subtype text inconsistent</t>
  </si>
  <si>
    <t>Claims: Defaulting the values maintained in customizing</t>
  </si>
  <si>
    <t>CATS WDA: Approved days are not shown in calendar</t>
  </si>
  <si>
    <t>CATSWD: Exception CONVT_NO_NUMBER for Valuation basis(BWGRL)</t>
  </si>
  <si>
    <t>CATS ESS application dumps if 'Save as template' is pressed</t>
  </si>
  <si>
    <t>Nakisa Embedded Org Chart generates File missing error</t>
  </si>
  <si>
    <t>NO: recording of passenger name works inconsistently</t>
  </si>
  <si>
    <t>WEB: Itemization Calculation of number of receipt is wrong</t>
  </si>
  <si>
    <t>POWL application parameters link "Change Query"</t>
  </si>
  <si>
    <t>WD ABAP : The Enter VAT details button is disabled.</t>
  </si>
  <si>
    <t>BAPI_TRIP_CANCEL: Stornieren von Reise storniert auch Antrag</t>
  </si>
  <si>
    <t>IBAN fehlt im Report RPRDTAD0 (Release 6.05 ff.)</t>
  </si>
  <si>
    <t>NO: Wrong SAL Exp. Type Calculation - Hours are omitted</t>
  </si>
  <si>
    <t>change in vehicle data are not displayed in HTML trip form</t>
  </si>
  <si>
    <t>Dump ITAB_DUPLICATE_KEY beim Simulieren / Abrechnen</t>
  </si>
  <si>
    <t>Wizard bei negativen Belegbeträgen</t>
  </si>
  <si>
    <t>PR05: Dump for opening of additional info from Exp. Type.</t>
  </si>
  <si>
    <t>Web Travel Expense : cost assignement incorrectly  defaulted</t>
  </si>
  <si>
    <t>WD ABAP: default value for split receipt amount</t>
  </si>
  <si>
    <t>[WEB] Border crossing region lost after saving</t>
  </si>
  <si>
    <t>PR04: Lesedatum für Infotyp 17</t>
  </si>
  <si>
    <t>Business Reason disappears when receipt amount exceeds max</t>
  </si>
  <si>
    <t>COMPUTE_BCD_OVERFLOW Dump beim Belegwizard</t>
  </si>
  <si>
    <t>EES: Kommentar geht verloren</t>
  </si>
  <si>
    <t>Web Travel Java : delete additionnal destination impossible</t>
  </si>
  <si>
    <t>WD EES information not saved after entered Mileage Detail</t>
  </si>
  <si>
    <t>Prüfen der Reisezuatzinformationen in FITR0003</t>
  </si>
  <si>
    <t>Web: Saldo bei negativen Belegen im Wizard nicht korrekt</t>
  </si>
  <si>
    <t>Web Travel request: date are not updated when service change</t>
  </si>
  <si>
    <t>FI: Verpflegungspauschale im letzten 24H-Intervall &amp;lt; 10 S</t>
  </si>
  <si>
    <t>WEB ABAP: VAT Calculation on screen do not match</t>
  </si>
  <si>
    <t>DZ: Anrechnung par. Dienstreise auf Tariftöpfe nicht korrekt</t>
  </si>
  <si>
    <t>NRW: Berechnung der Höchstgrenze Unterkunft u.U. falsch</t>
  </si>
  <si>
    <t>RGV:Ergänzungshinweis zu HW 1739990 - parallele Dienstreisen</t>
  </si>
  <si>
    <t>Fehler bei Simulation DZ tägl.Kehre mit 180-Tage-Grenze</t>
  </si>
  <si>
    <t>Sichern einer Reise mit autom. Tarifwechsel nicht möglich</t>
  </si>
  <si>
    <t>PS DE: Vorschlagswert für Fahrzeugart und Fahrzeugklasse</t>
  </si>
  <si>
    <t>Kopieren von DZ: Vorschlagswert für Beginndatum geändert</t>
  </si>
  <si>
    <t>Ausnahme NO_PARALLES_TRIPS</t>
  </si>
  <si>
    <t>Maximale Anzahl von Perioden in einem Trennungsgeld</t>
  </si>
  <si>
    <t>TG: kein Übernachtungsgeld in der gr. Vergleichsrechnung</t>
  </si>
  <si>
    <t>TG: Vorschlag Versteuerungsbeginn einen Tag zu früh</t>
  </si>
  <si>
    <t>DZ: Erstattungsfehler bei steuerpflichtigem KH-Aufenthalt</t>
  </si>
  <si>
    <t>Fehlender Eintrag in Tabelle T706V</t>
  </si>
  <si>
    <t>Übernachtungspauschale bei TG-Massnahme nur mit TR-Reisegeld</t>
  </si>
  <si>
    <t>Abzug Übernachtung im Trennungstagegeld</t>
  </si>
  <si>
    <t>DZ tägl. Kehre: Fehler in Erstattung bei stpfl. parallele DR</t>
  </si>
  <si>
    <t>PS Bayern: Unterkunftsbeleg und Werbungskosten - Korrektur</t>
  </si>
  <si>
    <t>PS-DE: Abzüge markiert nach Erfassen von Belegzusatzinfo</t>
  </si>
  <si>
    <t>TG-Formular: Vergleichsrechnung wird nach Userexit gedruckt</t>
  </si>
  <si>
    <t>Trennungsgeld Bayern Tagegeld bei eintägigem ausw. Verbleib</t>
  </si>
  <si>
    <t>TRIP: 56 001 (Kein Eintrag in T702N für Argument)</t>
  </si>
  <si>
    <t>Low Cost Flight not handled by Etravel</t>
  </si>
  <si>
    <t>Gethere Profile synchro : possibility to change data</t>
  </si>
  <si>
    <t>GETTHERE_INIT_PROFILE_UPLOAD: problem with multiple profile</t>
  </si>
  <si>
    <t>Post-tax values are not displayed for Insurance Plans</t>
  </si>
  <si>
    <t>Co-requisite error even if plan is enrolled</t>
  </si>
  <si>
    <t>Create Plan with changed Relation of Organizational Unit</t>
  </si>
  <si>
    <t>Detail Planning: Reclassification, Incorrect Value</t>
  </si>
  <si>
    <t>WD Detail Planning: Level Edit, Close PopUp with OK-Button</t>
  </si>
  <si>
    <t>DataSource 0HR_PA_EC_15: Felder aus Selektion entfernt</t>
  </si>
  <si>
    <t>Workflow WS04000022 does not submit message for approver</t>
  </si>
  <si>
    <t>EIC: error message "Extract CKMINIAPP does not exist&amp;qu</t>
  </si>
  <si>
    <t>EIC: SLA activity table is not being updated for activities.</t>
  </si>
  <si>
    <t>Issue with Pre-Tax and Post-Tax Deduction display</t>
  </si>
  <si>
    <t>WD CATS: ATC Checkman Errors</t>
  </si>
  <si>
    <t>Length of Service calculation does not consider INFTY 0041</t>
  </si>
  <si>
    <t>Es gibt keinen InfoProvider mit Namen @O0HCM_PA_T01</t>
  </si>
  <si>
    <t>Incorrect Indirect Valuation for the infotype 0008</t>
  </si>
  <si>
    <t>ESS: Personal data - Required fields FAMST + NATIO</t>
  </si>
  <si>
    <t>TNM: Training objective text missing in the snapshots</t>
  </si>
  <si>
    <t>TNM: Organizational key long text not displayed</t>
  </si>
  <si>
    <t>TNM: select one TN for every courses of a curriculum (LSO)</t>
  </si>
  <si>
    <t>TNM: additional fix for method CHECK_EVENT_ATTENDANCE (LSO)</t>
  </si>
  <si>
    <t>ESS IT Declaration - Checking active status of subtypes</t>
  </si>
  <si>
    <t>ESS: Report correction</t>
  </si>
  <si>
    <t>Downport for LINC &amp; VAN to EHP5 and EHP4</t>
  </si>
  <si>
    <t>ESS - "Trygdekontor/NAV-kontor" mandatory field no</t>
  </si>
  <si>
    <t>PA-PA-PH</t>
  </si>
  <si>
    <t>PA-PA-PH: Issue with Nationality in ESS application</t>
  </si>
  <si>
    <t>SZV-6-*, SPV-1: cumulative updates 09.2012</t>
  </si>
  <si>
    <t>HR-RU: CIA - Rate of Insurance Part of SI Contr. to PF</t>
  </si>
  <si>
    <t>PA-PA-SG: Issue with field Nationality in Web Dynpro ABAP</t>
  </si>
  <si>
    <t>ESS: Short dump in scenarios of Bank Details (infotype 9).</t>
  </si>
  <si>
    <t>PMP: Probleme beim Löschen einer Kriteriengruppe im Formular</t>
  </si>
  <si>
    <t>Warnmeldung beim Verlassen einer Beurteilung</t>
  </si>
  <si>
    <t>PMP: Timeout beim Anzeigen von Kompetenzen</t>
  </si>
  <si>
    <t>Lösch-Ikone im Navigationsbereich</t>
  </si>
  <si>
    <t>PM: Dump nach dem Versuch den Titel des Zieles zu löschen</t>
  </si>
  <si>
    <t>Talent Management: Beurteilungsformular konfigurieren</t>
  </si>
  <si>
    <t>Various errors when creating budgeting rules</t>
  </si>
  <si>
    <t>MESSAGE_TYPE_UNKNOWN bei Aufruf der Budgetkontrolle</t>
  </si>
  <si>
    <t>HRPBCM: Fehler beim Anlegen von Sperrvermerken</t>
  </si>
  <si>
    <t>HRPBCM: Fehlermeldung 721 HRFPM_FTE bei Umbuchung</t>
  </si>
  <si>
    <t>Keine Datensammlung für Personalnummern bei Obligoerstellung</t>
  </si>
  <si>
    <t>Improvements in Talent Matrix Flash component</t>
  </si>
  <si>
    <t>Enable Grid for Short Profile in Talent Review Meetings</t>
  </si>
  <si>
    <t>Talentkonferenz: Terminplanung Mehrere Tage</t>
  </si>
  <si>
    <t>Provide Configuration Error to Assessment Search Popup</t>
  </si>
  <si>
    <t>Talentgruppe löschen: Abbruch bei Suche nach Entscheider</t>
  </si>
  <si>
    <t>Initiate Auto-Refreshing of the Talent Review Meeting List</t>
  </si>
  <si>
    <t>Talentkonferenz: Terminplanung Mehrere Tage (2)</t>
  </si>
  <si>
    <t>Talenteinschätzung: Kompetenzen doppelt angezeigt</t>
  </si>
  <si>
    <t>Programmabbruch beim Anzeigen der Talenteinschätzungen</t>
  </si>
  <si>
    <t>Talentkonferenz (Präsentation): Hinzufügen von Talenten</t>
  </si>
  <si>
    <t>Talentprofil: Gesamtbeurteilung in der Talenteinschätzung I</t>
  </si>
  <si>
    <t>Learning portal: Incorrect error message displayed</t>
  </si>
  <si>
    <t>LSO performance improvement while reading resources</t>
  </si>
  <si>
    <t>Status of time independent courses is wrong</t>
  </si>
  <si>
    <t>Admin portal : code refinement of LSO_MC_COURSE</t>
  </si>
  <si>
    <t>Admin portal:General Description text wraps improperly.</t>
  </si>
  <si>
    <t>In curriculum coursetype text is not displayed correctly.</t>
  </si>
  <si>
    <t>LSO Admin portal: temp gets defaulted for short text</t>
  </si>
  <si>
    <t>Manage Course Administrator: incorrect error message</t>
  </si>
  <si>
    <t>LSO Admin portal: Change Fees For All not updating the fees</t>
  </si>
  <si>
    <t>In batch input session does not update person data(IT2002)</t>
  </si>
  <si>
    <t>Admin portal: On Course change correspondence is not sent</t>
  </si>
  <si>
    <t>LSO Admin portal: search text does not get cleared</t>
  </si>
  <si>
    <t>After course followed up, the qualifications are not shown</t>
  </si>
  <si>
    <t>Course program elements display incorrect courses</t>
  </si>
  <si>
    <t>LSO - Auditing - Consistency check to confirm LSO Activation</t>
  </si>
  <si>
    <t>Peformance issue while subscribing to Course program</t>
  </si>
  <si>
    <t>BAPI_PREBOOK_ATTENDANCE: wrong message for invalid attendee</t>
  </si>
  <si>
    <t>LSO: In course catalog invalid dates are considered</t>
  </si>
  <si>
    <t>LSO - SU22 profile updated for admin portal WD application</t>
  </si>
  <si>
    <t>LSO_CHECK_BOOKING : Unable to identify booking for cancel</t>
  </si>
  <si>
    <t>In LSO via batch input Curriculum Type Elements not saved</t>
  </si>
  <si>
    <t>Override wagetypes for tax on Additional Pay</t>
  </si>
  <si>
    <t>Incorrect creation of Termination payment with 0 amount</t>
  </si>
  <si>
    <t>Tax refunds incorrect in case of retro on multiple periods</t>
  </si>
  <si>
    <t>Refund on Leave Loading is generated without any change.</t>
  </si>
  <si>
    <t>Advance pay results not imported during payroll run</t>
  </si>
  <si>
    <t>Tax on Additional payments incorrect</t>
  </si>
  <si>
    <t>/E11 and /ELS incorrect in case of retroactive payments</t>
  </si>
  <si>
    <t>Concurrent Employment:Processsing of Averages at ABN level</t>
  </si>
  <si>
    <t>Concurrent Employment: Termination tax principle change</t>
  </si>
  <si>
    <t>Incorrect Tax in case of net -ve backpay across Fin Year</t>
  </si>
  <si>
    <t>Corrections to SAP note 1751086</t>
  </si>
  <si>
    <t>Correction to the Note 1750956</t>
  </si>
  <si>
    <t>Refund generated incorrectly in some cases</t>
  </si>
  <si>
    <t>CE: Extending corrections delivered via SAP note 1755505</t>
  </si>
  <si>
    <t>Correction to the Note 1753133</t>
  </si>
  <si>
    <t>Incorrect tax when salary increased or decreased within FY</t>
  </si>
  <si>
    <t>E-Separation : Generic Changes</t>
  </si>
  <si>
    <t>ESS: Tax Simplifier Statement Fiscal Year On Payroll Area</t>
  </si>
  <si>
    <t>Advanced Claims-Negative value acceptance at multiple line</t>
  </si>
  <si>
    <t>Alignment Issue in Mail Text - Advanced Claims</t>
  </si>
  <si>
    <t>E-Separation: Stage start time not as per configuration</t>
  </si>
  <si>
    <t>LC2012: Life Insurance Exemption Revision Phase 3</t>
  </si>
  <si>
    <t>HR-RU: CIA-Field 'Nationality' for Foreigners in output form</t>
  </si>
  <si>
    <t>2-NDFL: non-required empty pages are generated</t>
  </si>
  <si>
    <t>HR-RU: CE: Incorrect import of off-cycle run in regular run</t>
  </si>
  <si>
    <t>HR-RU: exception CX_SY_CONVERSION_OVERFLOW in function RUPRI</t>
  </si>
  <si>
    <t>Corrections to Online W-2: Wave 5</t>
  </si>
  <si>
    <t>PS0017 - hiding fields</t>
  </si>
  <si>
    <t>ESS - 'Review &amp; Send', sum amount is not display</t>
  </si>
  <si>
    <t>XX-CSC-RU</t>
  </si>
  <si>
    <t>Russia</t>
  </si>
  <si>
    <t>XX-CSC-RU-TV</t>
  </si>
  <si>
    <t>Error in creating Expense Report based on Travel Request</t>
  </si>
  <si>
    <t>Rate in Expense form for foreign payment</t>
  </si>
  <si>
    <t>SAPK-60615</t>
  </si>
  <si>
    <t>Team viewer cache is valid for only one day</t>
  </si>
  <si>
    <t>IS</t>
  </si>
  <si>
    <t>Industry-Specific Components</t>
  </si>
  <si>
    <t>IS-DFS</t>
  </si>
  <si>
    <t>Industry-Spec. Comp. Defense Forces and Public Security</t>
  </si>
  <si>
    <t>IS-DFS-OF</t>
  </si>
  <si>
    <t>Organizational Flexibility</t>
  </si>
  <si>
    <t>IS-DFS-OF-FOR</t>
  </si>
  <si>
    <t>Force Element</t>
  </si>
  <si>
    <t>ISDFPS: Adding infotype 1039 to the workbench</t>
  </si>
  <si>
    <t>[AR] Documentation: Social Insurance Another Employer</t>
  </si>
  <si>
    <t>IT 0527: Abrechnen bis wird ohne Grundlagen nicht gefüllt</t>
  </si>
  <si>
    <t>Infotyp 527: Anlegen nicht möglich bei Pensionierung</t>
  </si>
  <si>
    <t>IT0367: Abmeldung Grund 30 nicht von GKK akzeptiert</t>
  </si>
  <si>
    <t>Pensioner's infotype (504) field ENDVA mixed up</t>
  </si>
  <si>
    <t>IT0661: Days of notice period maintained when not applicable</t>
  </si>
  <si>
    <t>Contribution area field changed in Infotype 3532 enhancement</t>
  </si>
  <si>
    <t>SI: Reduced memory requirement during notification retrieval</t>
  </si>
  <si>
    <t>IT 272 Garnishment: currency not always checked</t>
  </si>
  <si>
    <t>TNM: additional fix for event cancellation</t>
  </si>
  <si>
    <t>TNM: additional fix for 2483 background printing</t>
  </si>
  <si>
    <t>TNM: select one TN for every courses of a curriculum</t>
  </si>
  <si>
    <t>Fixing translation issues in TNM</t>
  </si>
  <si>
    <t>Text label is the cost category in search help</t>
  </si>
  <si>
    <t>TNM: additional fix for method CHECK_EVENT_ATTENDANCE</t>
  </si>
  <si>
    <t>PY-IE:IT0386(VHI) Rounding issues</t>
  </si>
  <si>
    <t>Issues in WD ABAP ESS PDF PCB2(II) and EA form</t>
  </si>
  <si>
    <t>Pension Return to APG: Changes in documentation</t>
  </si>
  <si>
    <t>EIR: RPTZKMN3 has wrong statistics</t>
  </si>
  <si>
    <t>EIR: BAdI HR_NL_EIR_IT3250, logging of IT2001</t>
  </si>
  <si>
    <t>English description of infotype 0879 changed</t>
  </si>
  <si>
    <t>Electronic Notific. of Illn. and Rec.: Corrections</t>
  </si>
  <si>
    <t>Pension Return to APG: Searchhelp for system change table</t>
  </si>
  <si>
    <t>Enhancement in RPUPAV00 for Qatar</t>
  </si>
  <si>
    <t>Correction for report RPUPAV00 for Qatar</t>
  </si>
  <si>
    <t>HR-RU: Log for report HRULT61 is incorrect</t>
  </si>
  <si>
    <t>HR-RU: 4FSS in mode 'Application for Alloc.Fund'-Org. Params</t>
  </si>
  <si>
    <t>Employee name in reports ADV-1, ADV-2, ADV-8-1</t>
  </si>
  <si>
    <t>HR-RU: Performance issue in group orders management</t>
  </si>
  <si>
    <t>ADV-6-2: wrong reporting period</t>
  </si>
  <si>
    <t>Vacation prolongation issues after Note 1723576</t>
  </si>
  <si>
    <t>IT0755: Field 'Details of Debt' stores only 72 characters</t>
  </si>
  <si>
    <t>PA-PA-SG: No lock indicator in the overview screen of IT0179</t>
  </si>
  <si>
    <t>Short dump error while changing tax type attrib. in IT0235</t>
  </si>
  <si>
    <t>PA-PA-US-CE</t>
  </si>
  <si>
    <t>Concurrent Employment - Personnel Administration USA</t>
  </si>
  <si>
    <t>USCLM: Copy function not working in IT0909 for CE</t>
  </si>
  <si>
    <t>Pension equalization payment: New version of statement V31</t>
  </si>
  <si>
    <t>BAV: Pension equalization payment f. registered partnerships</t>
  </si>
  <si>
    <t>PE-IN</t>
  </si>
  <si>
    <t>Integration</t>
  </si>
  <si>
    <t>PE-IN-BU</t>
  </si>
  <si>
    <t>Budget Management</t>
  </si>
  <si>
    <t>In PVBA only one budget unit is considered for org unit</t>
  </si>
  <si>
    <t>PE-LSO-TM-IN</t>
  </si>
  <si>
    <t>LSO:Purchase requisition is not deleted when order cancelled</t>
  </si>
  <si>
    <t>PE-RPL</t>
  </si>
  <si>
    <t>Room Reservations Management</t>
  </si>
  <si>
    <t>Room reservation mgmt does not consider factory calendar</t>
  </si>
  <si>
    <t>Syntax error in programs of package PP05</t>
  </si>
  <si>
    <t>PP61: Infospalten bleiben nach Laden leer</t>
  </si>
  <si>
    <t>Excel erscheint nicht als Druckoption bei Nutzung von BDS</t>
  </si>
  <si>
    <t>PT-SP-PS</t>
  </si>
  <si>
    <t>Shift Planning Public Sector</t>
  </si>
  <si>
    <t>Incorrect calculation of the change or shift bonus</t>
  </si>
  <si>
    <t>[AR] Alternative form for "Certificación de Servicios&amp;q</t>
  </si>
  <si>
    <t>[AR] Withholding Limit exceeded on off-cycle</t>
  </si>
  <si>
    <t>[AR] Update Min. &amp; Max. Social Insurance for SUSS - Sep/</t>
  </si>
  <si>
    <t>[AR] Another Employer - Misreading in infotype 0392</t>
  </si>
  <si>
    <t>Einkommensbericht: Integration Abrechnung</t>
  </si>
  <si>
    <t>UEKV: Abbrüche und tiefe Rückrechnung während der Simulation</t>
  </si>
  <si>
    <t>UEKV: Fehler bei rückwirkender Änderung von Bezügen</t>
  </si>
  <si>
    <t>AT:Parameter SWPB zu Funktion P0042</t>
  </si>
  <si>
    <t>RPCABFA2: Eintrittsdatum nicht aus IT0041 übersteuerbar</t>
  </si>
  <si>
    <t>RPCSVBA2: IE-Beitrag wird bei Rollung doppelt verrechnet</t>
  </si>
  <si>
    <t>Pfändung: Abbruch ohne Fehlermeldung</t>
  </si>
  <si>
    <t>PCALZ:Split des normalen Lohnzettel SV wegen Auslandspension</t>
  </si>
  <si>
    <t>SGC fund qrtrly limit includes earnings in excluded period</t>
  </si>
  <si>
    <t>Leave loading processing according to payment date</t>
  </si>
  <si>
    <t>Back bay from across Fin Yr is not added to /LGT</t>
  </si>
  <si>
    <t>Number field is populated for Backpay taxation.</t>
  </si>
  <si>
    <t>Incorrect generation of table C1 in QLVPR for some scenarios</t>
  </si>
  <si>
    <t>Super incorrect in case of splits for Emp. between 65 and 75</t>
  </si>
  <si>
    <t>Wage type /LGB missing in case of net negative XFY payments</t>
  </si>
  <si>
    <t>DmfA - Occupation Start Date in case of allowances</t>
  </si>
  <si>
    <t>DmfA: Decavaa - incomplete month only a non-working day</t>
  </si>
  <si>
    <t>DmfA &amp; Dimona: Consistent Steps for B2A Processes</t>
  </si>
  <si>
    <t>NON resident Administrator free from SI - Tax is false</t>
  </si>
  <si>
    <t>Dismissal-Taxable Exempt.-Currency added to WageTypes</t>
  </si>
  <si>
    <t>DMFA: Company car substituted while permanent concurrent car</t>
  </si>
  <si>
    <t>RPTGENB0: Worker hired under RPI status</t>
  </si>
  <si>
    <t>SI contribution : BAdI to decide if employee is relevant</t>
  </si>
  <si>
    <t>DmfA: CAPELO Full Time Career Interruption</t>
  </si>
  <si>
    <t>DmfA: proposed xml file name in test mode</t>
  </si>
  <si>
    <t>No retrocalculation triggered in case of 0007/0107 changes</t>
  </si>
  <si>
    <t>Work Bonus - Split Assignment</t>
  </si>
  <si>
    <t>BELCOTAX: Preparation for Year 2013</t>
  </si>
  <si>
    <t>No PrCl70 value for /124, /125, /126, /127 &amp; /128</t>
  </si>
  <si>
    <t>BAdI Call not correct as of release 6.00</t>
  </si>
  <si>
    <t>DMUP DmfA Update: runtime error</t>
  </si>
  <si>
    <t>Admninstrators (RSZSP=21) - Taxreduction not taken into acco</t>
  </si>
  <si>
    <t>BELCOTAX: XML download corrections</t>
  </si>
  <si>
    <t>Fiche 281.10 - Zone 2031 - Texts not displayed in DE &amp; E</t>
  </si>
  <si>
    <t>Tax reduction: Group Insurance /160 and SI split</t>
  </si>
  <si>
    <t>DmfA/DmfAPPL - Legal Changes 2012 Q3</t>
  </si>
  <si>
    <t>Payroll stops - P0107-RFSCH contains an invalid workschedule</t>
  </si>
  <si>
    <t>BELCOTAX: Entry/leaving dates for org. reassignment II</t>
  </si>
  <si>
    <t>Work Bonus - Split Assignment - /30M Base clarificaton</t>
  </si>
  <si>
    <t>Dimona Students: Double and update of planned days</t>
  </si>
  <si>
    <t>Social Risk : Additional date fields in SET_CALLBACK_DATE</t>
  </si>
  <si>
    <t>Activa - Wrong entry in tabel T5F99FC after HR SP</t>
  </si>
  <si>
    <t>SOCIAL BALANCE: Entry and Leave dates corrections</t>
  </si>
  <si>
    <t>Social Risk Declaration: UN05 Form with End-to-End process</t>
  </si>
  <si>
    <t>DmfA: Dismissed after full time career interruption</t>
  </si>
  <si>
    <t>BELCOTAX: Printout language corrections</t>
  </si>
  <si>
    <t>Dimona: Duplicate Prevention - Declaration Type incorrect</t>
  </si>
  <si>
    <t>DmfA/DmfAPPL: Legal Changes 2012 Q3 - CAPELO</t>
  </si>
  <si>
    <t>MANAD: Employees transfered not displayed</t>
  </si>
  <si>
    <t>HBRPAYR0: Classification of absences</t>
  </si>
  <si>
    <t>IT0437: more than one record not allowed in the same period</t>
  </si>
  <si>
    <t>HomologNet: Trade union code generated wrongly</t>
  </si>
  <si>
    <t>HBRRTER3: No multilevel format for fields 56, 64 and 66</t>
  </si>
  <si>
    <t>YE11 : Double reporting due to QC tax levy wagetype</t>
  </si>
  <si>
    <t>TAX:Incorrect WCB accessible earning in case of carryforward</t>
  </si>
  <si>
    <t>TAX: Manitoba PST now based on Prov. Of Residence</t>
  </si>
  <si>
    <t>Pre-Delivery of customizing for YE12</t>
  </si>
  <si>
    <t>ROE: Export file format change from BLK to XML enablement</t>
  </si>
  <si>
    <t>WHT VD: EMP-ACI: RPLQSTC0 - Concurrent employment</t>
  </si>
  <si>
    <t>WHT VD: EMP-ACI: Unnecessary LCs in messages</t>
  </si>
  <si>
    <t>CH: Error in report documentation RPLIKAC2</t>
  </si>
  <si>
    <t>HR-CH: Wage statement (RPLLAWC2) comment text cum. wage type</t>
  </si>
  <si>
    <t>CH: Documentation for BAdI for maternity pay</t>
  </si>
  <si>
    <t>Title for B2A Manager adjusted</t>
  </si>
  <si>
    <t>WHT VD: EMP-ACI: Incorrect message text for error C7</t>
  </si>
  <si>
    <t>[CL] Documentation: APVC, Voluntary Affiliate, Fam.Allowance</t>
  </si>
  <si>
    <t>[CL] Update Factor - Income Certif. update for 2011</t>
  </si>
  <si>
    <t>Enhancement of Tax Reduction for Tax Amount Less Than 1 yuan</t>
  </si>
  <si>
    <t>ETNotif./ETStmt: Quering certificate information with SAP BC</t>
  </si>
  <si>
    <t>ELStAM: Adjustments for production startup</t>
  </si>
  <si>
    <t>SI: Composite SAP Note data exchange 6/2012</t>
  </si>
  <si>
    <t>SKV: Änderungen Sozialkassenverfahren 6</t>
  </si>
  <si>
    <t>Gross wage with guaranteed net amount: Coding /5A+ and /5B+</t>
  </si>
  <si>
    <t>DEUEV(UVMG): Corrections XVII</t>
  </si>
  <si>
    <t>DEÜV: Änderungen im Kernprüfprogramm zum 01.12.2012</t>
  </si>
  <si>
    <t>ELENA: Error when deleting process numbers in IT 13</t>
  </si>
  <si>
    <t>EEL: Corrections and enhancements (10/2012)</t>
  </si>
  <si>
    <t>ZMV: Health ins. fund notif. processed but no IT0013 change</t>
  </si>
  <si>
    <t>Prohibited activities: Future changes incorrectly included</t>
  </si>
  <si>
    <t>Term. in retro. acctg of maternity protect./prohib. activity</t>
  </si>
  <si>
    <t>Prohibited Activities: Incorrect SI Employer Contributions</t>
  </si>
  <si>
    <t>Runtime error for notional net calc. (for example, for EEL)</t>
  </si>
  <si>
    <t>Principle of origin: Deductions and tax calculation</t>
  </si>
  <si>
    <t>Check annual income limit, HI: Corrections (4)</t>
  </si>
  <si>
    <t>Comparison calculation for PI increase during sick pay</t>
  </si>
  <si>
    <t>Disrupt. event at start of remuneratn conv in exemptn phase</t>
  </si>
  <si>
    <t>ZV-Hinzurechnungsbeträge im SV-Wertguthaben</t>
  </si>
  <si>
    <t>ELStAM: Advance corrections</t>
  </si>
  <si>
    <t>Nachricht 5Z/831 nicht vorhanden</t>
  </si>
  <si>
    <t>Personalstatistik: EF18 und EF19 für Land Hessen</t>
  </si>
  <si>
    <t>Personnel level statistics: RESEARCH statistics 2012</t>
  </si>
  <si>
    <t>RPLRZAD0: Währung zum Betragsfeld Ruh. Rententeil fehlt</t>
  </si>
  <si>
    <t>Zuschuss MuSchG: Einmalzahlungen mit T512C-Aufteilung</t>
  </si>
  <si>
    <t>TV FlexAZ / TV Bund: Dynamisierung der Wertguthaben</t>
  </si>
  <si>
    <t>Personnel statistics: Correction for field EF 18</t>
  </si>
  <si>
    <t>Initialisierungsfehler im FB HR_FUNKTION_DOUKA_ORT</t>
  </si>
  <si>
    <t>Falsche Berücksichtigung Märzklausel für Einmalzahlungen</t>
  </si>
  <si>
    <t>Fehlermeldung beim Löschen von leeren Buchungsläufen</t>
  </si>
  <si>
    <t>Dienstrecht Bayern: Schalttag in Dienstzeitenketten</t>
  </si>
  <si>
    <t>Früherer Dienstherr im Programm RPIDEPBSVAVG_VLTSV_P10_UMS</t>
  </si>
  <si>
    <t>RPLEROD0: Auswertungreport Erstattung von Versorgungsbezügen</t>
  </si>
  <si>
    <t>Laufende Erstattungen nach § 10 VersStaatsV (5)</t>
  </si>
  <si>
    <t>Falsche Dienstzeit aufgrund eines Schalttages</t>
  </si>
  <si>
    <t>Abbruch bei Prüfung Dienstzeiten für Versorgungsabschlag</t>
  </si>
  <si>
    <t>Falsche Sonderzahlung für Anrechnung § 14 Abs. 5 BeamtVG</t>
  </si>
  <si>
    <t>Berücksichtigung inaktiver Zeiten in Dienstzeitengenerierung</t>
  </si>
  <si>
    <t>Laufende Erstattungen nach § 10 VersStaatsV (6)</t>
  </si>
  <si>
    <t>Feld "Beschäftigungsverhältnis" bei Wechsel der ju</t>
  </si>
  <si>
    <t>SV-Beiträge auf LStB ohne SV-Hinz aus Zusatzversorgung</t>
  </si>
  <si>
    <t>Anpassungen für interne Tests</t>
  </si>
  <si>
    <t>Earnings survey: Checking eSTATISTIK.Core ID</t>
  </si>
  <si>
    <t>Workers' comp. wage statement: Corrections III</t>
  </si>
  <si>
    <t>RPLEHAD3: Improvements in log in case of semiretirement</t>
  </si>
  <si>
    <t>RPCEHBD0: Error if incorrect DEUEV data maintenance/IT0020</t>
  </si>
  <si>
    <t>Corrections to statements 10/2012</t>
  </si>
  <si>
    <t>CALC: Wrong daily regulatory base after strike days</t>
  </si>
  <si>
    <t>CALC: Negative amount for /399 wage type after Note 1686430</t>
  </si>
  <si>
    <t>Delt@: New option to generate XML file</t>
  </si>
  <si>
    <t>CPERSONAL: Wrong generation for employee with long absence</t>
  </si>
  <si>
    <t>TC: IT in split with colision of VND and work days part-time</t>
  </si>
  <si>
    <t>CALC: Issue with part-time employee with WPBP split</t>
  </si>
  <si>
    <t>CALC: Incorrect bonification calculation after end of method</t>
  </si>
  <si>
    <t>AFI: issue with filter by STAFI field in the result table</t>
  </si>
  <si>
    <t>Certific@2: Collision of active period in ERE situation</t>
  </si>
  <si>
    <t>190: Wrong Deduc. Certificate with arrears of previous years</t>
  </si>
  <si>
    <t>CRT2: Error with non-taken vacations basis</t>
  </si>
  <si>
    <t>TC: Correction in TC1 form for new ingress employees</t>
  </si>
  <si>
    <t>AFI: Issue with Coef. de actividad for part-time employee</t>
  </si>
  <si>
    <t>TC: Doubled number of hours in additional settlement</t>
  </si>
  <si>
    <t>IGA: Issue on IGA for employees not active the whole month</t>
  </si>
  <si>
    <t>190: Using external data when printing Deduction Certificate</t>
  </si>
  <si>
    <t>BRD: Correction for Legal Guardianship situation on PMEE5</t>
  </si>
  <si>
    <t>RED 06/2012 II</t>
  </si>
  <si>
    <t>GARNT: Incorrect warning message in payroll log</t>
  </si>
  <si>
    <t>190: Wrong text in Datos Económicos ALV</t>
  </si>
  <si>
    <t>CRT2: Wrong CCC association for employees in Periodos Act.</t>
  </si>
  <si>
    <t>190: Misplaced field (exento) in Deduction Certificate</t>
  </si>
  <si>
    <t>190: Overwritten lines in Deduction Certificate</t>
  </si>
  <si>
    <t>Corrections for RED 02/2012 and RED 06/2012</t>
  </si>
  <si>
    <t>Documentation for situation SCD03</t>
  </si>
  <si>
    <t>CL_HRPAYES_PAYROLL_READER class for PY-ES</t>
  </si>
  <si>
    <t>Grace Period for Public Sector France</t>
  </si>
  <si>
    <t>N4DS: Version V01X07 - Delivery I - Sprint XVIII</t>
  </si>
  <si>
    <t>RPCEDTF0: using RECOT fields impacts performance</t>
  </si>
  <si>
    <t>AED: new BAdI</t>
  </si>
  <si>
    <t>AED: B2A process, go back to the previous step</t>
  </si>
  <si>
    <t>N4DS: Version V01X07 - Delivery II - Sprint XIX</t>
  </si>
  <si>
    <t>Error in RPCALCF0: Infotype 0001 incomplete or not existing</t>
  </si>
  <si>
    <t>N4DS: complementary payroll related to relocation allowance</t>
  </si>
  <si>
    <t>AED: Runtime error with exception WERKS_IS_INITIAL</t>
  </si>
  <si>
    <t>Documentation of message HRPAYFR_N4DS063: Correction</t>
  </si>
  <si>
    <t>N4DS - error when saving variant with external files</t>
  </si>
  <si>
    <t>AED: AED statement, fix for two inverted columns</t>
  </si>
  <si>
    <t>Incorrect handling of next levels in promotion process</t>
  </si>
  <si>
    <t>ME RTI fixes for leavers + Retro pensions + payroll area chg</t>
  </si>
  <si>
    <t>RTI - Pre-tax pensions and Net Pensions for starters</t>
  </si>
  <si>
    <t>IT0088:Field 'NI Number' is displayed if RTI is inactive</t>
  </si>
  <si>
    <t>Defaulting of Infotype 0088 Cert.Provided Field</t>
  </si>
  <si>
    <t>Zero Net pay, tax refunds and RTI Net pay incorrect</t>
  </si>
  <si>
    <t>System doesnt accept MPP start date as Mothers death date.</t>
  </si>
  <si>
    <t>Incorrect value in the field 'P45 Item 13' in IT0065</t>
  </si>
  <si>
    <t>School's Work Force:Follow up of note 1750494</t>
  </si>
  <si>
    <t>RTI: TAX deductions for leaver and FPS reporting for leaver</t>
  </si>
  <si>
    <t>RTI: EAS hiring date problem and FPS leaver, pensioner</t>
  </si>
  <si>
    <t>IT0070(CSL):Values of field 'Notif. Source' after RTI</t>
  </si>
  <si>
    <t>Issue: Field in Section F of P11D does not display 0.00</t>
  </si>
  <si>
    <t>MPF Contribution Report_FFS</t>
  </si>
  <si>
    <t>IR56B return multi-page result after upgrade to EhP5</t>
  </si>
  <si>
    <t>ORSO Contirbution for Rehire</t>
  </si>
  <si>
    <t>Coding missing of note 1223461 for program PCTAXHKF in 604</t>
  </si>
  <si>
    <t>Legal Change: PER-31 method for Monthly Tax Calculation</t>
  </si>
  <si>
    <t>PY-ID:Consistency data check for Jamsostek,Private Insurance</t>
  </si>
  <si>
    <t>Issues in Indonesia payroll for Transfer and Rehire cases</t>
  </si>
  <si>
    <t>Issues to ALV and output screen in PRC1 Report</t>
  </si>
  <si>
    <t>Issue with IE End of Year report for unpaid Employees</t>
  </si>
  <si>
    <t>IE P46 Report XML Issues</t>
  </si>
  <si>
    <t>Issue with P45P3 XML for Leavers in 2011</t>
  </si>
  <si>
    <t>PY-IE:P45 Disability Illness Benefit Issues</t>
  </si>
  <si>
    <t>USC Withhold flag Code changes &amp; USC Payroll logs for 20</t>
  </si>
  <si>
    <t>IE P35 EOY XML Changes Version 8</t>
  </si>
  <si>
    <t>Report HIEPRD_DELIMIT_IT3359 not working for FY-2013 [PRD]</t>
  </si>
  <si>
    <t>PY-IE: P60 SAP Script, Adobe and End of year report changes</t>
  </si>
  <si>
    <t>P45 XML issue with Forename and Surname</t>
  </si>
  <si>
    <t>Critical: Corrections to USC Withhold flag/ USC Payroll Logs</t>
  </si>
  <si>
    <t>Dearness Allowance:Multiplication factor up to three decimal</t>
  </si>
  <si>
    <t>Madhya Pradesh Ptax - Alternate options for proration</t>
  </si>
  <si>
    <t>PY-IN:INBTD - Off Cycle Bonus Payment for Sr. Citizens</t>
  </si>
  <si>
    <t>Tax paid by EE and ER to be mapped seperately</t>
  </si>
  <si>
    <t>Form 16: Challan Details Inconsistent When AFY Activated</t>
  </si>
  <si>
    <t>Kerala Panchayat Raj - Professional Tax</t>
  </si>
  <si>
    <t>PY-IN : TAN upload utility not selecting as per company code</t>
  </si>
  <si>
    <t>Form 16: Delimited Sections of Income Tax appears on Form 16</t>
  </si>
  <si>
    <t>Layout corrections for form 16 Script and PDF : 2012</t>
  </si>
  <si>
    <t>F24q inconsistency using BADI "HR_IN_F24Q_TAX_CHECK&amp;quo</t>
  </si>
  <si>
    <t>Non contributing days is exceeding 999 for PF report</t>
  </si>
  <si>
    <t>HR-IT: XNAB Short and linked events issues</t>
  </si>
  <si>
    <t>HR-IT: New managment of absences for Commerce workers</t>
  </si>
  <si>
    <t>HR-IT: XNAB Protected Absence for Temporary Contract</t>
  </si>
  <si>
    <t>HR-IT: ITASS RICA - Reuse of kenn1 - Constant RIC2</t>
  </si>
  <si>
    <t>HR-IT: ITASS RICA with incorrect base for optional maternity</t>
  </si>
  <si>
    <t>HR-IT: Protected Absence between two years</t>
  </si>
  <si>
    <t>HR-IT: New BAdI for ITASS NELO</t>
  </si>
  <si>
    <t>HR-IT: ITASS NELO - Issue with absences without TipoEvento</t>
  </si>
  <si>
    <t>HR-IT: ITASS NELO - Issue with more than one protected event</t>
  </si>
  <si>
    <t>HR-IT: RPUINAIL corrections</t>
  </si>
  <si>
    <t>HR-IT: Uniemens report wrongly filling TipoCopertura field</t>
  </si>
  <si>
    <t>HR-IT: F24 CC - INPS Causale saved in Tax Code field</t>
  </si>
  <si>
    <t>HR-IT: RPCUEXIO refresh button in composition is missing</t>
  </si>
  <si>
    <t>HR-IT: Error in visualization of INPS Table in PC_PAYRESULT</t>
  </si>
  <si>
    <t>HR-IT: Tax on lavoratori di prima occupazione</t>
  </si>
  <si>
    <t>LC2012: Tax System Revision for Income Tax</t>
  </si>
  <si>
    <t>RPCEADJ0: Otsuran EE Skipped When Multiple EE Selected</t>
  </si>
  <si>
    <t>PY-JP-NT</t>
  </si>
  <si>
    <t>PY-JP-NT-NP</t>
  </si>
  <si>
    <t>Non-resident Payroll</t>
  </si>
  <si>
    <t>Incorrect Re-YEA Results Due to Retro Resident Status Change</t>
  </si>
  <si>
    <t>2012LC: Withdrawn of Employee Stock Ownership Plan</t>
  </si>
  <si>
    <t>Correct Determined and Pre-paid Tax in HKRSEPR0 Report</t>
  </si>
  <si>
    <t>Supplemental Employer Premium Truncation Process for EI/WCI</t>
  </si>
  <si>
    <t>LC2012: Simple Tax Table and Special Deduction</t>
  </si>
  <si>
    <t>No Entry in Table T511P for key 41 LDADD&amp;/YWR in Net Pay</t>
  </si>
  <si>
    <t>[MX] Changes in SIRI layout - Annex B</t>
  </si>
  <si>
    <t>[MX] Documentation: IMG activities for Public Sector</t>
  </si>
  <si>
    <t>PY-MX-CE</t>
  </si>
  <si>
    <t>Concurrent Employment - Payroll Mexico</t>
  </si>
  <si>
    <t>[MX] Concurrent Employment (CE) - General Corrections</t>
  </si>
  <si>
    <t>[MX] Service Sheet - Public Sector (FOVISSSTE)</t>
  </si>
  <si>
    <t>SOCSO 8B or Recovery not generating for retroactive payments</t>
  </si>
  <si>
    <t>PY-MY : CP8D - Enable background procesing</t>
  </si>
  <si>
    <t>PY-MY: EPF tax relief when EE Not contributing to Tax</t>
  </si>
  <si>
    <t>PY-MY: LC- Previous year income details in Section B</t>
  </si>
  <si>
    <t>PY-MY: CP22A Legal requirement for 30 days prior reporting</t>
  </si>
  <si>
    <t>PY-NL: Adjustment in ZVW Premium Calculation</t>
  </si>
  <si>
    <t>Aangifte LH: Unexpected WCR Confirmation Required</t>
  </si>
  <si>
    <t>Aangifte LH: Sector Riskgroup not ended, when EE turns 65</t>
  </si>
  <si>
    <t>RPCALCN0: Corrections in GRSUP</t>
  </si>
  <si>
    <t>RPCKTON0/NK03 - Number Income Relations Displayed on Form</t>
  </si>
  <si>
    <t>Elect.Not.Ilness&amp;Recovery: Doc.Customizing activity inco</t>
  </si>
  <si>
    <t>HRNO: Juridical number on the pay slip</t>
  </si>
  <si>
    <t>HRNO: Payroll Issues August 2012</t>
  </si>
  <si>
    <t>HRNO - The basis for percent tax - rounding</t>
  </si>
  <si>
    <t>HRNO: RPURMBV0 - incorrect error message</t>
  </si>
  <si>
    <t>OREF issues September 2012</t>
  </si>
  <si>
    <t>Union deductions - correction of payroll function VTR57</t>
  </si>
  <si>
    <t>Customization for value 'T' in processing class 30</t>
  </si>
  <si>
    <t>SST - Use HR_ENTRY_DATE in Employment Date (ANSVIR)</t>
  </si>
  <si>
    <t>Salary tables valid from 1 May 2012</t>
  </si>
  <si>
    <t>SPK - Support for new pay scale levels valid from 1.5.2012</t>
  </si>
  <si>
    <t>SST - Support for new pay scale levels valid from 1.5.2012</t>
  </si>
  <si>
    <t>SPK - problem with IT0041-VB after note no. 1693983</t>
  </si>
  <si>
    <t>SPK - HR_NOPBS_SPK1-Infotypes modif. [classes &amp; BAdI]</t>
  </si>
  <si>
    <t>SPK - HR_NOPBS_SPK1-Infotypes modif. [SPK source code]   2/2</t>
  </si>
  <si>
    <t>SPK - HR_NOPBS_SPK1-Modific. of customization in SPK runtime</t>
  </si>
  <si>
    <t>Correction to Reading UNFUN Feature in Assignment Grant</t>
  </si>
  <si>
    <t>Corrections to Default Implementation of BAdI HRPADUN_DS</t>
  </si>
  <si>
    <t>IT0016 : Data Cannot be Stored without Rule Series</t>
  </si>
  <si>
    <t>Attribute FAMS2 : System Does not Identify Spouse Dependent</t>
  </si>
  <si>
    <t>Short Dump While Using NPO Specific Screen 2500 for IT1005</t>
  </si>
  <si>
    <t>Annual Leave in Days (Part 1) and Casual Holiday Pay</t>
  </si>
  <si>
    <t>Incorrect number of decimals used for rate in termination</t>
  </si>
  <si>
    <t>PY-NZ : Model Company Changes for Annual Leave in Days</t>
  </si>
  <si>
    <t>PY-NZ: Cashup leaves are not paying at parental leave rate</t>
  </si>
  <si>
    <t>PY-NZ: Incorrect results for HNZLSUM0 and HNZLDET0 reports</t>
  </si>
  <si>
    <t>PY-NZ: Non-taxable Wagetypes</t>
  </si>
  <si>
    <t>PY-NZ:Unable to override Student Loan in correction offcycle</t>
  </si>
  <si>
    <t>Shortdump in Remittance Certificate and Exception Reports</t>
  </si>
  <si>
    <t>PY-NZ: Incorrect ESCT results in the Remittance certificate</t>
  </si>
  <si>
    <t>RPCSSRP0: TemSe is rejected when codes 2 and I are adjusted</t>
  </si>
  <si>
    <t>RPCNRRP0: company code not marked as mandatory</t>
  </si>
  <si>
    <t>RPCIIDP0: wrong values for previous years income declaration</t>
  </si>
  <si>
    <t>RPCSSRP0: Not considering half day in part-time schedule</t>
  </si>
  <si>
    <t>Documentation for Portugal: Payroll, CGA, IRS, memberships</t>
  </si>
  <si>
    <t>Minor improvements for Annual Staff Report</t>
  </si>
  <si>
    <t>SIOE 2012 Biannual information - Correction Package III</t>
  </si>
  <si>
    <t>Global pay increase during vacation, negative adaptation</t>
  </si>
  <si>
    <t>payroll operation RUAPP works incorrectly with empty values</t>
  </si>
  <si>
    <t>Error in Off-cycle loan processing</t>
  </si>
  <si>
    <t>Incorrect processing of absences, linked by SPPE1, in RUOAV</t>
  </si>
  <si>
    <t>HRULPAY2: Add hire-fire dates table where person is active</t>
  </si>
  <si>
    <t>HRSE: REPORT  RPSSBKS0 SCB Economic Cycle Stats</t>
  </si>
  <si>
    <t>VACS table related changes</t>
  </si>
  <si>
    <t>Union dues, IT0057, workers, change of constant values</t>
  </si>
  <si>
    <t>HRSE: RPLTCES0 Section 11 - Part time absence hours</t>
  </si>
  <si>
    <t>RPSSFDS0: Incorrect amount reported in specific case</t>
  </si>
  <si>
    <t>PY-SG:Error Messages not getting refreshed in UICL</t>
  </si>
  <si>
    <t>PY-SG: NRS Report and XML file issues</t>
  </si>
  <si>
    <t>PY-SG: Issues in CPF monthly report</t>
  </si>
  <si>
    <t>Apportion, shortfall and excess CPF calculation methods</t>
  </si>
  <si>
    <t>Rounding of OW and AW in FTP file for private sector report</t>
  </si>
  <si>
    <t>Incorrect OW capping for specific cases</t>
  </si>
  <si>
    <t>HTWCTXW0&amp;HTWCTXM0: Enhancements Related to Foreigners</t>
  </si>
  <si>
    <t>2nd Generation NHI Legal Change Phase1</t>
  </si>
  <si>
    <t>Format of Certificate for LI/NHI Payment (HTWLCE00) Report</t>
  </si>
  <si>
    <t>TR: PDF generation regardless of checkbox selection</t>
  </si>
  <si>
    <t>Year End 2012 Phase I for U.S. Tax Reporter</t>
  </si>
  <si>
    <t>Q3/2012: Functional changes for U.S. Tax Reporter.</t>
  </si>
  <si>
    <t>TR: SUI FL alignment corrections</t>
  </si>
  <si>
    <t>[VE] Additional correction to new Seniority functionality</t>
  </si>
  <si>
    <t>[VE] Seniority payment provision calculation (new LOT)</t>
  </si>
  <si>
    <t>Adjustment of Official Rate of Interest</t>
  </si>
  <si>
    <t>IRP5 :Wage Type /132 in now reflected in SARS Code 3613</t>
  </si>
  <si>
    <t>SARS Code 4150 - Tax zero due to Medical Aid</t>
  </si>
  <si>
    <t>IT3A/IRP5:SARS code 4150 08 all emp, 4116/4115 with zero</t>
  </si>
  <si>
    <t>UIF earnings Limit and UIF Termination Categories</t>
  </si>
  <si>
    <t>Unable to Regenerate IRP5 for an Employee (PC00_M16_CTCF)</t>
  </si>
  <si>
    <t>HRFI: PY rule FI13 Division by zero in valuation basis</t>
  </si>
  <si>
    <t>SAPKE60453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</si>
</sst>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</cellStyleXfs>
  <cellXfs count="3">
    <xf numFmtId="0" fontId="0" fillId="0" borderId="0" xfId="0"/>
    <xf numFmtId="0" fontId="18" fillId="0" borderId="0" xfId="42"/>
    <xf numFmtId="0" fontId="0" fillId="33" borderId="0" xfId="0" applyFill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2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217"/>
  <sheetViews>
    <sheetView tabSelected="1" workbookViewId="0">
      <pane ySplit="1" topLeftCell="A2" activePane="bottomLeft" state="frozen"/>
      <selection pane="bottomLeft"/>
    </sheetView>
  </sheetViews>
  <sheetFormatPr defaultRowHeight="15" x14ac:dyDescent="0.25"/>
  <cols>
    <col min="1" max="1" width="15" customWidth="1"/>
    <col min="2" max="2" width="14.42578125" bestFit="1" customWidth="1"/>
    <col min="3" max="3" width="53.5703125" bestFit="1" customWidth="1"/>
    <col min="4" max="4" width="15.5703125" customWidth="1"/>
    <col min="5" max="5" width="15.7109375" customWidth="1"/>
    <col min="6" max="6" width="61.5703125" bestFit="1" customWidth="1"/>
  </cols>
  <sheetData>
    <row r="1" spans="1:6" x14ac:dyDescent="0.25">
      <c r="A1" t="s">
        <v>211</v>
      </c>
      <c r="B1" t="s">
        <v>0</v>
      </c>
      <c r="C1" t="s">
        <v>1</v>
      </c>
      <c r="D1" t="s">
        <v>2</v>
      </c>
      <c r="E1" t="s">
        <v>3</v>
      </c>
      <c r="F1" t="s">
        <v>4</v>
      </c>
    </row>
    <row r="2" spans="1:6" x14ac:dyDescent="0.25">
      <c r="A2" t="s">
        <v>1133</v>
      </c>
      <c r="B2" t="s">
        <v>5</v>
      </c>
      <c r="C2" t="s">
        <v>6</v>
      </c>
    </row>
    <row r="3" spans="1:6" x14ac:dyDescent="0.25">
      <c r="A3" t="s">
        <v>1133</v>
      </c>
      <c r="B3" t="s">
        <v>7</v>
      </c>
      <c r="C3" t="s">
        <v>8</v>
      </c>
    </row>
    <row r="4" spans="1:6" x14ac:dyDescent="0.25">
      <c r="A4" t="s">
        <v>1133</v>
      </c>
      <c r="B4" t="s">
        <v>13</v>
      </c>
      <c r="C4" t="s">
        <v>14</v>
      </c>
      <c r="D4" t="str">
        <f>HYPERLINK("http://service.sap.com/sap/support/notes/1639240","1639240")</f>
        <v>1639240</v>
      </c>
      <c r="E4">
        <v>1</v>
      </c>
      <c r="F4" t="s">
        <v>815</v>
      </c>
    </row>
    <row r="5" spans="1:6" x14ac:dyDescent="0.25">
      <c r="A5" t="s">
        <v>1133</v>
      </c>
      <c r="B5" t="s">
        <v>13</v>
      </c>
      <c r="C5" t="s">
        <v>14</v>
      </c>
      <c r="D5" t="str">
        <f>HYPERLINK("http://service.sap.com/sap/support/notes/1641654","1641654")</f>
        <v>1641654</v>
      </c>
      <c r="E5">
        <v>1</v>
      </c>
      <c r="F5" t="s">
        <v>816</v>
      </c>
    </row>
    <row r="6" spans="1:6" x14ac:dyDescent="0.25">
      <c r="A6" t="s">
        <v>1133</v>
      </c>
      <c r="B6" t="s">
        <v>220</v>
      </c>
      <c r="C6" t="s">
        <v>435</v>
      </c>
    </row>
    <row r="7" spans="1:6" x14ac:dyDescent="0.25">
      <c r="A7" t="s">
        <v>1133</v>
      </c>
      <c r="B7" t="s">
        <v>436</v>
      </c>
      <c r="C7" t="s">
        <v>437</v>
      </c>
    </row>
    <row r="8" spans="1:6" x14ac:dyDescent="0.25">
      <c r="A8" t="s">
        <v>1133</v>
      </c>
      <c r="B8" t="s">
        <v>637</v>
      </c>
      <c r="C8" t="s">
        <v>638</v>
      </c>
      <c r="D8" t="str">
        <f>HYPERLINK("http://service.sap.com/sap/support/notes/1635713","1635713")</f>
        <v>1635713</v>
      </c>
      <c r="E8">
        <v>1</v>
      </c>
      <c r="F8" t="s">
        <v>817</v>
      </c>
    </row>
    <row r="9" spans="1:6" x14ac:dyDescent="0.25">
      <c r="A9" t="s">
        <v>1133</v>
      </c>
      <c r="B9" t="s">
        <v>542</v>
      </c>
      <c r="C9" t="s">
        <v>543</v>
      </c>
    </row>
    <row r="10" spans="1:6" x14ac:dyDescent="0.25">
      <c r="A10" t="s">
        <v>1133</v>
      </c>
      <c r="B10" t="s">
        <v>544</v>
      </c>
      <c r="C10" t="s">
        <v>545</v>
      </c>
      <c r="D10" t="str">
        <f>HYPERLINK("http://service.sap.com/sap/support/notes/1642429","1642429")</f>
        <v>1642429</v>
      </c>
      <c r="E10">
        <v>1</v>
      </c>
      <c r="F10" t="s">
        <v>818</v>
      </c>
    </row>
    <row r="11" spans="1:6" x14ac:dyDescent="0.25">
      <c r="A11" t="s">
        <v>1133</v>
      </c>
      <c r="B11" t="s">
        <v>21</v>
      </c>
      <c r="C11" t="s">
        <v>12</v>
      </c>
    </row>
    <row r="12" spans="1:6" x14ac:dyDescent="0.25">
      <c r="A12" t="s">
        <v>1133</v>
      </c>
      <c r="B12" t="s">
        <v>29</v>
      </c>
      <c r="C12" t="s">
        <v>30</v>
      </c>
    </row>
    <row r="13" spans="1:6" x14ac:dyDescent="0.25">
      <c r="A13" t="s">
        <v>1133</v>
      </c>
      <c r="B13" t="s">
        <v>33</v>
      </c>
      <c r="C13" t="s">
        <v>34</v>
      </c>
      <c r="D13" t="str">
        <f>HYPERLINK("http://service.sap.com/sap/support/notes/1636852","1636852")</f>
        <v>1636852</v>
      </c>
      <c r="E13">
        <v>1</v>
      </c>
      <c r="F13" t="s">
        <v>819</v>
      </c>
    </row>
    <row r="14" spans="1:6" x14ac:dyDescent="0.25">
      <c r="A14" t="s">
        <v>1133</v>
      </c>
      <c r="B14" t="s">
        <v>33</v>
      </c>
      <c r="C14" t="s">
        <v>34</v>
      </c>
      <c r="D14" t="str">
        <f>HYPERLINK("http://service.sap.com/sap/support/notes/1636875","1636875")</f>
        <v>1636875</v>
      </c>
      <c r="E14">
        <v>2</v>
      </c>
      <c r="F14" t="s">
        <v>820</v>
      </c>
    </row>
    <row r="15" spans="1:6" x14ac:dyDescent="0.25">
      <c r="A15" t="s">
        <v>1133</v>
      </c>
      <c r="B15" t="s">
        <v>674</v>
      </c>
      <c r="C15" t="s">
        <v>92</v>
      </c>
      <c r="D15" t="str">
        <f>HYPERLINK("http://service.sap.com/sap/support/notes/1628309","1628309")</f>
        <v>1628309</v>
      </c>
      <c r="E15">
        <v>2</v>
      </c>
      <c r="F15" t="s">
        <v>821</v>
      </c>
    </row>
    <row r="16" spans="1:6" x14ac:dyDescent="0.25">
      <c r="A16" t="s">
        <v>1133</v>
      </c>
      <c r="B16" t="s">
        <v>251</v>
      </c>
      <c r="C16" t="s">
        <v>99</v>
      </c>
      <c r="D16" t="str">
        <f>HYPERLINK("http://service.sap.com/sap/support/notes/1592626","1592626")</f>
        <v>1592626</v>
      </c>
      <c r="E16">
        <v>3</v>
      </c>
      <c r="F16" t="s">
        <v>822</v>
      </c>
    </row>
    <row r="17" spans="1:6" x14ac:dyDescent="0.25">
      <c r="A17" t="s">
        <v>1133</v>
      </c>
      <c r="B17" t="s">
        <v>251</v>
      </c>
      <c r="C17" t="s">
        <v>99</v>
      </c>
      <c r="D17" t="str">
        <f>HYPERLINK("http://service.sap.com/sap/support/notes/1594172","1594172")</f>
        <v>1594172</v>
      </c>
      <c r="E17">
        <v>4</v>
      </c>
      <c r="F17" t="s">
        <v>823</v>
      </c>
    </row>
    <row r="18" spans="1:6" x14ac:dyDescent="0.25">
      <c r="A18" t="s">
        <v>1133</v>
      </c>
      <c r="B18" t="s">
        <v>251</v>
      </c>
      <c r="C18" t="s">
        <v>99</v>
      </c>
      <c r="D18" t="str">
        <f>HYPERLINK("http://service.sap.com/sap/support/notes/1609022","1609022")</f>
        <v>1609022</v>
      </c>
      <c r="E18">
        <v>2</v>
      </c>
      <c r="F18" t="s">
        <v>824</v>
      </c>
    </row>
    <row r="19" spans="1:6" x14ac:dyDescent="0.25">
      <c r="A19" t="s">
        <v>1133</v>
      </c>
      <c r="B19" t="s">
        <v>41</v>
      </c>
      <c r="C19" t="s">
        <v>42</v>
      </c>
    </row>
    <row r="20" spans="1:6" x14ac:dyDescent="0.25">
      <c r="A20" t="s">
        <v>1133</v>
      </c>
      <c r="B20" t="s">
        <v>43</v>
      </c>
      <c r="C20" t="s">
        <v>44</v>
      </c>
      <c r="D20" t="str">
        <f>HYPERLINK("http://service.sap.com/sap/support/notes/1585340","1585340")</f>
        <v>1585340</v>
      </c>
      <c r="E20">
        <v>2</v>
      </c>
      <c r="F20" t="s">
        <v>825</v>
      </c>
    </row>
    <row r="21" spans="1:6" x14ac:dyDescent="0.25">
      <c r="A21" t="s">
        <v>1133</v>
      </c>
      <c r="B21" t="s">
        <v>43</v>
      </c>
      <c r="C21" t="s">
        <v>44</v>
      </c>
      <c r="D21" t="str">
        <f>HYPERLINK("http://service.sap.com/sap/support/notes/1625336","1625336")</f>
        <v>1625336</v>
      </c>
      <c r="E21">
        <v>2</v>
      </c>
      <c r="F21" t="s">
        <v>826</v>
      </c>
    </row>
    <row r="22" spans="1:6" x14ac:dyDescent="0.25">
      <c r="A22" t="s">
        <v>1133</v>
      </c>
      <c r="B22" t="s">
        <v>43</v>
      </c>
      <c r="C22" t="s">
        <v>44</v>
      </c>
      <c r="D22" t="str">
        <f>HYPERLINK("http://service.sap.com/sap/support/notes/1629666","1629666")</f>
        <v>1629666</v>
      </c>
      <c r="E22">
        <v>1</v>
      </c>
      <c r="F22" t="s">
        <v>827</v>
      </c>
    </row>
    <row r="23" spans="1:6" x14ac:dyDescent="0.25">
      <c r="A23" t="s">
        <v>1133</v>
      </c>
      <c r="B23" t="s">
        <v>43</v>
      </c>
      <c r="C23" t="s">
        <v>44</v>
      </c>
      <c r="D23" t="str">
        <f>HYPERLINK("http://service.sap.com/sap/support/notes/1631939","1631939")</f>
        <v>1631939</v>
      </c>
      <c r="E23">
        <v>1</v>
      </c>
      <c r="F23" t="s">
        <v>828</v>
      </c>
    </row>
    <row r="24" spans="1:6" x14ac:dyDescent="0.25">
      <c r="A24" t="s">
        <v>1133</v>
      </c>
      <c r="B24" t="s">
        <v>43</v>
      </c>
      <c r="C24" t="s">
        <v>44</v>
      </c>
      <c r="D24" t="str">
        <f>HYPERLINK("http://service.sap.com/sap/support/notes/1633747","1633747")</f>
        <v>1633747</v>
      </c>
      <c r="E24">
        <v>2</v>
      </c>
      <c r="F24" t="s">
        <v>829</v>
      </c>
    </row>
    <row r="25" spans="1:6" x14ac:dyDescent="0.25">
      <c r="A25" t="s">
        <v>1133</v>
      </c>
      <c r="B25" t="s">
        <v>43</v>
      </c>
      <c r="C25" t="s">
        <v>44</v>
      </c>
      <c r="D25" t="str">
        <f>HYPERLINK("http://service.sap.com/sap/support/notes/1635289","1635289")</f>
        <v>1635289</v>
      </c>
      <c r="E25">
        <v>1</v>
      </c>
      <c r="F25" t="s">
        <v>830</v>
      </c>
    </row>
    <row r="26" spans="1:6" x14ac:dyDescent="0.25">
      <c r="A26" t="s">
        <v>1133</v>
      </c>
      <c r="B26" t="s">
        <v>43</v>
      </c>
      <c r="C26" t="s">
        <v>44</v>
      </c>
      <c r="D26" t="str">
        <f>HYPERLINK("http://service.sap.com/sap/support/notes/1639027","1639027")</f>
        <v>1639027</v>
      </c>
      <c r="E26">
        <v>2</v>
      </c>
      <c r="F26" t="s">
        <v>831</v>
      </c>
    </row>
    <row r="27" spans="1:6" x14ac:dyDescent="0.25">
      <c r="A27" t="s">
        <v>1133</v>
      </c>
      <c r="B27" t="s">
        <v>43</v>
      </c>
      <c r="C27" t="s">
        <v>44</v>
      </c>
      <c r="D27" t="str">
        <f>HYPERLINK("http://service.sap.com/sap/support/notes/1639135","1639135")</f>
        <v>1639135</v>
      </c>
      <c r="E27">
        <v>1</v>
      </c>
      <c r="F27" t="s">
        <v>832</v>
      </c>
    </row>
    <row r="28" spans="1:6" x14ac:dyDescent="0.25">
      <c r="A28" t="s">
        <v>1133</v>
      </c>
      <c r="B28" t="s">
        <v>43</v>
      </c>
      <c r="C28" t="s">
        <v>44</v>
      </c>
      <c r="D28" t="str">
        <f>HYPERLINK("http://service.sap.com/sap/support/notes/1639165","1639165")</f>
        <v>1639165</v>
      </c>
      <c r="E28">
        <v>2</v>
      </c>
      <c r="F28" t="s">
        <v>833</v>
      </c>
    </row>
    <row r="29" spans="1:6" x14ac:dyDescent="0.25">
      <c r="A29" t="s">
        <v>1133</v>
      </c>
      <c r="B29" t="s">
        <v>43</v>
      </c>
      <c r="C29" t="s">
        <v>44</v>
      </c>
      <c r="D29" t="str">
        <f>HYPERLINK("http://service.sap.com/sap/support/notes/1639652","1639652")</f>
        <v>1639652</v>
      </c>
      <c r="E29">
        <v>1</v>
      </c>
      <c r="F29" t="s">
        <v>834</v>
      </c>
    </row>
    <row r="30" spans="1:6" x14ac:dyDescent="0.25">
      <c r="A30" t="s">
        <v>1133</v>
      </c>
      <c r="B30" t="s">
        <v>43</v>
      </c>
      <c r="C30" t="s">
        <v>44</v>
      </c>
      <c r="D30" t="str">
        <f>HYPERLINK("http://service.sap.com/sap/support/notes/1643174","1643174")</f>
        <v>1643174</v>
      </c>
      <c r="E30">
        <v>1</v>
      </c>
      <c r="F30" t="s">
        <v>835</v>
      </c>
    </row>
    <row r="31" spans="1:6" x14ac:dyDescent="0.25">
      <c r="A31" t="s">
        <v>1133</v>
      </c>
      <c r="B31" t="s">
        <v>51</v>
      </c>
      <c r="C31" t="s">
        <v>52</v>
      </c>
      <c r="D31" t="str">
        <f>HYPERLINK("http://service.sap.com/sap/support/notes/1636522","1636522")</f>
        <v>1636522</v>
      </c>
      <c r="E31">
        <v>4</v>
      </c>
      <c r="F31" t="s">
        <v>836</v>
      </c>
    </row>
    <row r="32" spans="1:6" x14ac:dyDescent="0.25">
      <c r="A32" t="s">
        <v>1133</v>
      </c>
      <c r="B32" t="s">
        <v>51</v>
      </c>
      <c r="C32" t="s">
        <v>52</v>
      </c>
      <c r="D32" t="str">
        <f>HYPERLINK("http://service.sap.com/sap/support/notes/1640927","1640927")</f>
        <v>1640927</v>
      </c>
      <c r="E32">
        <v>2</v>
      </c>
      <c r="F32" t="s">
        <v>837</v>
      </c>
    </row>
    <row r="33" spans="1:6" x14ac:dyDescent="0.25">
      <c r="A33" t="s">
        <v>1133</v>
      </c>
      <c r="B33" t="s">
        <v>53</v>
      </c>
      <c r="C33" t="s">
        <v>54</v>
      </c>
      <c r="D33" t="str">
        <f>HYPERLINK("http://service.sap.com/sap/support/notes/1635496","1635496")</f>
        <v>1635496</v>
      </c>
      <c r="E33">
        <v>2</v>
      </c>
      <c r="F33" t="s">
        <v>838</v>
      </c>
    </row>
    <row r="34" spans="1:6" x14ac:dyDescent="0.25">
      <c r="A34" t="s">
        <v>1133</v>
      </c>
      <c r="B34" t="s">
        <v>839</v>
      </c>
      <c r="C34" t="s">
        <v>160</v>
      </c>
      <c r="D34" t="str">
        <f>HYPERLINK("http://service.sap.com/sap/support/notes/1635261","1635261")</f>
        <v>1635261</v>
      </c>
      <c r="E34">
        <v>3</v>
      </c>
      <c r="F34" t="s">
        <v>840</v>
      </c>
    </row>
    <row r="35" spans="1:6" x14ac:dyDescent="0.25">
      <c r="A35" t="s">
        <v>1133</v>
      </c>
      <c r="B35" t="s">
        <v>55</v>
      </c>
      <c r="C35" t="s">
        <v>56</v>
      </c>
      <c r="D35" t="str">
        <f>HYPERLINK("http://service.sap.com/sap/support/notes/1634095","1634095")</f>
        <v>1634095</v>
      </c>
      <c r="E35">
        <v>1</v>
      </c>
      <c r="F35" t="s">
        <v>841</v>
      </c>
    </row>
    <row r="36" spans="1:6" x14ac:dyDescent="0.25">
      <c r="A36" t="s">
        <v>1133</v>
      </c>
      <c r="B36" t="s">
        <v>55</v>
      </c>
      <c r="C36" t="s">
        <v>56</v>
      </c>
      <c r="D36" t="str">
        <f>HYPERLINK("http://service.sap.com/sap/support/notes/1635524","1635524")</f>
        <v>1635524</v>
      </c>
      <c r="E36">
        <v>1</v>
      </c>
      <c r="F36" t="s">
        <v>842</v>
      </c>
    </row>
    <row r="37" spans="1:6" x14ac:dyDescent="0.25">
      <c r="A37" t="s">
        <v>1133</v>
      </c>
      <c r="B37" t="s">
        <v>256</v>
      </c>
      <c r="C37" t="s">
        <v>165</v>
      </c>
      <c r="D37" t="str">
        <f>HYPERLINK("http://service.sap.com/sap/support/notes/1618326","1618326")</f>
        <v>1618326</v>
      </c>
      <c r="E37">
        <v>2</v>
      </c>
      <c r="F37" t="s">
        <v>843</v>
      </c>
    </row>
    <row r="38" spans="1:6" x14ac:dyDescent="0.25">
      <c r="A38" t="s">
        <v>1133</v>
      </c>
      <c r="B38" t="s">
        <v>256</v>
      </c>
      <c r="C38" t="s">
        <v>165</v>
      </c>
      <c r="D38" t="str">
        <f>HYPERLINK("http://service.sap.com/sap/support/notes/1635225","1635225")</f>
        <v>1635225</v>
      </c>
      <c r="E38">
        <v>1</v>
      </c>
      <c r="F38" t="s">
        <v>844</v>
      </c>
    </row>
    <row r="39" spans="1:6" x14ac:dyDescent="0.25">
      <c r="A39" t="s">
        <v>1133</v>
      </c>
      <c r="B39" t="s">
        <v>256</v>
      </c>
      <c r="C39" t="s">
        <v>165</v>
      </c>
      <c r="D39" t="str">
        <f>HYPERLINK("http://service.sap.com/sap/support/notes/1638684","1638684")</f>
        <v>1638684</v>
      </c>
      <c r="E39">
        <v>1</v>
      </c>
      <c r="F39" t="s">
        <v>845</v>
      </c>
    </row>
    <row r="40" spans="1:6" x14ac:dyDescent="0.25">
      <c r="A40" t="s">
        <v>1133</v>
      </c>
      <c r="B40" t="s">
        <v>256</v>
      </c>
      <c r="C40" t="s">
        <v>165</v>
      </c>
      <c r="D40" t="str">
        <f>HYPERLINK("http://service.sap.com/sap/support/notes/1644053","1644053")</f>
        <v>1644053</v>
      </c>
      <c r="E40">
        <v>1</v>
      </c>
      <c r="F40" t="s">
        <v>846</v>
      </c>
    </row>
    <row r="41" spans="1:6" x14ac:dyDescent="0.25">
      <c r="A41" t="s">
        <v>1133</v>
      </c>
      <c r="B41" t="s">
        <v>57</v>
      </c>
      <c r="C41" t="s">
        <v>58</v>
      </c>
      <c r="D41" t="str">
        <f>HYPERLINK("http://service.sap.com/sap/support/notes/1634683","1634683")</f>
        <v>1634683</v>
      </c>
      <c r="E41">
        <v>2</v>
      </c>
      <c r="F41" t="s">
        <v>799</v>
      </c>
    </row>
    <row r="42" spans="1:6" x14ac:dyDescent="0.25">
      <c r="A42" t="s">
        <v>1133</v>
      </c>
      <c r="B42" t="s">
        <v>57</v>
      </c>
      <c r="C42" t="s">
        <v>58</v>
      </c>
      <c r="D42" t="str">
        <f>HYPERLINK("http://service.sap.com/sap/support/notes/1635676","1635676")</f>
        <v>1635676</v>
      </c>
      <c r="E42">
        <v>1</v>
      </c>
      <c r="F42" t="s">
        <v>847</v>
      </c>
    </row>
    <row r="43" spans="1:6" x14ac:dyDescent="0.25">
      <c r="A43" t="s">
        <v>1133</v>
      </c>
      <c r="B43" t="s">
        <v>57</v>
      </c>
      <c r="C43" t="s">
        <v>58</v>
      </c>
      <c r="D43" t="str">
        <f>HYPERLINK("http://service.sap.com/sap/support/notes/1637723","1637723")</f>
        <v>1637723</v>
      </c>
      <c r="E43">
        <v>2</v>
      </c>
      <c r="F43" t="s">
        <v>848</v>
      </c>
    </row>
    <row r="44" spans="1:6" x14ac:dyDescent="0.25">
      <c r="A44" t="s">
        <v>1133</v>
      </c>
      <c r="B44" t="s">
        <v>57</v>
      </c>
      <c r="C44" t="s">
        <v>58</v>
      </c>
      <c r="D44" t="str">
        <f>HYPERLINK("http://service.sap.com/sap/support/notes/1639654","1639654")</f>
        <v>1639654</v>
      </c>
      <c r="E44">
        <v>1</v>
      </c>
      <c r="F44" t="s">
        <v>849</v>
      </c>
    </row>
    <row r="45" spans="1:6" x14ac:dyDescent="0.25">
      <c r="A45" t="s">
        <v>1133</v>
      </c>
      <c r="B45" t="s">
        <v>57</v>
      </c>
      <c r="C45" t="s">
        <v>58</v>
      </c>
      <c r="D45" t="str">
        <f>HYPERLINK("http://service.sap.com/sap/support/notes/1640117","1640117")</f>
        <v>1640117</v>
      </c>
      <c r="E45">
        <v>3</v>
      </c>
      <c r="F45" t="s">
        <v>850</v>
      </c>
    </row>
    <row r="46" spans="1:6" x14ac:dyDescent="0.25">
      <c r="A46" t="s">
        <v>1133</v>
      </c>
      <c r="B46" t="s">
        <v>59</v>
      </c>
      <c r="C46" t="s">
        <v>60</v>
      </c>
      <c r="D46" t="str">
        <f>HYPERLINK("http://service.sap.com/sap/support/notes/1544201","1544201")</f>
        <v>1544201</v>
      </c>
      <c r="E46">
        <v>4</v>
      </c>
      <c r="F46" t="s">
        <v>851</v>
      </c>
    </row>
    <row r="47" spans="1:6" x14ac:dyDescent="0.25">
      <c r="A47" t="s">
        <v>1133</v>
      </c>
      <c r="B47" t="s">
        <v>66</v>
      </c>
      <c r="C47" t="s">
        <v>67</v>
      </c>
    </row>
    <row r="48" spans="1:6" x14ac:dyDescent="0.25">
      <c r="A48" t="s">
        <v>1133</v>
      </c>
      <c r="B48" t="s">
        <v>70</v>
      </c>
      <c r="C48" t="s">
        <v>71</v>
      </c>
      <c r="D48" t="str">
        <f>HYPERLINK("http://service.sap.com/sap/support/notes/1615567","1615567")</f>
        <v>1615567</v>
      </c>
      <c r="E48">
        <v>1</v>
      </c>
      <c r="F48" t="s">
        <v>852</v>
      </c>
    </row>
    <row r="49" spans="1:6" x14ac:dyDescent="0.25">
      <c r="A49" t="s">
        <v>1133</v>
      </c>
      <c r="B49" t="s">
        <v>72</v>
      </c>
      <c r="C49" t="s">
        <v>73</v>
      </c>
    </row>
    <row r="50" spans="1:6" x14ac:dyDescent="0.25">
      <c r="A50" t="s">
        <v>1133</v>
      </c>
      <c r="B50" t="s">
        <v>364</v>
      </c>
      <c r="C50" t="s">
        <v>365</v>
      </c>
      <c r="D50" t="str">
        <f>HYPERLINK("http://service.sap.com/sap/support/notes/1591367","1591367")</f>
        <v>1591367</v>
      </c>
      <c r="E50">
        <v>10</v>
      </c>
      <c r="F50" t="s">
        <v>853</v>
      </c>
    </row>
    <row r="51" spans="1:6" x14ac:dyDescent="0.25">
      <c r="A51" t="s">
        <v>1133</v>
      </c>
      <c r="B51" t="s">
        <v>284</v>
      </c>
      <c r="C51" t="s">
        <v>393</v>
      </c>
    </row>
    <row r="52" spans="1:6" x14ac:dyDescent="0.25">
      <c r="A52" t="s">
        <v>1133</v>
      </c>
      <c r="B52" t="s">
        <v>293</v>
      </c>
      <c r="C52" t="s">
        <v>587</v>
      </c>
      <c r="D52" t="str">
        <f>HYPERLINK("http://service.sap.com/sap/support/notes/1637160","1637160")</f>
        <v>1637160</v>
      </c>
      <c r="E52">
        <v>1</v>
      </c>
      <c r="F52" t="s">
        <v>854</v>
      </c>
    </row>
    <row r="53" spans="1:6" x14ac:dyDescent="0.25">
      <c r="A53" t="s">
        <v>1133</v>
      </c>
      <c r="B53" t="s">
        <v>298</v>
      </c>
      <c r="C53" t="s">
        <v>588</v>
      </c>
    </row>
    <row r="54" spans="1:6" x14ac:dyDescent="0.25">
      <c r="A54" t="s">
        <v>1133</v>
      </c>
      <c r="B54" t="s">
        <v>589</v>
      </c>
      <c r="C54" t="s">
        <v>443</v>
      </c>
      <c r="D54" t="str">
        <f>HYPERLINK("http://service.sap.com/sap/support/notes/1600530","1600530")</f>
        <v>1600530</v>
      </c>
      <c r="E54">
        <v>1</v>
      </c>
      <c r="F54" t="s">
        <v>855</v>
      </c>
    </row>
    <row r="55" spans="1:6" x14ac:dyDescent="0.25">
      <c r="A55" t="s">
        <v>1133</v>
      </c>
      <c r="B55" t="s">
        <v>301</v>
      </c>
      <c r="C55" t="s">
        <v>302</v>
      </c>
      <c r="D55" t="str">
        <f>HYPERLINK("http://service.sap.com/sap/support/notes/1628665","1628665")</f>
        <v>1628665</v>
      </c>
      <c r="E55">
        <v>2</v>
      </c>
      <c r="F55" t="s">
        <v>856</v>
      </c>
    </row>
    <row r="56" spans="1:6" x14ac:dyDescent="0.25">
      <c r="A56" t="s">
        <v>1133</v>
      </c>
      <c r="B56" t="s">
        <v>76</v>
      </c>
      <c r="C56" t="s">
        <v>77</v>
      </c>
    </row>
    <row r="57" spans="1:6" x14ac:dyDescent="0.25">
      <c r="A57" t="s">
        <v>1133</v>
      </c>
      <c r="B57" t="s">
        <v>78</v>
      </c>
      <c r="C57" t="s">
        <v>79</v>
      </c>
      <c r="D57" t="str">
        <f>HYPERLINK("http://service.sap.com/sap/support/notes/1535126","1535126")</f>
        <v>1535126</v>
      </c>
      <c r="E57">
        <v>2</v>
      </c>
      <c r="F57" t="s">
        <v>857</v>
      </c>
    </row>
    <row r="58" spans="1:6" x14ac:dyDescent="0.25">
      <c r="A58" t="s">
        <v>1133</v>
      </c>
      <c r="B58" t="s">
        <v>78</v>
      </c>
      <c r="C58" t="s">
        <v>79</v>
      </c>
      <c r="D58" t="str">
        <f>HYPERLINK("http://service.sap.com/sap/support/notes/1584551","1584551")</f>
        <v>1584551</v>
      </c>
      <c r="E58">
        <v>2</v>
      </c>
      <c r="F58" t="s">
        <v>858</v>
      </c>
    </row>
    <row r="59" spans="1:6" x14ac:dyDescent="0.25">
      <c r="A59" t="s">
        <v>1133</v>
      </c>
      <c r="B59" t="s">
        <v>78</v>
      </c>
      <c r="C59" t="s">
        <v>79</v>
      </c>
      <c r="D59" t="str">
        <f>HYPERLINK("http://service.sap.com/sap/support/notes/1590528","1590528")</f>
        <v>1590528</v>
      </c>
      <c r="E59">
        <v>5</v>
      </c>
      <c r="F59" t="s">
        <v>859</v>
      </c>
    </row>
    <row r="60" spans="1:6" x14ac:dyDescent="0.25">
      <c r="A60" t="s">
        <v>1133</v>
      </c>
      <c r="B60" t="s">
        <v>78</v>
      </c>
      <c r="C60" t="s">
        <v>79</v>
      </c>
      <c r="D60" t="str">
        <f>HYPERLINK("http://service.sap.com/sap/support/notes/1605727","1605727")</f>
        <v>1605727</v>
      </c>
      <c r="E60">
        <v>2</v>
      </c>
      <c r="F60" t="s">
        <v>860</v>
      </c>
    </row>
    <row r="61" spans="1:6" x14ac:dyDescent="0.25">
      <c r="A61" t="s">
        <v>1133</v>
      </c>
      <c r="B61" t="s">
        <v>78</v>
      </c>
      <c r="C61" t="s">
        <v>79</v>
      </c>
      <c r="D61" t="str">
        <f>HYPERLINK("http://service.sap.com/sap/support/notes/1622908","1622908")</f>
        <v>1622908</v>
      </c>
      <c r="E61">
        <v>5</v>
      </c>
      <c r="F61" t="s">
        <v>861</v>
      </c>
    </row>
    <row r="62" spans="1:6" x14ac:dyDescent="0.25">
      <c r="A62" t="s">
        <v>1133</v>
      </c>
      <c r="B62" t="s">
        <v>78</v>
      </c>
      <c r="C62" t="s">
        <v>79</v>
      </c>
      <c r="D62" t="str">
        <f>HYPERLINK("http://service.sap.com/sap/support/notes/1625341","1625341")</f>
        <v>1625341</v>
      </c>
      <c r="E62">
        <v>4</v>
      </c>
      <c r="F62" t="s">
        <v>862</v>
      </c>
    </row>
    <row r="63" spans="1:6" x14ac:dyDescent="0.25">
      <c r="A63" t="s">
        <v>1133</v>
      </c>
      <c r="B63" t="s">
        <v>78</v>
      </c>
      <c r="C63" t="s">
        <v>79</v>
      </c>
      <c r="D63" t="str">
        <f>HYPERLINK("http://service.sap.com/sap/support/notes/1634802","1634802")</f>
        <v>1634802</v>
      </c>
      <c r="E63">
        <v>3</v>
      </c>
      <c r="F63" t="s">
        <v>863</v>
      </c>
    </row>
    <row r="64" spans="1:6" x14ac:dyDescent="0.25">
      <c r="A64" t="s">
        <v>1133</v>
      </c>
      <c r="B64" t="s">
        <v>78</v>
      </c>
      <c r="C64" t="s">
        <v>79</v>
      </c>
      <c r="D64" t="str">
        <f>HYPERLINK("http://service.sap.com/sap/support/notes/1639385","1639385")</f>
        <v>1639385</v>
      </c>
      <c r="E64">
        <v>2</v>
      </c>
      <c r="F64" t="s">
        <v>864</v>
      </c>
    </row>
    <row r="65" spans="1:6" x14ac:dyDescent="0.25">
      <c r="A65" t="s">
        <v>1133</v>
      </c>
      <c r="B65" t="s">
        <v>78</v>
      </c>
      <c r="C65" t="s">
        <v>79</v>
      </c>
      <c r="D65" t="str">
        <f>HYPERLINK("http://service.sap.com/sap/support/notes/1639792","1639792")</f>
        <v>1639792</v>
      </c>
      <c r="E65">
        <v>2</v>
      </c>
      <c r="F65" t="s">
        <v>865</v>
      </c>
    </row>
    <row r="66" spans="1:6" x14ac:dyDescent="0.25">
      <c r="A66" t="s">
        <v>1133</v>
      </c>
      <c r="B66" t="s">
        <v>80</v>
      </c>
      <c r="C66" t="s">
        <v>32</v>
      </c>
      <c r="D66" t="str">
        <f>HYPERLINK("http://service.sap.com/sap/support/notes/1537378","1537378")</f>
        <v>1537378</v>
      </c>
      <c r="E66">
        <v>1</v>
      </c>
      <c r="F66" t="s">
        <v>866</v>
      </c>
    </row>
    <row r="67" spans="1:6" x14ac:dyDescent="0.25">
      <c r="A67" t="s">
        <v>1133</v>
      </c>
      <c r="B67" t="s">
        <v>80</v>
      </c>
      <c r="C67" t="s">
        <v>32</v>
      </c>
      <c r="D67" t="str">
        <f>HYPERLINK("http://service.sap.com/sap/support/notes/1551902","1551902")</f>
        <v>1551902</v>
      </c>
      <c r="E67">
        <v>1</v>
      </c>
      <c r="F67" t="s">
        <v>867</v>
      </c>
    </row>
    <row r="68" spans="1:6" x14ac:dyDescent="0.25">
      <c r="A68" t="s">
        <v>1133</v>
      </c>
      <c r="B68" t="s">
        <v>80</v>
      </c>
      <c r="C68" t="s">
        <v>32</v>
      </c>
      <c r="D68" t="str">
        <f>HYPERLINK("http://service.sap.com/sap/support/notes/1562213","1562213")</f>
        <v>1562213</v>
      </c>
      <c r="E68">
        <v>7</v>
      </c>
      <c r="F68" t="s">
        <v>868</v>
      </c>
    </row>
    <row r="69" spans="1:6" x14ac:dyDescent="0.25">
      <c r="A69" t="s">
        <v>1133</v>
      </c>
      <c r="B69" t="s">
        <v>80</v>
      </c>
      <c r="C69" t="s">
        <v>32</v>
      </c>
      <c r="D69" t="str">
        <f>HYPERLINK("http://service.sap.com/sap/support/notes/1585483","1585483")</f>
        <v>1585483</v>
      </c>
      <c r="E69">
        <v>5</v>
      </c>
      <c r="F69" t="s">
        <v>869</v>
      </c>
    </row>
    <row r="70" spans="1:6" x14ac:dyDescent="0.25">
      <c r="A70" t="s">
        <v>1133</v>
      </c>
      <c r="B70" t="s">
        <v>80</v>
      </c>
      <c r="C70" t="s">
        <v>32</v>
      </c>
      <c r="D70" t="str">
        <f>HYPERLINK("http://service.sap.com/sap/support/notes/1604583","1604583")</f>
        <v>1604583</v>
      </c>
      <c r="E70">
        <v>2</v>
      </c>
      <c r="F70" t="s">
        <v>870</v>
      </c>
    </row>
    <row r="71" spans="1:6" x14ac:dyDescent="0.25">
      <c r="A71" t="s">
        <v>1133</v>
      </c>
      <c r="B71" t="s">
        <v>80</v>
      </c>
      <c r="C71" t="s">
        <v>32</v>
      </c>
      <c r="D71" t="str">
        <f>HYPERLINK("http://service.sap.com/sap/support/notes/1607208","1607208")</f>
        <v>1607208</v>
      </c>
      <c r="E71">
        <v>4</v>
      </c>
      <c r="F71" t="s">
        <v>871</v>
      </c>
    </row>
    <row r="72" spans="1:6" x14ac:dyDescent="0.25">
      <c r="A72" t="s">
        <v>1133</v>
      </c>
      <c r="B72" t="s">
        <v>80</v>
      </c>
      <c r="C72" t="s">
        <v>32</v>
      </c>
      <c r="D72" t="str">
        <f>HYPERLINK("http://service.sap.com/sap/support/notes/1610053","1610053")</f>
        <v>1610053</v>
      </c>
      <c r="E72">
        <v>2</v>
      </c>
      <c r="F72" t="s">
        <v>872</v>
      </c>
    </row>
    <row r="73" spans="1:6" x14ac:dyDescent="0.25">
      <c r="A73" t="s">
        <v>1133</v>
      </c>
      <c r="B73" t="s">
        <v>80</v>
      </c>
      <c r="C73" t="s">
        <v>32</v>
      </c>
      <c r="D73" t="str">
        <f>HYPERLINK("http://service.sap.com/sap/support/notes/1616528","1616528")</f>
        <v>1616528</v>
      </c>
      <c r="E73">
        <v>3</v>
      </c>
      <c r="F73" t="s">
        <v>873</v>
      </c>
    </row>
    <row r="74" spans="1:6" x14ac:dyDescent="0.25">
      <c r="A74" t="s">
        <v>1133</v>
      </c>
      <c r="B74" t="s">
        <v>80</v>
      </c>
      <c r="C74" t="s">
        <v>32</v>
      </c>
      <c r="D74" t="str">
        <f>HYPERLINK("http://service.sap.com/sap/support/notes/1625254","1625254")</f>
        <v>1625254</v>
      </c>
      <c r="E74">
        <v>3</v>
      </c>
      <c r="F74" t="s">
        <v>874</v>
      </c>
    </row>
    <row r="75" spans="1:6" x14ac:dyDescent="0.25">
      <c r="A75" t="s">
        <v>1133</v>
      </c>
      <c r="B75" t="s">
        <v>80</v>
      </c>
      <c r="C75" t="s">
        <v>32</v>
      </c>
      <c r="D75" t="str">
        <f>HYPERLINK("http://service.sap.com/sap/support/notes/1628201","1628201")</f>
        <v>1628201</v>
      </c>
      <c r="E75">
        <v>3</v>
      </c>
      <c r="F75" t="s">
        <v>875</v>
      </c>
    </row>
    <row r="76" spans="1:6" x14ac:dyDescent="0.25">
      <c r="A76" t="s">
        <v>1133</v>
      </c>
      <c r="B76" t="s">
        <v>80</v>
      </c>
      <c r="C76" t="s">
        <v>32</v>
      </c>
      <c r="D76" t="str">
        <f>HYPERLINK("http://service.sap.com/sap/support/notes/1634864","1634864")</f>
        <v>1634864</v>
      </c>
      <c r="E76">
        <v>3</v>
      </c>
      <c r="F76" t="s">
        <v>876</v>
      </c>
    </row>
    <row r="77" spans="1:6" x14ac:dyDescent="0.25">
      <c r="A77" t="s">
        <v>1133</v>
      </c>
      <c r="B77" t="s">
        <v>80</v>
      </c>
      <c r="C77" t="s">
        <v>32</v>
      </c>
      <c r="D77" t="str">
        <f>HYPERLINK("http://service.sap.com/sap/support/notes/1637313","1637313")</f>
        <v>1637313</v>
      </c>
      <c r="E77">
        <v>2</v>
      </c>
      <c r="F77" t="s">
        <v>877</v>
      </c>
    </row>
    <row r="78" spans="1:6" x14ac:dyDescent="0.25">
      <c r="A78" t="s">
        <v>1133</v>
      </c>
      <c r="B78" t="s">
        <v>80</v>
      </c>
      <c r="C78" t="s">
        <v>32</v>
      </c>
      <c r="D78" t="str">
        <f>HYPERLINK("http://service.sap.com/sap/support/notes/1637457","1637457")</f>
        <v>1637457</v>
      </c>
      <c r="E78">
        <v>2</v>
      </c>
      <c r="F78" t="s">
        <v>878</v>
      </c>
    </row>
    <row r="79" spans="1:6" x14ac:dyDescent="0.25">
      <c r="A79" t="s">
        <v>1133</v>
      </c>
      <c r="B79" t="s">
        <v>80</v>
      </c>
      <c r="C79" t="s">
        <v>32</v>
      </c>
      <c r="D79" t="str">
        <f>HYPERLINK("http://service.sap.com/sap/support/notes/1638264","1638264")</f>
        <v>1638264</v>
      </c>
      <c r="E79">
        <v>2</v>
      </c>
      <c r="F79" t="s">
        <v>879</v>
      </c>
    </row>
    <row r="80" spans="1:6" x14ac:dyDescent="0.25">
      <c r="A80" t="s">
        <v>1133</v>
      </c>
      <c r="B80" t="s">
        <v>80</v>
      </c>
      <c r="C80" t="s">
        <v>32</v>
      </c>
      <c r="D80" t="str">
        <f>HYPERLINK("http://service.sap.com/sap/support/notes/1639303","1639303")</f>
        <v>1639303</v>
      </c>
      <c r="E80">
        <v>1</v>
      </c>
      <c r="F80" t="s">
        <v>880</v>
      </c>
    </row>
    <row r="81" spans="1:6" x14ac:dyDescent="0.25">
      <c r="A81" t="s">
        <v>1133</v>
      </c>
      <c r="B81" t="s">
        <v>80</v>
      </c>
      <c r="C81" t="s">
        <v>32</v>
      </c>
      <c r="D81" t="str">
        <f>HYPERLINK("http://service.sap.com/sap/support/notes/1642172","1642172")</f>
        <v>1642172</v>
      </c>
      <c r="E81">
        <v>1</v>
      </c>
      <c r="F81" t="s">
        <v>881</v>
      </c>
    </row>
    <row r="82" spans="1:6" x14ac:dyDescent="0.25">
      <c r="A82" t="s">
        <v>1133</v>
      </c>
      <c r="B82" t="s">
        <v>81</v>
      </c>
      <c r="C82" t="s">
        <v>82</v>
      </c>
      <c r="D82" t="str">
        <f>HYPERLINK("http://service.sap.com/sap/support/notes/1633930","1633930")</f>
        <v>1633930</v>
      </c>
      <c r="E82">
        <v>2</v>
      </c>
      <c r="F82" t="s">
        <v>882</v>
      </c>
    </row>
    <row r="83" spans="1:6" x14ac:dyDescent="0.25">
      <c r="A83" t="s">
        <v>1133</v>
      </c>
      <c r="B83" t="s">
        <v>81</v>
      </c>
      <c r="C83" t="s">
        <v>82</v>
      </c>
      <c r="D83" t="str">
        <f>HYPERLINK("http://service.sap.com/sap/support/notes/1635601","1635601")</f>
        <v>1635601</v>
      </c>
      <c r="E83">
        <v>1</v>
      </c>
      <c r="F83" t="s">
        <v>883</v>
      </c>
    </row>
    <row r="84" spans="1:6" x14ac:dyDescent="0.25">
      <c r="A84" t="s">
        <v>1133</v>
      </c>
      <c r="B84" t="s">
        <v>83</v>
      </c>
      <c r="C84" t="s">
        <v>84</v>
      </c>
      <c r="D84" t="str">
        <f>HYPERLINK("http://service.sap.com/sap/support/notes/1631913","1631913")</f>
        <v>1631913</v>
      </c>
      <c r="E84">
        <v>2</v>
      </c>
      <c r="F84" t="s">
        <v>884</v>
      </c>
    </row>
    <row r="85" spans="1:6" x14ac:dyDescent="0.25">
      <c r="A85" t="s">
        <v>1133</v>
      </c>
      <c r="B85" t="s">
        <v>83</v>
      </c>
      <c r="C85" t="s">
        <v>84</v>
      </c>
      <c r="D85" t="str">
        <f>HYPERLINK("http://service.sap.com/sap/support/notes/1632514","1632514")</f>
        <v>1632514</v>
      </c>
      <c r="E85">
        <v>3</v>
      </c>
      <c r="F85" t="s">
        <v>885</v>
      </c>
    </row>
    <row r="86" spans="1:6" x14ac:dyDescent="0.25">
      <c r="A86" t="s">
        <v>1133</v>
      </c>
      <c r="B86" t="s">
        <v>83</v>
      </c>
      <c r="C86" t="s">
        <v>84</v>
      </c>
      <c r="D86" t="str">
        <f>HYPERLINK("http://service.sap.com/sap/support/notes/1636626","1636626")</f>
        <v>1636626</v>
      </c>
      <c r="E86">
        <v>1</v>
      </c>
      <c r="F86" t="s">
        <v>886</v>
      </c>
    </row>
    <row r="87" spans="1:6" x14ac:dyDescent="0.25">
      <c r="A87" t="s">
        <v>1133</v>
      </c>
      <c r="B87" t="s">
        <v>83</v>
      </c>
      <c r="C87" t="s">
        <v>84</v>
      </c>
      <c r="D87" t="str">
        <f>HYPERLINK("http://service.sap.com/sap/support/notes/1637480","1637480")</f>
        <v>1637480</v>
      </c>
      <c r="E87">
        <v>1</v>
      </c>
      <c r="F87" t="s">
        <v>887</v>
      </c>
    </row>
    <row r="88" spans="1:6" x14ac:dyDescent="0.25">
      <c r="A88" t="s">
        <v>1133</v>
      </c>
      <c r="B88" t="s">
        <v>83</v>
      </c>
      <c r="C88" t="s">
        <v>84</v>
      </c>
      <c r="D88" t="str">
        <f>HYPERLINK("http://service.sap.com/sap/support/notes/1638773","1638773")</f>
        <v>1638773</v>
      </c>
      <c r="E88">
        <v>1</v>
      </c>
      <c r="F88" t="s">
        <v>888</v>
      </c>
    </row>
    <row r="89" spans="1:6" x14ac:dyDescent="0.25">
      <c r="A89" t="s">
        <v>1133</v>
      </c>
      <c r="B89" t="s">
        <v>83</v>
      </c>
      <c r="C89" t="s">
        <v>84</v>
      </c>
      <c r="D89" t="str">
        <f>HYPERLINK("http://service.sap.com/sap/support/notes/1640567","1640567")</f>
        <v>1640567</v>
      </c>
      <c r="E89">
        <v>1</v>
      </c>
      <c r="F89" t="s">
        <v>889</v>
      </c>
    </row>
    <row r="90" spans="1:6" x14ac:dyDescent="0.25">
      <c r="A90" t="s">
        <v>1133</v>
      </c>
      <c r="B90" t="s">
        <v>83</v>
      </c>
      <c r="C90" t="s">
        <v>84</v>
      </c>
      <c r="D90" t="str">
        <f>HYPERLINK("http://service.sap.com/sap/support/notes/1643584","1643584")</f>
        <v>1643584</v>
      </c>
      <c r="E90">
        <v>1</v>
      </c>
      <c r="F90" t="s">
        <v>890</v>
      </c>
    </row>
    <row r="91" spans="1:6" x14ac:dyDescent="0.25">
      <c r="A91" t="s">
        <v>1133</v>
      </c>
      <c r="B91" t="s">
        <v>88</v>
      </c>
      <c r="C91" t="s">
        <v>82</v>
      </c>
      <c r="D91" t="str">
        <f>HYPERLINK("http://service.sap.com/sap/support/notes/1421368","1421368")</f>
        <v>1421368</v>
      </c>
      <c r="E91">
        <v>2</v>
      </c>
      <c r="F91" t="s">
        <v>891</v>
      </c>
    </row>
    <row r="92" spans="1:6" x14ac:dyDescent="0.25">
      <c r="A92" t="s">
        <v>1133</v>
      </c>
      <c r="B92" t="s">
        <v>88</v>
      </c>
      <c r="C92" t="s">
        <v>82</v>
      </c>
      <c r="D92" t="str">
        <f>HYPERLINK("http://service.sap.com/sap/support/notes/1629014","1629014")</f>
        <v>1629014</v>
      </c>
      <c r="E92">
        <v>2</v>
      </c>
      <c r="F92" t="s">
        <v>892</v>
      </c>
    </row>
    <row r="93" spans="1:6" x14ac:dyDescent="0.25">
      <c r="A93" t="s">
        <v>1133</v>
      </c>
      <c r="B93" t="s">
        <v>88</v>
      </c>
      <c r="C93" t="s">
        <v>82</v>
      </c>
      <c r="D93" t="str">
        <f>HYPERLINK("http://service.sap.com/sap/support/notes/1635112","1635112")</f>
        <v>1635112</v>
      </c>
      <c r="E93">
        <v>1</v>
      </c>
      <c r="F93" t="s">
        <v>893</v>
      </c>
    </row>
    <row r="94" spans="1:6" x14ac:dyDescent="0.25">
      <c r="A94" t="s">
        <v>1133</v>
      </c>
      <c r="B94" t="s">
        <v>89</v>
      </c>
      <c r="C94" t="s">
        <v>34</v>
      </c>
      <c r="D94" t="str">
        <f>HYPERLINK("http://service.sap.com/sap/support/notes/1620882","1620882")</f>
        <v>1620882</v>
      </c>
      <c r="E94">
        <v>1</v>
      </c>
      <c r="F94" t="s">
        <v>803</v>
      </c>
    </row>
    <row r="95" spans="1:6" x14ac:dyDescent="0.25">
      <c r="A95" t="s">
        <v>1133</v>
      </c>
      <c r="B95" t="s">
        <v>89</v>
      </c>
      <c r="C95" t="s">
        <v>34</v>
      </c>
      <c r="D95" t="str">
        <f>HYPERLINK("http://service.sap.com/sap/support/notes/1620892","1620892")</f>
        <v>1620892</v>
      </c>
      <c r="E95">
        <v>1</v>
      </c>
      <c r="F95" t="s">
        <v>804</v>
      </c>
    </row>
    <row r="96" spans="1:6" x14ac:dyDescent="0.25">
      <c r="A96" t="s">
        <v>1133</v>
      </c>
      <c r="B96" t="s">
        <v>89</v>
      </c>
      <c r="C96" t="s">
        <v>34</v>
      </c>
      <c r="D96" t="str">
        <f>HYPERLINK("http://service.sap.com/sap/support/notes/1622410","1622410")</f>
        <v>1622410</v>
      </c>
      <c r="E96">
        <v>5</v>
      </c>
      <c r="F96" t="s">
        <v>894</v>
      </c>
    </row>
    <row r="97" spans="1:6" x14ac:dyDescent="0.25">
      <c r="A97" t="s">
        <v>1133</v>
      </c>
      <c r="B97" t="s">
        <v>89</v>
      </c>
      <c r="C97" t="s">
        <v>34</v>
      </c>
      <c r="D97" t="str">
        <f>HYPERLINK("http://service.sap.com/sap/support/notes/1630437","1630437")</f>
        <v>1630437</v>
      </c>
      <c r="E97">
        <v>3</v>
      </c>
      <c r="F97" t="s">
        <v>895</v>
      </c>
    </row>
    <row r="98" spans="1:6" x14ac:dyDescent="0.25">
      <c r="A98" t="s">
        <v>1133</v>
      </c>
      <c r="B98" t="s">
        <v>89</v>
      </c>
      <c r="C98" t="s">
        <v>34</v>
      </c>
      <c r="D98" t="str">
        <f>HYPERLINK("http://service.sap.com/sap/support/notes/1635710","1635710")</f>
        <v>1635710</v>
      </c>
      <c r="E98">
        <v>1</v>
      </c>
      <c r="F98" t="s">
        <v>896</v>
      </c>
    </row>
    <row r="99" spans="1:6" x14ac:dyDescent="0.25">
      <c r="A99" t="s">
        <v>1133</v>
      </c>
      <c r="B99" t="s">
        <v>89</v>
      </c>
      <c r="C99" t="s">
        <v>34</v>
      </c>
      <c r="D99" t="str">
        <f>HYPERLINK("http://service.sap.com/sap/support/notes/1636333","1636333")</f>
        <v>1636333</v>
      </c>
      <c r="E99">
        <v>1</v>
      </c>
      <c r="F99" t="s">
        <v>897</v>
      </c>
    </row>
    <row r="100" spans="1:6" x14ac:dyDescent="0.25">
      <c r="A100" t="s">
        <v>1133</v>
      </c>
      <c r="B100" t="s">
        <v>89</v>
      </c>
      <c r="C100" t="s">
        <v>34</v>
      </c>
      <c r="D100" t="str">
        <f>HYPERLINK("http://service.sap.com/sap/support/notes/1637099","1637099")</f>
        <v>1637099</v>
      </c>
      <c r="E100">
        <v>1</v>
      </c>
      <c r="F100" t="s">
        <v>898</v>
      </c>
    </row>
    <row r="101" spans="1:6" x14ac:dyDescent="0.25">
      <c r="A101" t="s">
        <v>1133</v>
      </c>
      <c r="B101" t="s">
        <v>89</v>
      </c>
      <c r="C101" t="s">
        <v>34</v>
      </c>
      <c r="D101" t="str">
        <f>HYPERLINK("http://service.sap.com/sap/support/notes/1637131","1637131")</f>
        <v>1637131</v>
      </c>
      <c r="E101">
        <v>1</v>
      </c>
      <c r="F101" t="s">
        <v>899</v>
      </c>
    </row>
    <row r="102" spans="1:6" x14ac:dyDescent="0.25">
      <c r="A102" t="s">
        <v>1133</v>
      </c>
      <c r="B102" t="s">
        <v>89</v>
      </c>
      <c r="C102" t="s">
        <v>34</v>
      </c>
      <c r="D102" t="str">
        <f>HYPERLINK("http://service.sap.com/sap/support/notes/1638153","1638153")</f>
        <v>1638153</v>
      </c>
      <c r="E102">
        <v>2</v>
      </c>
      <c r="F102" t="s">
        <v>900</v>
      </c>
    </row>
    <row r="103" spans="1:6" x14ac:dyDescent="0.25">
      <c r="A103" t="s">
        <v>1133</v>
      </c>
      <c r="B103" t="s">
        <v>89</v>
      </c>
      <c r="C103" t="s">
        <v>34</v>
      </c>
      <c r="D103" t="str">
        <f>HYPERLINK("http://service.sap.com/sap/support/notes/1638317","1638317")</f>
        <v>1638317</v>
      </c>
      <c r="E103">
        <v>2</v>
      </c>
      <c r="F103" t="s">
        <v>901</v>
      </c>
    </row>
    <row r="104" spans="1:6" x14ac:dyDescent="0.25">
      <c r="A104" t="s">
        <v>1133</v>
      </c>
      <c r="B104" t="s">
        <v>89</v>
      </c>
      <c r="C104" t="s">
        <v>34</v>
      </c>
      <c r="D104" t="str">
        <f>HYPERLINK("http://service.sap.com/sap/support/notes/1638473","1638473")</f>
        <v>1638473</v>
      </c>
      <c r="E104">
        <v>2</v>
      </c>
      <c r="F104" t="s">
        <v>902</v>
      </c>
    </row>
    <row r="105" spans="1:6" x14ac:dyDescent="0.25">
      <c r="A105" t="s">
        <v>1133</v>
      </c>
      <c r="B105" t="s">
        <v>89</v>
      </c>
      <c r="C105" t="s">
        <v>34</v>
      </c>
      <c r="D105" t="str">
        <f>HYPERLINK("http://service.sap.com/sap/support/notes/1639181","1639181")</f>
        <v>1639181</v>
      </c>
      <c r="E105">
        <v>2</v>
      </c>
      <c r="F105" t="s">
        <v>903</v>
      </c>
    </row>
    <row r="106" spans="1:6" x14ac:dyDescent="0.25">
      <c r="A106" t="s">
        <v>1133</v>
      </c>
      <c r="B106" t="s">
        <v>89</v>
      </c>
      <c r="C106" t="s">
        <v>34</v>
      </c>
      <c r="D106" t="str">
        <f>HYPERLINK("http://service.sap.com/sap/support/notes/1639680","1639680")</f>
        <v>1639680</v>
      </c>
      <c r="E106">
        <v>1</v>
      </c>
      <c r="F106" t="s">
        <v>904</v>
      </c>
    </row>
    <row r="107" spans="1:6" x14ac:dyDescent="0.25">
      <c r="A107" t="s">
        <v>1133</v>
      </c>
      <c r="B107" t="s">
        <v>89</v>
      </c>
      <c r="C107" t="s">
        <v>34</v>
      </c>
      <c r="D107" t="str">
        <f>HYPERLINK("http://service.sap.com/sap/support/notes/1639945","1639945")</f>
        <v>1639945</v>
      </c>
      <c r="E107">
        <v>3</v>
      </c>
      <c r="F107" t="s">
        <v>905</v>
      </c>
    </row>
    <row r="108" spans="1:6" x14ac:dyDescent="0.25">
      <c r="A108" t="s">
        <v>1133</v>
      </c>
      <c r="B108" t="s">
        <v>89</v>
      </c>
      <c r="C108" t="s">
        <v>34</v>
      </c>
      <c r="D108" t="str">
        <f>HYPERLINK("http://service.sap.com/sap/support/notes/1640251","1640251")</f>
        <v>1640251</v>
      </c>
      <c r="E108">
        <v>2</v>
      </c>
      <c r="F108" t="s">
        <v>906</v>
      </c>
    </row>
    <row r="109" spans="1:6" x14ac:dyDescent="0.25">
      <c r="A109" t="s">
        <v>1133</v>
      </c>
      <c r="B109" t="s">
        <v>89</v>
      </c>
      <c r="C109" t="s">
        <v>34</v>
      </c>
      <c r="D109" t="str">
        <f>HYPERLINK("http://service.sap.com/sap/support/notes/1642165","1642165")</f>
        <v>1642165</v>
      </c>
      <c r="E109">
        <v>3</v>
      </c>
      <c r="F109" t="s">
        <v>805</v>
      </c>
    </row>
    <row r="110" spans="1:6" x14ac:dyDescent="0.25">
      <c r="A110" t="s">
        <v>1133</v>
      </c>
      <c r="B110" t="s">
        <v>89</v>
      </c>
      <c r="C110" t="s">
        <v>34</v>
      </c>
      <c r="D110" t="str">
        <f>HYPERLINK("http://service.sap.com/sap/support/notes/1642206","1642206")</f>
        <v>1642206</v>
      </c>
      <c r="E110">
        <v>1</v>
      </c>
      <c r="F110" t="s">
        <v>907</v>
      </c>
    </row>
    <row r="111" spans="1:6" x14ac:dyDescent="0.25">
      <c r="A111" t="s">
        <v>1133</v>
      </c>
      <c r="B111" t="s">
        <v>89</v>
      </c>
      <c r="C111" t="s">
        <v>34</v>
      </c>
      <c r="D111" t="str">
        <f>HYPERLINK("http://service.sap.com/sap/support/notes/1643304","1643304")</f>
        <v>1643304</v>
      </c>
      <c r="E111">
        <v>3</v>
      </c>
      <c r="F111" t="s">
        <v>908</v>
      </c>
    </row>
    <row r="112" spans="1:6" x14ac:dyDescent="0.25">
      <c r="A112" t="s">
        <v>1133</v>
      </c>
      <c r="B112" t="s">
        <v>91</v>
      </c>
      <c r="C112" t="s">
        <v>92</v>
      </c>
      <c r="D112" t="str">
        <f>HYPERLINK("http://service.sap.com/sap/support/notes/1519282","1519282")</f>
        <v>1519282</v>
      </c>
      <c r="E112">
        <v>8</v>
      </c>
      <c r="F112" t="s">
        <v>909</v>
      </c>
    </row>
    <row r="113" spans="1:6" x14ac:dyDescent="0.25">
      <c r="A113" t="s">
        <v>1133</v>
      </c>
      <c r="B113" t="s">
        <v>91</v>
      </c>
      <c r="C113" t="s">
        <v>92</v>
      </c>
      <c r="D113" t="str">
        <f>HYPERLINK("http://service.sap.com/sap/support/notes/1581658","1581658")</f>
        <v>1581658</v>
      </c>
      <c r="E113">
        <v>3</v>
      </c>
      <c r="F113" t="s">
        <v>910</v>
      </c>
    </row>
    <row r="114" spans="1:6" x14ac:dyDescent="0.25">
      <c r="A114" t="s">
        <v>1133</v>
      </c>
      <c r="B114" t="s">
        <v>91</v>
      </c>
      <c r="C114" t="s">
        <v>92</v>
      </c>
      <c r="D114" t="str">
        <f>HYPERLINK("http://service.sap.com/sap/support/notes/1624534","1624534")</f>
        <v>1624534</v>
      </c>
      <c r="E114">
        <v>2</v>
      </c>
      <c r="F114" t="s">
        <v>911</v>
      </c>
    </row>
    <row r="115" spans="1:6" x14ac:dyDescent="0.25">
      <c r="A115" t="s">
        <v>1133</v>
      </c>
      <c r="B115" t="s">
        <v>91</v>
      </c>
      <c r="C115" t="s">
        <v>92</v>
      </c>
      <c r="D115" t="str">
        <f>HYPERLINK("http://service.sap.com/sap/support/notes/1629185","1629185")</f>
        <v>1629185</v>
      </c>
      <c r="E115">
        <v>2</v>
      </c>
      <c r="F115" t="s">
        <v>912</v>
      </c>
    </row>
    <row r="116" spans="1:6" x14ac:dyDescent="0.25">
      <c r="A116" t="s">
        <v>1133</v>
      </c>
      <c r="B116" t="s">
        <v>91</v>
      </c>
      <c r="C116" t="s">
        <v>92</v>
      </c>
      <c r="D116" t="str">
        <f>HYPERLINK("http://service.sap.com/sap/support/notes/1632769","1632769")</f>
        <v>1632769</v>
      </c>
      <c r="E116">
        <v>3</v>
      </c>
      <c r="F116" t="s">
        <v>913</v>
      </c>
    </row>
    <row r="117" spans="1:6" x14ac:dyDescent="0.25">
      <c r="A117" t="s">
        <v>1133</v>
      </c>
      <c r="B117" t="s">
        <v>91</v>
      </c>
      <c r="C117" t="s">
        <v>92</v>
      </c>
      <c r="D117" t="str">
        <f>HYPERLINK("http://service.sap.com/sap/support/notes/1635171","1635171")</f>
        <v>1635171</v>
      </c>
      <c r="E117">
        <v>3</v>
      </c>
      <c r="F117" t="s">
        <v>914</v>
      </c>
    </row>
    <row r="118" spans="1:6" x14ac:dyDescent="0.25">
      <c r="A118" t="s">
        <v>1133</v>
      </c>
      <c r="B118" t="s">
        <v>91</v>
      </c>
      <c r="C118" t="s">
        <v>92</v>
      </c>
      <c r="D118" t="str">
        <f>HYPERLINK("http://service.sap.com/sap/support/notes/1638130","1638130")</f>
        <v>1638130</v>
      </c>
      <c r="E118">
        <v>3</v>
      </c>
      <c r="F118" t="s">
        <v>915</v>
      </c>
    </row>
    <row r="119" spans="1:6" x14ac:dyDescent="0.25">
      <c r="A119" t="s">
        <v>1133</v>
      </c>
      <c r="B119" t="s">
        <v>91</v>
      </c>
      <c r="C119" t="s">
        <v>92</v>
      </c>
      <c r="D119" t="str">
        <f>HYPERLINK("http://service.sap.com/sap/support/notes/1638196","1638196")</f>
        <v>1638196</v>
      </c>
      <c r="E119">
        <v>3</v>
      </c>
      <c r="F119" t="s">
        <v>916</v>
      </c>
    </row>
    <row r="120" spans="1:6" x14ac:dyDescent="0.25">
      <c r="A120" t="s">
        <v>1133</v>
      </c>
      <c r="B120" t="s">
        <v>91</v>
      </c>
      <c r="C120" t="s">
        <v>92</v>
      </c>
      <c r="D120" t="str">
        <f>HYPERLINK("http://service.sap.com/sap/support/notes/1638614","1638614")</f>
        <v>1638614</v>
      </c>
      <c r="E120">
        <v>1</v>
      </c>
      <c r="F120" t="s">
        <v>917</v>
      </c>
    </row>
    <row r="121" spans="1:6" x14ac:dyDescent="0.25">
      <c r="A121" t="s">
        <v>1133</v>
      </c>
      <c r="B121" t="s">
        <v>94</v>
      </c>
      <c r="C121" t="s">
        <v>95</v>
      </c>
      <c r="D121" t="str">
        <f>HYPERLINK("http://service.sap.com/sap/support/notes/1605354","1605354")</f>
        <v>1605354</v>
      </c>
      <c r="E121">
        <v>2</v>
      </c>
      <c r="F121" t="s">
        <v>807</v>
      </c>
    </row>
    <row r="122" spans="1:6" x14ac:dyDescent="0.25">
      <c r="A122" t="s">
        <v>1133</v>
      </c>
      <c r="B122" t="s">
        <v>94</v>
      </c>
      <c r="C122" t="s">
        <v>95</v>
      </c>
      <c r="D122" t="str">
        <f>HYPERLINK("http://service.sap.com/sap/support/notes/1619595","1619595")</f>
        <v>1619595</v>
      </c>
      <c r="E122">
        <v>2</v>
      </c>
      <c r="F122" t="s">
        <v>918</v>
      </c>
    </row>
    <row r="123" spans="1:6" x14ac:dyDescent="0.25">
      <c r="A123" t="s">
        <v>1133</v>
      </c>
      <c r="B123" t="s">
        <v>94</v>
      </c>
      <c r="C123" t="s">
        <v>95</v>
      </c>
      <c r="D123" t="str">
        <f>HYPERLINK("http://service.sap.com/sap/support/notes/1635633","1635633")</f>
        <v>1635633</v>
      </c>
      <c r="E123">
        <v>1</v>
      </c>
      <c r="F123" t="s">
        <v>919</v>
      </c>
    </row>
    <row r="124" spans="1:6" x14ac:dyDescent="0.25">
      <c r="A124" t="s">
        <v>1133</v>
      </c>
      <c r="B124" t="s">
        <v>920</v>
      </c>
      <c r="C124" t="s">
        <v>115</v>
      </c>
    </row>
    <row r="125" spans="1:6" x14ac:dyDescent="0.25">
      <c r="A125" t="s">
        <v>1133</v>
      </c>
      <c r="B125" t="s">
        <v>921</v>
      </c>
      <c r="C125" t="s">
        <v>388</v>
      </c>
      <c r="D125" t="str">
        <f>HYPERLINK("http://service.sap.com/sap/support/notes/1641451","1641451")</f>
        <v>1641451</v>
      </c>
      <c r="E125">
        <v>1</v>
      </c>
      <c r="F125" t="s">
        <v>922</v>
      </c>
    </row>
    <row r="126" spans="1:6" x14ac:dyDescent="0.25">
      <c r="A126" t="s">
        <v>1133</v>
      </c>
      <c r="B126" t="s">
        <v>306</v>
      </c>
      <c r="C126" t="s">
        <v>132</v>
      </c>
      <c r="D126" t="str">
        <f>HYPERLINK("http://service.sap.com/sap/support/notes/1641449","1641449")</f>
        <v>1641449</v>
      </c>
      <c r="E126">
        <v>1</v>
      </c>
      <c r="F126" t="s">
        <v>923</v>
      </c>
    </row>
    <row r="127" spans="1:6" x14ac:dyDescent="0.25">
      <c r="A127" t="s">
        <v>1133</v>
      </c>
      <c r="B127" t="s">
        <v>96</v>
      </c>
      <c r="C127" t="s">
        <v>97</v>
      </c>
      <c r="D127" t="str">
        <f>HYPERLINK("http://service.sap.com/sap/support/notes/1571793","1571793")</f>
        <v>1571793</v>
      </c>
      <c r="E127">
        <v>1</v>
      </c>
      <c r="F127" t="s">
        <v>924</v>
      </c>
    </row>
    <row r="128" spans="1:6" x14ac:dyDescent="0.25">
      <c r="A128" t="s">
        <v>1133</v>
      </c>
      <c r="B128" t="s">
        <v>96</v>
      </c>
      <c r="C128" t="s">
        <v>97</v>
      </c>
      <c r="D128" t="str">
        <f>HYPERLINK("http://service.sap.com/sap/support/notes/1618194","1618194")</f>
        <v>1618194</v>
      </c>
      <c r="E128">
        <v>2</v>
      </c>
      <c r="F128" t="s">
        <v>808</v>
      </c>
    </row>
    <row r="129" spans="1:6" x14ac:dyDescent="0.25">
      <c r="A129" t="s">
        <v>1133</v>
      </c>
      <c r="B129" t="s">
        <v>96</v>
      </c>
      <c r="C129" t="s">
        <v>97</v>
      </c>
      <c r="D129" t="str">
        <f>HYPERLINK("http://service.sap.com/sap/support/notes/1634884","1634884")</f>
        <v>1634884</v>
      </c>
      <c r="E129">
        <v>1</v>
      </c>
      <c r="F129" t="s">
        <v>925</v>
      </c>
    </row>
    <row r="130" spans="1:6" x14ac:dyDescent="0.25">
      <c r="A130" t="s">
        <v>1133</v>
      </c>
      <c r="B130" t="s">
        <v>96</v>
      </c>
      <c r="C130" t="s">
        <v>97</v>
      </c>
      <c r="D130" t="str">
        <f>HYPERLINK("http://service.sap.com/sap/support/notes/1640727","1640727")</f>
        <v>1640727</v>
      </c>
      <c r="E130">
        <v>3</v>
      </c>
      <c r="F130" t="s">
        <v>926</v>
      </c>
    </row>
    <row r="131" spans="1:6" x14ac:dyDescent="0.25">
      <c r="A131" t="s">
        <v>1133</v>
      </c>
      <c r="B131" t="s">
        <v>98</v>
      </c>
      <c r="C131" t="s">
        <v>99</v>
      </c>
      <c r="D131" t="str">
        <f>HYPERLINK("http://service.sap.com/sap/support/notes/1584080","1584080")</f>
        <v>1584080</v>
      </c>
      <c r="E131">
        <v>2</v>
      </c>
      <c r="F131" t="s">
        <v>927</v>
      </c>
    </row>
    <row r="132" spans="1:6" x14ac:dyDescent="0.25">
      <c r="A132" t="s">
        <v>1133</v>
      </c>
      <c r="B132" t="s">
        <v>98</v>
      </c>
      <c r="C132" t="s">
        <v>99</v>
      </c>
      <c r="D132" t="str">
        <f>HYPERLINK("http://service.sap.com/sap/support/notes/1586433","1586433")</f>
        <v>1586433</v>
      </c>
      <c r="E132">
        <v>4</v>
      </c>
      <c r="F132" t="s">
        <v>928</v>
      </c>
    </row>
    <row r="133" spans="1:6" x14ac:dyDescent="0.25">
      <c r="A133" t="s">
        <v>1133</v>
      </c>
      <c r="B133" t="s">
        <v>98</v>
      </c>
      <c r="C133" t="s">
        <v>99</v>
      </c>
      <c r="D133" t="str">
        <f>HYPERLINK("http://service.sap.com/sap/support/notes/1591961","1591961")</f>
        <v>1591961</v>
      </c>
      <c r="E133">
        <v>8</v>
      </c>
      <c r="F133" t="s">
        <v>929</v>
      </c>
    </row>
    <row r="134" spans="1:6" x14ac:dyDescent="0.25">
      <c r="A134" t="s">
        <v>1133</v>
      </c>
      <c r="B134" t="s">
        <v>98</v>
      </c>
      <c r="C134" t="s">
        <v>99</v>
      </c>
      <c r="D134" t="str">
        <f>HYPERLINK("http://service.sap.com/sap/support/notes/1592518","1592518")</f>
        <v>1592518</v>
      </c>
      <c r="E134">
        <v>2</v>
      </c>
      <c r="F134" t="s">
        <v>930</v>
      </c>
    </row>
    <row r="135" spans="1:6" x14ac:dyDescent="0.25">
      <c r="A135" t="s">
        <v>1133</v>
      </c>
      <c r="B135" t="s">
        <v>98</v>
      </c>
      <c r="C135" t="s">
        <v>99</v>
      </c>
      <c r="D135" t="str">
        <f>HYPERLINK("http://service.sap.com/sap/support/notes/1603121","1603121")</f>
        <v>1603121</v>
      </c>
      <c r="E135">
        <v>2</v>
      </c>
      <c r="F135" t="s">
        <v>931</v>
      </c>
    </row>
    <row r="136" spans="1:6" x14ac:dyDescent="0.25">
      <c r="A136" t="s">
        <v>1133</v>
      </c>
      <c r="B136" t="s">
        <v>98</v>
      </c>
      <c r="C136" t="s">
        <v>99</v>
      </c>
      <c r="D136" t="str">
        <f>HYPERLINK("http://service.sap.com/sap/support/notes/1603124","1603124")</f>
        <v>1603124</v>
      </c>
      <c r="E136">
        <v>9</v>
      </c>
      <c r="F136" t="s">
        <v>932</v>
      </c>
    </row>
    <row r="137" spans="1:6" x14ac:dyDescent="0.25">
      <c r="A137" t="s">
        <v>1133</v>
      </c>
      <c r="B137" t="s">
        <v>98</v>
      </c>
      <c r="C137" t="s">
        <v>99</v>
      </c>
      <c r="D137" t="str">
        <f>HYPERLINK("http://service.sap.com/sap/support/notes/1608025","1608025")</f>
        <v>1608025</v>
      </c>
      <c r="E137">
        <v>2</v>
      </c>
      <c r="F137" t="s">
        <v>933</v>
      </c>
    </row>
    <row r="138" spans="1:6" x14ac:dyDescent="0.25">
      <c r="A138" t="s">
        <v>1133</v>
      </c>
      <c r="B138" t="s">
        <v>98</v>
      </c>
      <c r="C138" t="s">
        <v>99</v>
      </c>
      <c r="D138" t="str">
        <f>HYPERLINK("http://service.sap.com/sap/support/notes/1609908","1609908")</f>
        <v>1609908</v>
      </c>
      <c r="E138">
        <v>2</v>
      </c>
      <c r="F138" t="s">
        <v>934</v>
      </c>
    </row>
    <row r="139" spans="1:6" x14ac:dyDescent="0.25">
      <c r="A139" t="s">
        <v>1133</v>
      </c>
      <c r="B139" t="s">
        <v>98</v>
      </c>
      <c r="C139" t="s">
        <v>99</v>
      </c>
      <c r="D139" t="str">
        <f>HYPERLINK("http://service.sap.com/sap/support/notes/1615908","1615908")</f>
        <v>1615908</v>
      </c>
      <c r="E139">
        <v>3</v>
      </c>
      <c r="F139" t="s">
        <v>935</v>
      </c>
    </row>
    <row r="140" spans="1:6" x14ac:dyDescent="0.25">
      <c r="A140" t="s">
        <v>1133</v>
      </c>
      <c r="B140" t="s">
        <v>98</v>
      </c>
      <c r="C140" t="s">
        <v>99</v>
      </c>
      <c r="D140" t="str">
        <f>HYPERLINK("http://service.sap.com/sap/support/notes/1618271","1618271")</f>
        <v>1618271</v>
      </c>
      <c r="E140">
        <v>19</v>
      </c>
      <c r="F140" t="s">
        <v>936</v>
      </c>
    </row>
    <row r="141" spans="1:6" x14ac:dyDescent="0.25">
      <c r="A141" t="s">
        <v>1133</v>
      </c>
      <c r="B141" t="s">
        <v>98</v>
      </c>
      <c r="C141" t="s">
        <v>99</v>
      </c>
      <c r="D141" t="str">
        <f>HYPERLINK("http://service.sap.com/sap/support/notes/1622360","1622360")</f>
        <v>1622360</v>
      </c>
      <c r="E141">
        <v>4</v>
      </c>
      <c r="F141" t="s">
        <v>937</v>
      </c>
    </row>
    <row r="142" spans="1:6" x14ac:dyDescent="0.25">
      <c r="A142" t="s">
        <v>1133</v>
      </c>
      <c r="B142" t="s">
        <v>98</v>
      </c>
      <c r="C142" t="s">
        <v>99</v>
      </c>
      <c r="D142" t="str">
        <f>HYPERLINK("http://service.sap.com/sap/support/notes/1623258","1623258")</f>
        <v>1623258</v>
      </c>
      <c r="E142">
        <v>8</v>
      </c>
      <c r="F142" t="s">
        <v>938</v>
      </c>
    </row>
    <row r="143" spans="1:6" x14ac:dyDescent="0.25">
      <c r="A143" t="s">
        <v>1133</v>
      </c>
      <c r="B143" t="s">
        <v>98</v>
      </c>
      <c r="C143" t="s">
        <v>99</v>
      </c>
      <c r="D143" t="str">
        <f>HYPERLINK("http://service.sap.com/sap/support/notes/1626487","1626487")</f>
        <v>1626487</v>
      </c>
      <c r="E143">
        <v>2</v>
      </c>
      <c r="F143" t="s">
        <v>939</v>
      </c>
    </row>
    <row r="144" spans="1:6" x14ac:dyDescent="0.25">
      <c r="A144" t="s">
        <v>1133</v>
      </c>
      <c r="B144" t="s">
        <v>100</v>
      </c>
      <c r="C144" t="s">
        <v>36</v>
      </c>
      <c r="D144" t="str">
        <f>HYPERLINK("http://service.sap.com/sap/support/notes/1637438","1637438")</f>
        <v>1637438</v>
      </c>
      <c r="E144">
        <v>1</v>
      </c>
      <c r="F144" t="s">
        <v>940</v>
      </c>
    </row>
    <row r="145" spans="1:6" x14ac:dyDescent="0.25">
      <c r="A145" t="s">
        <v>1133</v>
      </c>
      <c r="B145" t="s">
        <v>101</v>
      </c>
      <c r="C145" t="s">
        <v>38</v>
      </c>
      <c r="D145" t="str">
        <f>HYPERLINK("http://service.sap.com/sap/support/notes/1644383","1644383")</f>
        <v>1644383</v>
      </c>
      <c r="E145">
        <v>1</v>
      </c>
      <c r="F145" t="s">
        <v>941</v>
      </c>
    </row>
    <row r="146" spans="1:6" x14ac:dyDescent="0.25">
      <c r="A146" t="s">
        <v>1133</v>
      </c>
      <c r="B146" t="s">
        <v>102</v>
      </c>
      <c r="C146" t="s">
        <v>103</v>
      </c>
      <c r="D146" t="str">
        <f>HYPERLINK("http://service.sap.com/sap/support/notes/1639687","1639687")</f>
        <v>1639687</v>
      </c>
      <c r="E146">
        <v>3</v>
      </c>
      <c r="F146" t="s">
        <v>942</v>
      </c>
    </row>
    <row r="147" spans="1:6" x14ac:dyDescent="0.25">
      <c r="A147" t="s">
        <v>1133</v>
      </c>
      <c r="B147" t="s">
        <v>102</v>
      </c>
      <c r="C147" t="s">
        <v>103</v>
      </c>
      <c r="D147" t="str">
        <f>HYPERLINK("http://service.sap.com/sap/support/notes/1639995","1639995")</f>
        <v>1639995</v>
      </c>
      <c r="E147">
        <v>1</v>
      </c>
      <c r="F147" t="s">
        <v>943</v>
      </c>
    </row>
    <row r="148" spans="1:6" x14ac:dyDescent="0.25">
      <c r="A148" t="s">
        <v>1133</v>
      </c>
      <c r="B148" t="s">
        <v>104</v>
      </c>
      <c r="C148" t="s">
        <v>105</v>
      </c>
      <c r="D148" t="str">
        <f>HYPERLINK("http://service.sap.com/sap/support/notes/1569672","1569672")</f>
        <v>1569672</v>
      </c>
      <c r="E148">
        <v>2</v>
      </c>
      <c r="F148" t="s">
        <v>944</v>
      </c>
    </row>
    <row r="149" spans="1:6" x14ac:dyDescent="0.25">
      <c r="A149" t="s">
        <v>1133</v>
      </c>
      <c r="B149" t="s">
        <v>104</v>
      </c>
      <c r="C149" t="s">
        <v>105</v>
      </c>
      <c r="D149" t="str">
        <f>HYPERLINK("http://service.sap.com/sap/support/notes/1634760","1634760")</f>
        <v>1634760</v>
      </c>
      <c r="E149">
        <v>2</v>
      </c>
      <c r="F149" t="s">
        <v>945</v>
      </c>
    </row>
    <row r="150" spans="1:6" x14ac:dyDescent="0.25">
      <c r="A150" t="s">
        <v>1133</v>
      </c>
      <c r="B150" t="s">
        <v>106</v>
      </c>
      <c r="C150" t="s">
        <v>107</v>
      </c>
    </row>
    <row r="151" spans="1:6" x14ac:dyDescent="0.25">
      <c r="A151" t="s">
        <v>1133</v>
      </c>
      <c r="B151" t="s">
        <v>108</v>
      </c>
      <c r="C151" t="s">
        <v>109</v>
      </c>
      <c r="D151" t="str">
        <f>HYPERLINK("http://service.sap.com/sap/support/notes/1625945","1625945")</f>
        <v>1625945</v>
      </c>
      <c r="E151">
        <v>2</v>
      </c>
      <c r="F151" t="s">
        <v>946</v>
      </c>
    </row>
    <row r="152" spans="1:6" x14ac:dyDescent="0.25">
      <c r="A152" t="s">
        <v>1133</v>
      </c>
      <c r="B152" t="s">
        <v>609</v>
      </c>
      <c r="C152" t="s">
        <v>610</v>
      </c>
      <c r="D152" t="str">
        <f>HYPERLINK("http://service.sap.com/sap/support/notes/1624666","1624666")</f>
        <v>1624666</v>
      </c>
      <c r="E152">
        <v>2</v>
      </c>
      <c r="F152" t="s">
        <v>947</v>
      </c>
    </row>
    <row r="153" spans="1:6" x14ac:dyDescent="0.25">
      <c r="A153" t="s">
        <v>1133</v>
      </c>
      <c r="B153" t="s">
        <v>609</v>
      </c>
      <c r="C153" t="s">
        <v>610</v>
      </c>
      <c r="D153" t="str">
        <f>HYPERLINK("http://service.sap.com/sap/support/notes/1633006","1633006")</f>
        <v>1633006</v>
      </c>
      <c r="E153">
        <v>3</v>
      </c>
      <c r="F153" t="s">
        <v>948</v>
      </c>
    </row>
    <row r="154" spans="1:6" x14ac:dyDescent="0.25">
      <c r="A154" t="s">
        <v>1133</v>
      </c>
      <c r="B154" t="s">
        <v>609</v>
      </c>
      <c r="C154" t="s">
        <v>610</v>
      </c>
      <c r="D154" t="str">
        <f>HYPERLINK("http://service.sap.com/sap/support/notes/1633983","1633983")</f>
        <v>1633983</v>
      </c>
      <c r="E154">
        <v>2</v>
      </c>
      <c r="F154" t="s">
        <v>949</v>
      </c>
    </row>
    <row r="155" spans="1:6" x14ac:dyDescent="0.25">
      <c r="A155" t="s">
        <v>1133</v>
      </c>
      <c r="B155" t="s">
        <v>609</v>
      </c>
      <c r="C155" t="s">
        <v>610</v>
      </c>
      <c r="D155" t="str">
        <f>HYPERLINK("http://service.sap.com/sap/support/notes/1636098","1636098")</f>
        <v>1636098</v>
      </c>
      <c r="E155">
        <v>2</v>
      </c>
      <c r="F155" t="s">
        <v>950</v>
      </c>
    </row>
    <row r="156" spans="1:6" x14ac:dyDescent="0.25">
      <c r="A156" t="s">
        <v>1133</v>
      </c>
      <c r="B156" t="s">
        <v>609</v>
      </c>
      <c r="C156" t="s">
        <v>610</v>
      </c>
      <c r="D156" t="str">
        <f>HYPERLINK("http://service.sap.com/sap/support/notes/1637205","1637205")</f>
        <v>1637205</v>
      </c>
      <c r="E156">
        <v>5</v>
      </c>
      <c r="F156" t="s">
        <v>951</v>
      </c>
    </row>
    <row r="157" spans="1:6" x14ac:dyDescent="0.25">
      <c r="A157" t="s">
        <v>1133</v>
      </c>
      <c r="B157" t="s">
        <v>312</v>
      </c>
      <c r="C157" t="s">
        <v>313</v>
      </c>
      <c r="D157" t="str">
        <f>HYPERLINK("http://service.sap.com/sap/support/notes/1625835","1625835")</f>
        <v>1625835</v>
      </c>
      <c r="E157">
        <v>9</v>
      </c>
      <c r="F157" t="s">
        <v>952</v>
      </c>
    </row>
    <row r="158" spans="1:6" x14ac:dyDescent="0.25">
      <c r="A158" t="s">
        <v>1133</v>
      </c>
      <c r="B158" t="s">
        <v>312</v>
      </c>
      <c r="C158" t="s">
        <v>313</v>
      </c>
      <c r="D158" t="str">
        <f>HYPERLINK("http://service.sap.com/sap/support/notes/1631076","1631076")</f>
        <v>1631076</v>
      </c>
      <c r="E158">
        <v>5</v>
      </c>
      <c r="F158" t="s">
        <v>953</v>
      </c>
    </row>
    <row r="159" spans="1:6" x14ac:dyDescent="0.25">
      <c r="A159" t="s">
        <v>1133</v>
      </c>
      <c r="B159" t="s">
        <v>312</v>
      </c>
      <c r="C159" t="s">
        <v>313</v>
      </c>
      <c r="D159" t="str">
        <f>HYPERLINK("http://service.sap.com/sap/support/notes/1632974","1632974")</f>
        <v>1632974</v>
      </c>
      <c r="E159">
        <v>2</v>
      </c>
      <c r="F159" t="s">
        <v>954</v>
      </c>
    </row>
    <row r="160" spans="1:6" x14ac:dyDescent="0.25">
      <c r="A160" t="s">
        <v>1133</v>
      </c>
      <c r="B160" t="s">
        <v>312</v>
      </c>
      <c r="C160" t="s">
        <v>313</v>
      </c>
      <c r="D160" t="str">
        <f>HYPERLINK("http://service.sap.com/sap/support/notes/1635178","1635178")</f>
        <v>1635178</v>
      </c>
      <c r="E160">
        <v>1</v>
      </c>
      <c r="F160" t="s">
        <v>955</v>
      </c>
    </row>
    <row r="161" spans="1:6" x14ac:dyDescent="0.25">
      <c r="A161" t="s">
        <v>1133</v>
      </c>
      <c r="B161" t="s">
        <v>312</v>
      </c>
      <c r="C161" t="s">
        <v>313</v>
      </c>
      <c r="D161" t="str">
        <f>HYPERLINK("http://service.sap.com/sap/support/notes/1635452","1635452")</f>
        <v>1635452</v>
      </c>
      <c r="E161">
        <v>1</v>
      </c>
      <c r="F161" t="s">
        <v>809</v>
      </c>
    </row>
    <row r="162" spans="1:6" x14ac:dyDescent="0.25">
      <c r="A162" t="s">
        <v>1133</v>
      </c>
      <c r="B162" t="s">
        <v>312</v>
      </c>
      <c r="C162" t="s">
        <v>313</v>
      </c>
      <c r="D162" t="str">
        <f>HYPERLINK("http://service.sap.com/sap/support/notes/1636556","1636556")</f>
        <v>1636556</v>
      </c>
      <c r="E162">
        <v>1</v>
      </c>
      <c r="F162" t="s">
        <v>956</v>
      </c>
    </row>
    <row r="163" spans="1:6" x14ac:dyDescent="0.25">
      <c r="A163" t="s">
        <v>1133</v>
      </c>
      <c r="B163" t="s">
        <v>312</v>
      </c>
      <c r="C163" t="s">
        <v>313</v>
      </c>
      <c r="D163" t="str">
        <f>HYPERLINK("http://service.sap.com/sap/support/notes/1637471","1637471")</f>
        <v>1637471</v>
      </c>
      <c r="E163">
        <v>2</v>
      </c>
      <c r="F163" t="s">
        <v>957</v>
      </c>
    </row>
    <row r="164" spans="1:6" x14ac:dyDescent="0.25">
      <c r="A164" t="s">
        <v>1133</v>
      </c>
      <c r="B164" t="s">
        <v>312</v>
      </c>
      <c r="C164" t="s">
        <v>313</v>
      </c>
      <c r="D164" t="str">
        <f>HYPERLINK("http://service.sap.com/sap/support/notes/1640696","1640696")</f>
        <v>1640696</v>
      </c>
      <c r="E164">
        <v>2</v>
      </c>
      <c r="F164" t="s">
        <v>958</v>
      </c>
    </row>
    <row r="165" spans="1:6" x14ac:dyDescent="0.25">
      <c r="A165" t="s">
        <v>1133</v>
      </c>
      <c r="B165" t="s">
        <v>312</v>
      </c>
      <c r="C165" t="s">
        <v>313</v>
      </c>
      <c r="D165" t="str">
        <f>HYPERLINK("http://service.sap.com/sap/support/notes/1641714","1641714")</f>
        <v>1641714</v>
      </c>
      <c r="E165">
        <v>1</v>
      </c>
      <c r="F165" t="s">
        <v>959</v>
      </c>
    </row>
    <row r="166" spans="1:6" x14ac:dyDescent="0.25">
      <c r="A166" t="s">
        <v>1133</v>
      </c>
      <c r="B166" t="s">
        <v>312</v>
      </c>
      <c r="C166" t="s">
        <v>313</v>
      </c>
      <c r="D166" t="str">
        <f>HYPERLINK("http://service.sap.com/sap/support/notes/1642751","1642751")</f>
        <v>1642751</v>
      </c>
      <c r="E166">
        <v>1</v>
      </c>
      <c r="F166" t="s">
        <v>960</v>
      </c>
    </row>
    <row r="167" spans="1:6" x14ac:dyDescent="0.25">
      <c r="A167" t="s">
        <v>1133</v>
      </c>
      <c r="B167" t="s">
        <v>312</v>
      </c>
      <c r="C167" t="s">
        <v>313</v>
      </c>
      <c r="D167" t="str">
        <f>HYPERLINK("http://service.sap.com/sap/support/notes/1644159","1644159")</f>
        <v>1644159</v>
      </c>
      <c r="E167">
        <v>2</v>
      </c>
      <c r="F167" t="s">
        <v>961</v>
      </c>
    </row>
    <row r="168" spans="1:6" x14ac:dyDescent="0.25">
      <c r="A168" t="s">
        <v>1133</v>
      </c>
      <c r="B168" t="s">
        <v>114</v>
      </c>
      <c r="C168" t="s">
        <v>115</v>
      </c>
    </row>
    <row r="169" spans="1:6" x14ac:dyDescent="0.25">
      <c r="A169" t="s">
        <v>1133</v>
      </c>
      <c r="B169" t="s">
        <v>120</v>
      </c>
      <c r="C169" t="s">
        <v>121</v>
      </c>
      <c r="D169" t="str">
        <f>HYPERLINK("http://service.sap.com/sap/support/notes/1585445","1585445")</f>
        <v>1585445</v>
      </c>
      <c r="E169">
        <v>3</v>
      </c>
      <c r="F169" t="s">
        <v>962</v>
      </c>
    </row>
    <row r="170" spans="1:6" x14ac:dyDescent="0.25">
      <c r="A170" t="s">
        <v>1133</v>
      </c>
      <c r="B170" t="s">
        <v>120</v>
      </c>
      <c r="C170" t="s">
        <v>121</v>
      </c>
      <c r="D170" t="str">
        <f>HYPERLINK("http://service.sap.com/sap/support/notes/1634735","1634735")</f>
        <v>1634735</v>
      </c>
      <c r="E170">
        <v>1</v>
      </c>
      <c r="F170" t="s">
        <v>963</v>
      </c>
    </row>
    <row r="171" spans="1:6" x14ac:dyDescent="0.25">
      <c r="A171" t="s">
        <v>1133</v>
      </c>
      <c r="B171" t="s">
        <v>122</v>
      </c>
      <c r="C171" t="s">
        <v>123</v>
      </c>
      <c r="D171" t="str">
        <f>HYPERLINK("http://service.sap.com/sap/support/notes/1567618","1567618")</f>
        <v>1567618</v>
      </c>
      <c r="E171">
        <v>1</v>
      </c>
      <c r="F171" t="s">
        <v>964</v>
      </c>
    </row>
    <row r="172" spans="1:6" x14ac:dyDescent="0.25">
      <c r="A172" t="s">
        <v>1133</v>
      </c>
      <c r="B172" t="s">
        <v>122</v>
      </c>
      <c r="C172" t="s">
        <v>123</v>
      </c>
      <c r="D172" t="str">
        <f>HYPERLINK("http://service.sap.com/sap/support/notes/1620987","1620987")</f>
        <v>1620987</v>
      </c>
      <c r="E172">
        <v>2</v>
      </c>
      <c r="F172" t="s">
        <v>965</v>
      </c>
    </row>
    <row r="173" spans="1:6" x14ac:dyDescent="0.25">
      <c r="A173" t="s">
        <v>1133</v>
      </c>
      <c r="B173" t="s">
        <v>122</v>
      </c>
      <c r="C173" t="s">
        <v>123</v>
      </c>
      <c r="D173" t="str">
        <f>HYPERLINK("http://service.sap.com/sap/support/notes/1629201","1629201")</f>
        <v>1629201</v>
      </c>
      <c r="E173">
        <v>3</v>
      </c>
      <c r="F173" t="s">
        <v>966</v>
      </c>
    </row>
    <row r="174" spans="1:6" x14ac:dyDescent="0.25">
      <c r="A174" t="s">
        <v>1133</v>
      </c>
      <c r="B174" t="s">
        <v>122</v>
      </c>
      <c r="C174" t="s">
        <v>123</v>
      </c>
      <c r="D174" t="str">
        <f>HYPERLINK("http://service.sap.com/sap/support/notes/1634256","1634256")</f>
        <v>1634256</v>
      </c>
      <c r="E174">
        <v>2</v>
      </c>
      <c r="F174" t="s">
        <v>967</v>
      </c>
    </row>
    <row r="175" spans="1:6" x14ac:dyDescent="0.25">
      <c r="A175" t="s">
        <v>1133</v>
      </c>
      <c r="B175" t="s">
        <v>122</v>
      </c>
      <c r="C175" t="s">
        <v>123</v>
      </c>
      <c r="D175" t="str">
        <f>HYPERLINK("http://service.sap.com/sap/support/notes/1638835","1638835")</f>
        <v>1638835</v>
      </c>
      <c r="E175">
        <v>2</v>
      </c>
      <c r="F175" t="s">
        <v>968</v>
      </c>
    </row>
    <row r="176" spans="1:6" x14ac:dyDescent="0.25">
      <c r="A176" t="s">
        <v>1133</v>
      </c>
      <c r="B176" t="s">
        <v>122</v>
      </c>
      <c r="C176" t="s">
        <v>123</v>
      </c>
      <c r="D176" t="str">
        <f>HYPERLINK("http://service.sap.com/sap/support/notes/1640684","1640684")</f>
        <v>1640684</v>
      </c>
      <c r="E176">
        <v>1</v>
      </c>
      <c r="F176" t="s">
        <v>969</v>
      </c>
    </row>
    <row r="177" spans="1:6" x14ac:dyDescent="0.25">
      <c r="A177" t="s">
        <v>1133</v>
      </c>
      <c r="B177" t="s">
        <v>124</v>
      </c>
      <c r="C177" t="s">
        <v>82</v>
      </c>
      <c r="D177" t="str">
        <f>HYPERLINK("http://service.sap.com/sap/support/notes/1635758","1635758")</f>
        <v>1635758</v>
      </c>
      <c r="E177">
        <v>1</v>
      </c>
      <c r="F177" t="s">
        <v>970</v>
      </c>
    </row>
    <row r="178" spans="1:6" x14ac:dyDescent="0.25">
      <c r="A178" t="s">
        <v>1133</v>
      </c>
      <c r="B178" t="s">
        <v>124</v>
      </c>
      <c r="C178" t="s">
        <v>82</v>
      </c>
      <c r="D178" t="str">
        <f>HYPERLINK("http://service.sap.com/sap/support/notes/1636292","1636292")</f>
        <v>1636292</v>
      </c>
      <c r="E178">
        <v>3</v>
      </c>
      <c r="F178" t="s">
        <v>971</v>
      </c>
    </row>
    <row r="179" spans="1:6" x14ac:dyDescent="0.25">
      <c r="A179" t="s">
        <v>1133</v>
      </c>
      <c r="B179" t="s">
        <v>124</v>
      </c>
      <c r="C179" t="s">
        <v>82</v>
      </c>
      <c r="D179" t="str">
        <f>HYPERLINK("http://service.sap.com/sap/support/notes/1637553","1637553")</f>
        <v>1637553</v>
      </c>
      <c r="E179">
        <v>1</v>
      </c>
      <c r="F179" t="s">
        <v>972</v>
      </c>
    </row>
    <row r="180" spans="1:6" x14ac:dyDescent="0.25">
      <c r="A180" t="s">
        <v>1133</v>
      </c>
      <c r="B180" t="s">
        <v>124</v>
      </c>
      <c r="C180" t="s">
        <v>82</v>
      </c>
      <c r="D180" t="str">
        <f>HYPERLINK("http://service.sap.com/sap/support/notes/1638396","1638396")</f>
        <v>1638396</v>
      </c>
      <c r="E180">
        <v>2</v>
      </c>
      <c r="F180" t="s">
        <v>973</v>
      </c>
    </row>
    <row r="181" spans="1:6" x14ac:dyDescent="0.25">
      <c r="A181" t="s">
        <v>1133</v>
      </c>
      <c r="B181" t="s">
        <v>124</v>
      </c>
      <c r="C181" t="s">
        <v>82</v>
      </c>
      <c r="D181" t="str">
        <f>HYPERLINK("http://service.sap.com/sap/support/notes/1640057","1640057")</f>
        <v>1640057</v>
      </c>
      <c r="E181">
        <v>1</v>
      </c>
      <c r="F181" t="s">
        <v>974</v>
      </c>
    </row>
    <row r="182" spans="1:6" x14ac:dyDescent="0.25">
      <c r="A182" t="s">
        <v>1133</v>
      </c>
      <c r="B182" t="s">
        <v>124</v>
      </c>
      <c r="C182" t="s">
        <v>82</v>
      </c>
      <c r="D182" t="str">
        <f>HYPERLINK("http://service.sap.com/sap/support/notes/1644676","1644676")</f>
        <v>1644676</v>
      </c>
      <c r="E182">
        <v>2</v>
      </c>
      <c r="F182" t="s">
        <v>975</v>
      </c>
    </row>
    <row r="183" spans="1:6" x14ac:dyDescent="0.25">
      <c r="A183" t="s">
        <v>1133</v>
      </c>
      <c r="B183" t="s">
        <v>124</v>
      </c>
      <c r="C183" t="s">
        <v>82</v>
      </c>
      <c r="D183" t="str">
        <f>HYPERLINK("http://service.sap.com/sap/support/notes/1644775","1644775")</f>
        <v>1644775</v>
      </c>
      <c r="E183">
        <v>1</v>
      </c>
      <c r="F183" t="s">
        <v>976</v>
      </c>
    </row>
    <row r="184" spans="1:6" x14ac:dyDescent="0.25">
      <c r="A184" t="s">
        <v>1133</v>
      </c>
      <c r="B184" t="s">
        <v>125</v>
      </c>
      <c r="C184" t="s">
        <v>126</v>
      </c>
      <c r="D184" t="str">
        <f>HYPERLINK("http://service.sap.com/sap/support/notes/1634674","1634674")</f>
        <v>1634674</v>
      </c>
      <c r="E184">
        <v>1</v>
      </c>
      <c r="F184" t="s">
        <v>977</v>
      </c>
    </row>
    <row r="185" spans="1:6" x14ac:dyDescent="0.25">
      <c r="A185" t="s">
        <v>1133</v>
      </c>
      <c r="B185" t="s">
        <v>127</v>
      </c>
      <c r="C185" t="s">
        <v>128</v>
      </c>
      <c r="D185" t="str">
        <f>HYPERLINK("http://service.sap.com/sap/support/notes/1626227","1626227")</f>
        <v>1626227</v>
      </c>
      <c r="E185">
        <v>1</v>
      </c>
      <c r="F185" t="s">
        <v>978</v>
      </c>
    </row>
    <row r="186" spans="1:6" x14ac:dyDescent="0.25">
      <c r="A186" t="s">
        <v>1133</v>
      </c>
      <c r="B186" t="s">
        <v>127</v>
      </c>
      <c r="C186" t="s">
        <v>128</v>
      </c>
      <c r="D186" t="str">
        <f>HYPERLINK("http://service.sap.com/sap/support/notes/1629084","1629084")</f>
        <v>1629084</v>
      </c>
      <c r="E186">
        <v>2</v>
      </c>
      <c r="F186" t="s">
        <v>979</v>
      </c>
    </row>
    <row r="187" spans="1:6" x14ac:dyDescent="0.25">
      <c r="A187" t="s">
        <v>1133</v>
      </c>
      <c r="B187" t="s">
        <v>127</v>
      </c>
      <c r="C187" t="s">
        <v>128</v>
      </c>
      <c r="D187" t="str">
        <f>HYPERLINK("http://service.sap.com/sap/support/notes/1630045","1630045")</f>
        <v>1630045</v>
      </c>
      <c r="E187">
        <v>2</v>
      </c>
      <c r="F187" t="s">
        <v>980</v>
      </c>
    </row>
    <row r="188" spans="1:6" x14ac:dyDescent="0.25">
      <c r="A188" t="s">
        <v>1133</v>
      </c>
      <c r="B188" t="s">
        <v>127</v>
      </c>
      <c r="C188" t="s">
        <v>128</v>
      </c>
      <c r="D188" t="str">
        <f>HYPERLINK("http://service.sap.com/sap/support/notes/1636620","1636620")</f>
        <v>1636620</v>
      </c>
      <c r="E188">
        <v>1</v>
      </c>
      <c r="F188" t="s">
        <v>981</v>
      </c>
    </row>
    <row r="189" spans="1:6" x14ac:dyDescent="0.25">
      <c r="A189" t="s">
        <v>1133</v>
      </c>
      <c r="B189" t="s">
        <v>127</v>
      </c>
      <c r="C189" t="s">
        <v>128</v>
      </c>
      <c r="D189" t="str">
        <f>HYPERLINK("http://service.sap.com/sap/support/notes/1637006","1637006")</f>
        <v>1637006</v>
      </c>
      <c r="E189">
        <v>3</v>
      </c>
      <c r="F189" t="s">
        <v>982</v>
      </c>
    </row>
    <row r="190" spans="1:6" x14ac:dyDescent="0.25">
      <c r="A190" t="s">
        <v>1133</v>
      </c>
      <c r="B190" t="s">
        <v>127</v>
      </c>
      <c r="C190" t="s">
        <v>128</v>
      </c>
      <c r="D190" t="str">
        <f>HYPERLINK("http://service.sap.com/sap/support/notes/1638230","1638230")</f>
        <v>1638230</v>
      </c>
      <c r="E190">
        <v>1</v>
      </c>
      <c r="F190" t="s">
        <v>983</v>
      </c>
    </row>
    <row r="191" spans="1:6" x14ac:dyDescent="0.25">
      <c r="A191" t="s">
        <v>1133</v>
      </c>
      <c r="B191" t="s">
        <v>127</v>
      </c>
      <c r="C191" t="s">
        <v>128</v>
      </c>
      <c r="D191" t="str">
        <f>HYPERLINK("http://service.sap.com/sap/support/notes/1638457","1638457")</f>
        <v>1638457</v>
      </c>
      <c r="E191">
        <v>1</v>
      </c>
      <c r="F191" t="s">
        <v>984</v>
      </c>
    </row>
    <row r="192" spans="1:6" x14ac:dyDescent="0.25">
      <c r="A192" t="s">
        <v>1133</v>
      </c>
      <c r="B192" t="s">
        <v>127</v>
      </c>
      <c r="C192" t="s">
        <v>128</v>
      </c>
      <c r="D192" t="str">
        <f>HYPERLINK("http://service.sap.com/sap/support/notes/1638652","1638652")</f>
        <v>1638652</v>
      </c>
      <c r="E192">
        <v>1</v>
      </c>
      <c r="F192" t="s">
        <v>985</v>
      </c>
    </row>
    <row r="193" spans="1:6" x14ac:dyDescent="0.25">
      <c r="A193" t="s">
        <v>1133</v>
      </c>
      <c r="B193" t="s">
        <v>127</v>
      </c>
      <c r="C193" t="s">
        <v>128</v>
      </c>
      <c r="D193" t="str">
        <f>HYPERLINK("http://service.sap.com/sap/support/notes/1640806","1640806")</f>
        <v>1640806</v>
      </c>
      <c r="E193">
        <v>1</v>
      </c>
      <c r="F193" t="s">
        <v>986</v>
      </c>
    </row>
    <row r="194" spans="1:6" x14ac:dyDescent="0.25">
      <c r="A194" t="s">
        <v>1133</v>
      </c>
      <c r="B194" t="s">
        <v>127</v>
      </c>
      <c r="C194" t="s">
        <v>128</v>
      </c>
      <c r="D194" t="str">
        <f>HYPERLINK("http://service.sap.com/sap/support/notes/1642104","1642104")</f>
        <v>1642104</v>
      </c>
      <c r="E194">
        <v>1</v>
      </c>
      <c r="F194" t="s">
        <v>987</v>
      </c>
    </row>
    <row r="195" spans="1:6" x14ac:dyDescent="0.25">
      <c r="A195" t="s">
        <v>1133</v>
      </c>
      <c r="B195" t="s">
        <v>127</v>
      </c>
      <c r="C195" t="s">
        <v>128</v>
      </c>
      <c r="D195" t="str">
        <f>HYPERLINK("http://service.sap.com/sap/support/notes/1642657","1642657")</f>
        <v>1642657</v>
      </c>
      <c r="E195">
        <v>1</v>
      </c>
      <c r="F195" t="s">
        <v>988</v>
      </c>
    </row>
    <row r="196" spans="1:6" x14ac:dyDescent="0.25">
      <c r="A196" t="s">
        <v>1133</v>
      </c>
      <c r="B196" t="s">
        <v>127</v>
      </c>
      <c r="C196" t="s">
        <v>128</v>
      </c>
      <c r="D196" t="str">
        <f>HYPERLINK("http://service.sap.com/sap/support/notes/1643572","1643572")</f>
        <v>1643572</v>
      </c>
      <c r="E196">
        <v>1</v>
      </c>
      <c r="F196" t="s">
        <v>989</v>
      </c>
    </row>
    <row r="197" spans="1:6" x14ac:dyDescent="0.25">
      <c r="A197" t="s">
        <v>1133</v>
      </c>
      <c r="B197" t="s">
        <v>129</v>
      </c>
      <c r="C197" t="s">
        <v>130</v>
      </c>
      <c r="D197" t="str">
        <f>HYPERLINK("http://service.sap.com/sap/support/notes/1618242","1618242")</f>
        <v>1618242</v>
      </c>
      <c r="E197">
        <v>7</v>
      </c>
      <c r="F197" t="s">
        <v>990</v>
      </c>
    </row>
    <row r="198" spans="1:6" x14ac:dyDescent="0.25">
      <c r="A198" t="s">
        <v>1133</v>
      </c>
      <c r="B198" t="s">
        <v>129</v>
      </c>
      <c r="C198" t="s">
        <v>130</v>
      </c>
      <c r="D198" t="str">
        <f>HYPERLINK("http://service.sap.com/sap/support/notes/1628584","1628584")</f>
        <v>1628584</v>
      </c>
      <c r="E198">
        <v>7</v>
      </c>
      <c r="F198" t="s">
        <v>991</v>
      </c>
    </row>
    <row r="199" spans="1:6" x14ac:dyDescent="0.25">
      <c r="A199" t="s">
        <v>1133</v>
      </c>
      <c r="B199" t="s">
        <v>131</v>
      </c>
      <c r="C199" t="s">
        <v>132</v>
      </c>
    </row>
    <row r="200" spans="1:6" x14ac:dyDescent="0.25">
      <c r="A200" t="s">
        <v>1133</v>
      </c>
      <c r="B200" t="s">
        <v>320</v>
      </c>
      <c r="C200" t="s">
        <v>359</v>
      </c>
      <c r="D200" t="str">
        <f>HYPERLINK("http://service.sap.com/sap/support/notes/1641816","1641816")</f>
        <v>1641816</v>
      </c>
      <c r="E200">
        <v>2</v>
      </c>
      <c r="F200" t="s">
        <v>992</v>
      </c>
    </row>
    <row r="201" spans="1:6" x14ac:dyDescent="0.25">
      <c r="A201" t="s">
        <v>1133</v>
      </c>
      <c r="B201" t="s">
        <v>133</v>
      </c>
      <c r="C201" t="s">
        <v>134</v>
      </c>
      <c r="D201" t="str">
        <f>HYPERLINK("http://service.sap.com/sap/support/notes/1632159","1632159")</f>
        <v>1632159</v>
      </c>
      <c r="E201">
        <v>1</v>
      </c>
      <c r="F201" t="s">
        <v>810</v>
      </c>
    </row>
    <row r="202" spans="1:6" x14ac:dyDescent="0.25">
      <c r="A202" t="s">
        <v>1133</v>
      </c>
      <c r="B202" t="s">
        <v>135</v>
      </c>
      <c r="C202" t="s">
        <v>136</v>
      </c>
      <c r="D202" t="str">
        <f>HYPERLINK("http://service.sap.com/sap/support/notes/1608838","1608838")</f>
        <v>1608838</v>
      </c>
      <c r="E202">
        <v>19</v>
      </c>
      <c r="F202" t="s">
        <v>993</v>
      </c>
    </row>
    <row r="203" spans="1:6" x14ac:dyDescent="0.25">
      <c r="A203" t="s">
        <v>1133</v>
      </c>
      <c r="B203" t="s">
        <v>135</v>
      </c>
      <c r="C203" t="s">
        <v>136</v>
      </c>
      <c r="D203" t="str">
        <f>HYPERLINK("http://service.sap.com/sap/support/notes/1609533","1609533")</f>
        <v>1609533</v>
      </c>
      <c r="E203">
        <v>5</v>
      </c>
      <c r="F203" t="s">
        <v>994</v>
      </c>
    </row>
    <row r="204" spans="1:6" x14ac:dyDescent="0.25">
      <c r="A204" t="s">
        <v>1133</v>
      </c>
      <c r="B204" t="s">
        <v>135</v>
      </c>
      <c r="C204" t="s">
        <v>136</v>
      </c>
      <c r="D204" t="str">
        <f>HYPERLINK("http://service.sap.com/sap/support/notes/1619366","1619366")</f>
        <v>1619366</v>
      </c>
      <c r="E204">
        <v>1</v>
      </c>
      <c r="F204" t="s">
        <v>995</v>
      </c>
    </row>
    <row r="205" spans="1:6" x14ac:dyDescent="0.25">
      <c r="A205" t="s">
        <v>1133</v>
      </c>
      <c r="B205" t="s">
        <v>135</v>
      </c>
      <c r="C205" t="s">
        <v>136</v>
      </c>
      <c r="D205" t="str">
        <f>HYPERLINK("http://service.sap.com/sap/support/notes/1622544","1622544")</f>
        <v>1622544</v>
      </c>
      <c r="E205">
        <v>2</v>
      </c>
      <c r="F205" t="s">
        <v>996</v>
      </c>
    </row>
    <row r="206" spans="1:6" x14ac:dyDescent="0.25">
      <c r="A206" t="s">
        <v>1133</v>
      </c>
      <c r="B206" t="s">
        <v>135</v>
      </c>
      <c r="C206" t="s">
        <v>136</v>
      </c>
      <c r="D206" t="str">
        <f>HYPERLINK("http://service.sap.com/sap/support/notes/1632298","1632298")</f>
        <v>1632298</v>
      </c>
      <c r="E206">
        <v>1</v>
      </c>
      <c r="F206" t="s">
        <v>997</v>
      </c>
    </row>
    <row r="207" spans="1:6" x14ac:dyDescent="0.25">
      <c r="A207" t="s">
        <v>1133</v>
      </c>
      <c r="B207" t="s">
        <v>135</v>
      </c>
      <c r="C207" t="s">
        <v>136</v>
      </c>
      <c r="D207" t="str">
        <f>HYPERLINK("http://service.sap.com/sap/support/notes/1632740","1632740")</f>
        <v>1632740</v>
      </c>
      <c r="E207">
        <v>2</v>
      </c>
      <c r="F207" t="s">
        <v>998</v>
      </c>
    </row>
    <row r="208" spans="1:6" x14ac:dyDescent="0.25">
      <c r="A208" t="s">
        <v>1133</v>
      </c>
      <c r="B208" t="s">
        <v>135</v>
      </c>
      <c r="C208" t="s">
        <v>136</v>
      </c>
      <c r="D208" t="str">
        <f>HYPERLINK("http://service.sap.com/sap/support/notes/1634122","1634122")</f>
        <v>1634122</v>
      </c>
      <c r="E208">
        <v>5</v>
      </c>
      <c r="F208" t="s">
        <v>999</v>
      </c>
    </row>
    <row r="209" spans="1:6" x14ac:dyDescent="0.25">
      <c r="A209" t="s">
        <v>1133</v>
      </c>
      <c r="B209" t="s">
        <v>135</v>
      </c>
      <c r="C209" t="s">
        <v>136</v>
      </c>
      <c r="D209" t="str">
        <f>HYPERLINK("http://service.sap.com/sap/support/notes/1634152","1634152")</f>
        <v>1634152</v>
      </c>
      <c r="E209">
        <v>2</v>
      </c>
      <c r="F209" t="s">
        <v>1000</v>
      </c>
    </row>
    <row r="210" spans="1:6" x14ac:dyDescent="0.25">
      <c r="A210" t="s">
        <v>1133</v>
      </c>
      <c r="B210" t="s">
        <v>135</v>
      </c>
      <c r="C210" t="s">
        <v>136</v>
      </c>
      <c r="D210" t="str">
        <f>HYPERLINK("http://service.sap.com/sap/support/notes/1634851","1634851")</f>
        <v>1634851</v>
      </c>
      <c r="E210">
        <v>3</v>
      </c>
      <c r="F210" t="s">
        <v>1001</v>
      </c>
    </row>
    <row r="211" spans="1:6" x14ac:dyDescent="0.25">
      <c r="A211" t="s">
        <v>1133</v>
      </c>
      <c r="B211" t="s">
        <v>135</v>
      </c>
      <c r="C211" t="s">
        <v>136</v>
      </c>
      <c r="D211" t="str">
        <f>HYPERLINK("http://service.sap.com/sap/support/notes/1634896","1634896")</f>
        <v>1634896</v>
      </c>
      <c r="E211">
        <v>3</v>
      </c>
      <c r="F211" t="s">
        <v>1002</v>
      </c>
    </row>
    <row r="212" spans="1:6" x14ac:dyDescent="0.25">
      <c r="A212" t="s">
        <v>1133</v>
      </c>
      <c r="B212" t="s">
        <v>135</v>
      </c>
      <c r="C212" t="s">
        <v>136</v>
      </c>
      <c r="D212" t="str">
        <f>HYPERLINK("http://service.sap.com/sap/support/notes/1634925","1634925")</f>
        <v>1634925</v>
      </c>
      <c r="E212">
        <v>2</v>
      </c>
      <c r="F212" t="s">
        <v>1003</v>
      </c>
    </row>
    <row r="213" spans="1:6" x14ac:dyDescent="0.25">
      <c r="A213" t="s">
        <v>1133</v>
      </c>
      <c r="B213" t="s">
        <v>135</v>
      </c>
      <c r="C213" t="s">
        <v>136</v>
      </c>
      <c r="D213" t="str">
        <f>HYPERLINK("http://service.sap.com/sap/support/notes/1636466","1636466")</f>
        <v>1636466</v>
      </c>
      <c r="E213">
        <v>4</v>
      </c>
      <c r="F213" t="s">
        <v>1004</v>
      </c>
    </row>
    <row r="214" spans="1:6" x14ac:dyDescent="0.25">
      <c r="A214" t="s">
        <v>1133</v>
      </c>
      <c r="B214" t="s">
        <v>135</v>
      </c>
      <c r="C214" t="s">
        <v>136</v>
      </c>
      <c r="D214" t="str">
        <f>HYPERLINK("http://service.sap.com/sap/support/notes/1638185","1638185")</f>
        <v>1638185</v>
      </c>
      <c r="E214">
        <v>2</v>
      </c>
      <c r="F214" t="s">
        <v>1005</v>
      </c>
    </row>
    <row r="215" spans="1:6" x14ac:dyDescent="0.25">
      <c r="A215" t="s">
        <v>1133</v>
      </c>
      <c r="B215" t="s">
        <v>135</v>
      </c>
      <c r="C215" t="s">
        <v>136</v>
      </c>
      <c r="D215" t="str">
        <f>HYPERLINK("http://service.sap.com/sap/support/notes/1638611","1638611")</f>
        <v>1638611</v>
      </c>
      <c r="E215">
        <v>1</v>
      </c>
      <c r="F215" t="s">
        <v>1006</v>
      </c>
    </row>
    <row r="216" spans="1:6" x14ac:dyDescent="0.25">
      <c r="A216" t="s">
        <v>1133</v>
      </c>
      <c r="B216" t="s">
        <v>135</v>
      </c>
      <c r="C216" t="s">
        <v>136</v>
      </c>
      <c r="D216" t="str">
        <f>HYPERLINK("http://service.sap.com/sap/support/notes/1639372","1639372")</f>
        <v>1639372</v>
      </c>
      <c r="E216">
        <v>2</v>
      </c>
      <c r="F216" t="s">
        <v>1007</v>
      </c>
    </row>
    <row r="217" spans="1:6" x14ac:dyDescent="0.25">
      <c r="A217" t="s">
        <v>1133</v>
      </c>
      <c r="B217" t="s">
        <v>135</v>
      </c>
      <c r="C217" t="s">
        <v>136</v>
      </c>
      <c r="D217" t="str">
        <f>HYPERLINK("http://service.sap.com/sap/support/notes/1639853","1639853")</f>
        <v>1639853</v>
      </c>
      <c r="E217">
        <v>1</v>
      </c>
      <c r="F217" t="s">
        <v>1008</v>
      </c>
    </row>
    <row r="218" spans="1:6" x14ac:dyDescent="0.25">
      <c r="A218" t="s">
        <v>1133</v>
      </c>
      <c r="B218" t="s">
        <v>135</v>
      </c>
      <c r="C218" t="s">
        <v>136</v>
      </c>
      <c r="D218" t="str">
        <f>HYPERLINK("http://service.sap.com/sap/support/notes/1639859","1639859")</f>
        <v>1639859</v>
      </c>
      <c r="E218">
        <v>2</v>
      </c>
      <c r="F218" t="s">
        <v>1009</v>
      </c>
    </row>
    <row r="219" spans="1:6" x14ac:dyDescent="0.25">
      <c r="A219" t="s">
        <v>1133</v>
      </c>
      <c r="B219" t="s">
        <v>135</v>
      </c>
      <c r="C219" t="s">
        <v>136</v>
      </c>
      <c r="D219" t="str">
        <f>HYPERLINK("http://service.sap.com/sap/support/notes/1640337","1640337")</f>
        <v>1640337</v>
      </c>
      <c r="E219">
        <v>5</v>
      </c>
      <c r="F219" t="s">
        <v>1010</v>
      </c>
    </row>
    <row r="220" spans="1:6" x14ac:dyDescent="0.25">
      <c r="A220" t="s">
        <v>1133</v>
      </c>
      <c r="B220" t="s">
        <v>135</v>
      </c>
      <c r="C220" t="s">
        <v>136</v>
      </c>
      <c r="D220" t="str">
        <f>HYPERLINK("http://service.sap.com/sap/support/notes/1640705","1640705")</f>
        <v>1640705</v>
      </c>
      <c r="E220">
        <v>3</v>
      </c>
      <c r="F220" t="s">
        <v>1011</v>
      </c>
    </row>
    <row r="221" spans="1:6" x14ac:dyDescent="0.25">
      <c r="A221" t="s">
        <v>1133</v>
      </c>
      <c r="B221" t="s">
        <v>135</v>
      </c>
      <c r="C221" t="s">
        <v>136</v>
      </c>
      <c r="D221" t="str">
        <f>HYPERLINK("http://service.sap.com/sap/support/notes/1640890","1640890")</f>
        <v>1640890</v>
      </c>
      <c r="E221">
        <v>5</v>
      </c>
      <c r="F221" t="s">
        <v>1012</v>
      </c>
    </row>
    <row r="222" spans="1:6" x14ac:dyDescent="0.25">
      <c r="A222" t="s">
        <v>1133</v>
      </c>
      <c r="B222" t="s">
        <v>135</v>
      </c>
      <c r="C222" t="s">
        <v>136</v>
      </c>
      <c r="D222" t="str">
        <f>HYPERLINK("http://service.sap.com/sap/support/notes/1642222","1642222")</f>
        <v>1642222</v>
      </c>
      <c r="E222">
        <v>2</v>
      </c>
      <c r="F222" t="s">
        <v>1013</v>
      </c>
    </row>
    <row r="223" spans="1:6" x14ac:dyDescent="0.25">
      <c r="A223" t="s">
        <v>1133</v>
      </c>
      <c r="B223" t="s">
        <v>135</v>
      </c>
      <c r="C223" t="s">
        <v>136</v>
      </c>
      <c r="D223" t="str">
        <f>HYPERLINK("http://service.sap.com/sap/support/notes/1642845","1642845")</f>
        <v>1642845</v>
      </c>
      <c r="E223">
        <v>1</v>
      </c>
      <c r="F223" t="s">
        <v>1014</v>
      </c>
    </row>
    <row r="224" spans="1:6" x14ac:dyDescent="0.25">
      <c r="A224" t="s">
        <v>1133</v>
      </c>
      <c r="B224" t="s">
        <v>135</v>
      </c>
      <c r="C224" t="s">
        <v>136</v>
      </c>
      <c r="D224" t="str">
        <f>HYPERLINK("http://service.sap.com/sap/support/notes/1643264","1643264")</f>
        <v>1643264</v>
      </c>
      <c r="E224">
        <v>1</v>
      </c>
      <c r="F224" t="s">
        <v>1015</v>
      </c>
    </row>
    <row r="225" spans="1:6" x14ac:dyDescent="0.25">
      <c r="A225" t="s">
        <v>1133</v>
      </c>
      <c r="B225" t="s">
        <v>135</v>
      </c>
      <c r="C225" t="s">
        <v>136</v>
      </c>
      <c r="D225" t="str">
        <f>HYPERLINK("http://service.sap.com/sap/support/notes/1643455","1643455")</f>
        <v>1643455</v>
      </c>
      <c r="E225">
        <v>2</v>
      </c>
      <c r="F225" t="s">
        <v>1016</v>
      </c>
    </row>
    <row r="226" spans="1:6" x14ac:dyDescent="0.25">
      <c r="A226" t="s">
        <v>1133</v>
      </c>
      <c r="B226" t="s">
        <v>135</v>
      </c>
      <c r="C226" t="s">
        <v>136</v>
      </c>
      <c r="D226" t="str">
        <f>HYPERLINK("http://service.sap.com/sap/support/notes/1643892","1643892")</f>
        <v>1643892</v>
      </c>
      <c r="E226">
        <v>1</v>
      </c>
      <c r="F226" t="s">
        <v>1017</v>
      </c>
    </row>
    <row r="227" spans="1:6" x14ac:dyDescent="0.25">
      <c r="A227" t="s">
        <v>1133</v>
      </c>
      <c r="B227" t="s">
        <v>137</v>
      </c>
      <c r="C227" t="s">
        <v>40</v>
      </c>
      <c r="D227" t="str">
        <f>HYPERLINK("http://service.sap.com/sap/support/notes/1617902","1617902")</f>
        <v>1617902</v>
      </c>
      <c r="E227">
        <v>2</v>
      </c>
      <c r="F227" t="s">
        <v>1018</v>
      </c>
    </row>
    <row r="228" spans="1:6" x14ac:dyDescent="0.25">
      <c r="A228" t="s">
        <v>1133</v>
      </c>
      <c r="B228" t="s">
        <v>138</v>
      </c>
      <c r="C228" t="s">
        <v>42</v>
      </c>
      <c r="D228" t="str">
        <f>HYPERLINK("http://service.sap.com/sap/support/notes/1597214","1597214")</f>
        <v>1597214</v>
      </c>
      <c r="E228">
        <v>1</v>
      </c>
      <c r="F228" t="s">
        <v>601</v>
      </c>
    </row>
    <row r="229" spans="1:6" x14ac:dyDescent="0.25">
      <c r="A229" t="s">
        <v>1133</v>
      </c>
      <c r="B229" t="s">
        <v>138</v>
      </c>
      <c r="C229" t="s">
        <v>42</v>
      </c>
      <c r="D229" t="str">
        <f>HYPERLINK("http://service.sap.com/sap/support/notes/1634695","1634695")</f>
        <v>1634695</v>
      </c>
      <c r="E229">
        <v>2</v>
      </c>
      <c r="F229" t="s">
        <v>1019</v>
      </c>
    </row>
    <row r="230" spans="1:6" x14ac:dyDescent="0.25">
      <c r="A230" t="s">
        <v>1133</v>
      </c>
      <c r="B230" t="s">
        <v>138</v>
      </c>
      <c r="C230" t="s">
        <v>42</v>
      </c>
      <c r="D230" t="str">
        <f>HYPERLINK("http://service.sap.com/sap/support/notes/1636221","1636221")</f>
        <v>1636221</v>
      </c>
      <c r="E230">
        <v>1</v>
      </c>
      <c r="F230" t="s">
        <v>1020</v>
      </c>
    </row>
    <row r="231" spans="1:6" x14ac:dyDescent="0.25">
      <c r="A231" t="s">
        <v>1133</v>
      </c>
      <c r="B231" t="s">
        <v>138</v>
      </c>
      <c r="C231" t="s">
        <v>42</v>
      </c>
      <c r="D231" t="str">
        <f>HYPERLINK("http://service.sap.com/sap/support/notes/1636366","1636366")</f>
        <v>1636366</v>
      </c>
      <c r="E231">
        <v>1</v>
      </c>
      <c r="F231" t="s">
        <v>1021</v>
      </c>
    </row>
    <row r="232" spans="1:6" x14ac:dyDescent="0.25">
      <c r="A232" t="s">
        <v>1133</v>
      </c>
      <c r="B232" t="s">
        <v>138</v>
      </c>
      <c r="C232" t="s">
        <v>42</v>
      </c>
      <c r="D232" t="str">
        <f>HYPERLINK("http://service.sap.com/sap/support/notes/1636735","1636735")</f>
        <v>1636735</v>
      </c>
      <c r="E232">
        <v>1</v>
      </c>
      <c r="F232" t="s">
        <v>1022</v>
      </c>
    </row>
    <row r="233" spans="1:6" x14ac:dyDescent="0.25">
      <c r="A233" t="s">
        <v>1133</v>
      </c>
      <c r="B233" t="s">
        <v>138</v>
      </c>
      <c r="C233" t="s">
        <v>42</v>
      </c>
      <c r="D233" t="str">
        <f>HYPERLINK("http://service.sap.com/sap/support/notes/1637284","1637284")</f>
        <v>1637284</v>
      </c>
      <c r="E233">
        <v>2</v>
      </c>
      <c r="F233" t="s">
        <v>1023</v>
      </c>
    </row>
    <row r="234" spans="1:6" x14ac:dyDescent="0.25">
      <c r="A234" t="s">
        <v>1133</v>
      </c>
      <c r="B234" t="s">
        <v>138</v>
      </c>
      <c r="C234" t="s">
        <v>42</v>
      </c>
      <c r="D234" t="str">
        <f>HYPERLINK("http://service.sap.com/sap/support/notes/1638690","1638690")</f>
        <v>1638690</v>
      </c>
      <c r="E234">
        <v>1</v>
      </c>
      <c r="F234" t="s">
        <v>1024</v>
      </c>
    </row>
    <row r="235" spans="1:6" x14ac:dyDescent="0.25">
      <c r="A235" t="s">
        <v>1133</v>
      </c>
      <c r="B235" t="s">
        <v>138</v>
      </c>
      <c r="C235" t="s">
        <v>42</v>
      </c>
      <c r="D235" t="str">
        <f>HYPERLINK("http://service.sap.com/sap/support/notes/1643410","1643410")</f>
        <v>1643410</v>
      </c>
      <c r="E235">
        <v>1</v>
      </c>
      <c r="F235" t="s">
        <v>1025</v>
      </c>
    </row>
    <row r="236" spans="1:6" x14ac:dyDescent="0.25">
      <c r="A236" t="s">
        <v>1133</v>
      </c>
      <c r="B236" t="s">
        <v>602</v>
      </c>
      <c r="C236" t="s">
        <v>360</v>
      </c>
      <c r="D236" t="str">
        <f>HYPERLINK("http://service.sap.com/sap/support/notes/1598851","1598851")</f>
        <v>1598851</v>
      </c>
      <c r="E236">
        <v>2</v>
      </c>
      <c r="F236" t="s">
        <v>603</v>
      </c>
    </row>
    <row r="237" spans="1:6" x14ac:dyDescent="0.25">
      <c r="A237" t="s">
        <v>1133</v>
      </c>
      <c r="B237" t="s">
        <v>139</v>
      </c>
      <c r="C237" t="s">
        <v>140</v>
      </c>
    </row>
    <row r="238" spans="1:6" x14ac:dyDescent="0.25">
      <c r="A238" t="s">
        <v>1133</v>
      </c>
      <c r="B238" t="s">
        <v>374</v>
      </c>
      <c r="C238" t="s">
        <v>313</v>
      </c>
    </row>
    <row r="239" spans="1:6" x14ac:dyDescent="0.25">
      <c r="A239" t="s">
        <v>1133</v>
      </c>
      <c r="B239" t="s">
        <v>375</v>
      </c>
      <c r="C239" t="s">
        <v>376</v>
      </c>
      <c r="D239" t="str">
        <f>HYPERLINK("http://service.sap.com/sap/support/notes/1608066","1608066")</f>
        <v>1608066</v>
      </c>
      <c r="E239">
        <v>2</v>
      </c>
      <c r="F239" t="s">
        <v>1026</v>
      </c>
    </row>
    <row r="240" spans="1:6" x14ac:dyDescent="0.25">
      <c r="A240" t="s">
        <v>1133</v>
      </c>
      <c r="B240" t="s">
        <v>322</v>
      </c>
      <c r="C240" t="s">
        <v>115</v>
      </c>
    </row>
    <row r="241" spans="1:6" x14ac:dyDescent="0.25">
      <c r="A241" t="s">
        <v>1133</v>
      </c>
      <c r="B241" t="s">
        <v>427</v>
      </c>
      <c r="C241" t="s">
        <v>428</v>
      </c>
      <c r="D241" t="str">
        <f>HYPERLINK("http://service.sap.com/sap/support/notes/1638395","1638395")</f>
        <v>1638395</v>
      </c>
      <c r="E241">
        <v>2</v>
      </c>
      <c r="F241" t="s">
        <v>1027</v>
      </c>
    </row>
    <row r="242" spans="1:6" x14ac:dyDescent="0.25">
      <c r="A242" t="s">
        <v>1133</v>
      </c>
      <c r="B242" t="s">
        <v>427</v>
      </c>
      <c r="C242" t="s">
        <v>428</v>
      </c>
      <c r="D242" t="str">
        <f>HYPERLINK("http://service.sap.com/sap/support/notes/1640415","1640415")</f>
        <v>1640415</v>
      </c>
      <c r="E242">
        <v>1</v>
      </c>
      <c r="F242" t="s">
        <v>1028</v>
      </c>
    </row>
    <row r="243" spans="1:6" x14ac:dyDescent="0.25">
      <c r="A243" t="s">
        <v>1133</v>
      </c>
      <c r="B243" t="s">
        <v>427</v>
      </c>
      <c r="C243" t="s">
        <v>428</v>
      </c>
      <c r="D243" t="str">
        <f>HYPERLINK("http://service.sap.com/sap/support/notes/1642608","1642608")</f>
        <v>1642608</v>
      </c>
      <c r="E243">
        <v>1</v>
      </c>
      <c r="F243" t="s">
        <v>1029</v>
      </c>
    </row>
    <row r="244" spans="1:6" x14ac:dyDescent="0.25">
      <c r="A244" t="s">
        <v>1133</v>
      </c>
      <c r="B244" t="s">
        <v>398</v>
      </c>
      <c r="C244" t="s">
        <v>123</v>
      </c>
      <c r="D244" t="str">
        <f>HYPERLINK("http://service.sap.com/sap/support/notes/1636505","1636505")</f>
        <v>1636505</v>
      </c>
      <c r="E244">
        <v>1</v>
      </c>
      <c r="F244" t="s">
        <v>1030</v>
      </c>
    </row>
    <row r="245" spans="1:6" x14ac:dyDescent="0.25">
      <c r="A245" t="s">
        <v>1133</v>
      </c>
      <c r="B245" t="s">
        <v>142</v>
      </c>
      <c r="C245" t="s">
        <v>82</v>
      </c>
      <c r="D245" t="str">
        <f>HYPERLINK("http://service.sap.com/sap/support/notes/1583749","1583749")</f>
        <v>1583749</v>
      </c>
      <c r="E245">
        <v>5</v>
      </c>
      <c r="F245" t="s">
        <v>1031</v>
      </c>
    </row>
    <row r="246" spans="1:6" x14ac:dyDescent="0.25">
      <c r="A246" t="s">
        <v>1133</v>
      </c>
      <c r="B246" t="s">
        <v>142</v>
      </c>
      <c r="C246" t="s">
        <v>82</v>
      </c>
      <c r="D246" t="str">
        <f>HYPERLINK("http://service.sap.com/sap/support/notes/1641109","1641109")</f>
        <v>1641109</v>
      </c>
      <c r="E246">
        <v>3</v>
      </c>
      <c r="F246" t="s">
        <v>1032</v>
      </c>
    </row>
    <row r="247" spans="1:6" x14ac:dyDescent="0.25">
      <c r="A247" t="s">
        <v>1133</v>
      </c>
      <c r="B247" t="s">
        <v>143</v>
      </c>
      <c r="C247" t="s">
        <v>132</v>
      </c>
    </row>
    <row r="248" spans="1:6" x14ac:dyDescent="0.25">
      <c r="A248" t="s">
        <v>1133</v>
      </c>
      <c r="B248" t="s">
        <v>144</v>
      </c>
      <c r="C248" t="s">
        <v>145</v>
      </c>
      <c r="D248" t="str">
        <f>HYPERLINK("http://service.sap.com/sap/support/notes/1636339","1636339")</f>
        <v>1636339</v>
      </c>
      <c r="E248">
        <v>1</v>
      </c>
      <c r="F248" t="s">
        <v>1033</v>
      </c>
    </row>
    <row r="249" spans="1:6" x14ac:dyDescent="0.25">
      <c r="A249" t="s">
        <v>1133</v>
      </c>
      <c r="B249" t="s">
        <v>146</v>
      </c>
      <c r="C249" t="s">
        <v>147</v>
      </c>
      <c r="D249" t="str">
        <f>HYPERLINK("http://service.sap.com/sap/support/notes/1641920","1641920")</f>
        <v>1641920</v>
      </c>
      <c r="E249">
        <v>1</v>
      </c>
      <c r="F249" t="s">
        <v>1034</v>
      </c>
    </row>
    <row r="250" spans="1:6" x14ac:dyDescent="0.25">
      <c r="A250" t="s">
        <v>1133</v>
      </c>
      <c r="B250" t="s">
        <v>146</v>
      </c>
      <c r="C250" t="s">
        <v>147</v>
      </c>
      <c r="D250" t="str">
        <f>HYPERLINK("http://service.sap.com/sap/support/notes/1644010","1644010")</f>
        <v>1644010</v>
      </c>
      <c r="E250">
        <v>1</v>
      </c>
      <c r="F250" t="s">
        <v>1035</v>
      </c>
    </row>
    <row r="251" spans="1:6" x14ac:dyDescent="0.25">
      <c r="A251" t="s">
        <v>1133</v>
      </c>
      <c r="B251" t="s">
        <v>148</v>
      </c>
      <c r="C251" t="s">
        <v>45</v>
      </c>
      <c r="D251" t="str">
        <f>HYPERLINK("http://service.sap.com/sap/support/notes/1633074","1633074")</f>
        <v>1633074</v>
      </c>
      <c r="E251">
        <v>1</v>
      </c>
      <c r="F251" t="s">
        <v>1036</v>
      </c>
    </row>
    <row r="252" spans="1:6" x14ac:dyDescent="0.25">
      <c r="A252" t="s">
        <v>1133</v>
      </c>
      <c r="B252" t="s">
        <v>148</v>
      </c>
      <c r="C252" t="s">
        <v>45</v>
      </c>
      <c r="D252" t="str">
        <f>HYPERLINK("http://service.sap.com/sap/support/notes/1633512","1633512")</f>
        <v>1633512</v>
      </c>
      <c r="E252">
        <v>1</v>
      </c>
      <c r="F252" t="s">
        <v>1037</v>
      </c>
    </row>
    <row r="253" spans="1:6" x14ac:dyDescent="0.25">
      <c r="A253" t="s">
        <v>1133</v>
      </c>
      <c r="B253" t="s">
        <v>149</v>
      </c>
      <c r="C253" t="s">
        <v>150</v>
      </c>
      <c r="D253" t="str">
        <f>HYPERLINK("http://service.sap.com/sap/support/notes/1580739","1580739")</f>
        <v>1580739</v>
      </c>
      <c r="E253">
        <v>2</v>
      </c>
      <c r="F253" t="s">
        <v>1038</v>
      </c>
    </row>
    <row r="254" spans="1:6" x14ac:dyDescent="0.25">
      <c r="A254" t="s">
        <v>1133</v>
      </c>
      <c r="B254" t="s">
        <v>152</v>
      </c>
      <c r="C254" t="s">
        <v>47</v>
      </c>
      <c r="D254" t="str">
        <f>HYPERLINK("http://service.sap.com/sap/support/notes/1617996","1617996")</f>
        <v>1617996</v>
      </c>
      <c r="E254">
        <v>3</v>
      </c>
      <c r="F254" t="s">
        <v>1039</v>
      </c>
    </row>
    <row r="255" spans="1:6" x14ac:dyDescent="0.25">
      <c r="A255" t="s">
        <v>1133</v>
      </c>
      <c r="B255" t="s">
        <v>152</v>
      </c>
      <c r="C255" t="s">
        <v>47</v>
      </c>
      <c r="D255" t="str">
        <f>HYPERLINK("http://service.sap.com/sap/support/notes/1622084","1622084")</f>
        <v>1622084</v>
      </c>
      <c r="E255">
        <v>3</v>
      </c>
      <c r="F255" t="s">
        <v>1040</v>
      </c>
    </row>
    <row r="256" spans="1:6" x14ac:dyDescent="0.25">
      <c r="A256" t="s">
        <v>1133</v>
      </c>
      <c r="B256" t="s">
        <v>152</v>
      </c>
      <c r="C256" t="s">
        <v>47</v>
      </c>
      <c r="D256" t="str">
        <f>HYPERLINK("http://service.sap.com/sap/support/notes/1630192","1630192")</f>
        <v>1630192</v>
      </c>
      <c r="E256">
        <v>3</v>
      </c>
      <c r="F256" t="s">
        <v>1041</v>
      </c>
    </row>
    <row r="257" spans="1:6" x14ac:dyDescent="0.25">
      <c r="A257" t="s">
        <v>1133</v>
      </c>
      <c r="B257" t="s">
        <v>152</v>
      </c>
      <c r="C257" t="s">
        <v>47</v>
      </c>
      <c r="D257" t="str">
        <f>HYPERLINK("http://service.sap.com/sap/support/notes/1630422","1630422")</f>
        <v>1630422</v>
      </c>
      <c r="E257">
        <v>3</v>
      </c>
      <c r="F257" t="s">
        <v>1042</v>
      </c>
    </row>
    <row r="258" spans="1:6" x14ac:dyDescent="0.25">
      <c r="A258" t="s">
        <v>1133</v>
      </c>
      <c r="B258" t="s">
        <v>152</v>
      </c>
      <c r="C258" t="s">
        <v>47</v>
      </c>
      <c r="D258" t="str">
        <f>HYPERLINK("http://service.sap.com/sap/support/notes/1631729","1631729")</f>
        <v>1631729</v>
      </c>
      <c r="E258">
        <v>2</v>
      </c>
      <c r="F258" t="s">
        <v>1043</v>
      </c>
    </row>
    <row r="259" spans="1:6" x14ac:dyDescent="0.25">
      <c r="A259" t="s">
        <v>1133</v>
      </c>
      <c r="B259" t="s">
        <v>152</v>
      </c>
      <c r="C259" t="s">
        <v>47</v>
      </c>
      <c r="D259" t="str">
        <f>HYPERLINK("http://service.sap.com/sap/support/notes/1634052","1634052")</f>
        <v>1634052</v>
      </c>
      <c r="E259">
        <v>2</v>
      </c>
      <c r="F259" t="s">
        <v>1044</v>
      </c>
    </row>
    <row r="260" spans="1:6" x14ac:dyDescent="0.25">
      <c r="A260" t="s">
        <v>1133</v>
      </c>
      <c r="B260" t="s">
        <v>152</v>
      </c>
      <c r="C260" t="s">
        <v>47</v>
      </c>
      <c r="D260" t="str">
        <f>HYPERLINK("http://service.sap.com/sap/support/notes/1634418","1634418")</f>
        <v>1634418</v>
      </c>
      <c r="E260">
        <v>2</v>
      </c>
      <c r="F260" t="s">
        <v>1045</v>
      </c>
    </row>
    <row r="261" spans="1:6" x14ac:dyDescent="0.25">
      <c r="A261" t="s">
        <v>1133</v>
      </c>
      <c r="B261" t="s">
        <v>152</v>
      </c>
      <c r="C261" t="s">
        <v>47</v>
      </c>
      <c r="D261" t="str">
        <f>HYPERLINK("http://service.sap.com/sap/support/notes/1637617","1637617")</f>
        <v>1637617</v>
      </c>
      <c r="E261">
        <v>1</v>
      </c>
      <c r="F261" t="s">
        <v>1046</v>
      </c>
    </row>
    <row r="262" spans="1:6" x14ac:dyDescent="0.25">
      <c r="A262" t="s">
        <v>1133</v>
      </c>
      <c r="B262" t="s">
        <v>152</v>
      </c>
      <c r="C262" t="s">
        <v>47</v>
      </c>
      <c r="D262" t="str">
        <f>HYPERLINK("http://service.sap.com/sap/support/notes/1642575","1642575")</f>
        <v>1642575</v>
      </c>
      <c r="E262">
        <v>1</v>
      </c>
      <c r="F262" t="s">
        <v>1047</v>
      </c>
    </row>
    <row r="263" spans="1:6" x14ac:dyDescent="0.25">
      <c r="A263" t="s">
        <v>1133</v>
      </c>
      <c r="B263" t="s">
        <v>152</v>
      </c>
      <c r="C263" t="s">
        <v>47</v>
      </c>
      <c r="D263" t="str">
        <f>HYPERLINK("http://service.sap.com/sap/support/notes/1643776","1643776")</f>
        <v>1643776</v>
      </c>
      <c r="E263">
        <v>3</v>
      </c>
      <c r="F263" t="s">
        <v>1048</v>
      </c>
    </row>
    <row r="264" spans="1:6" x14ac:dyDescent="0.25">
      <c r="A264" t="s">
        <v>1133</v>
      </c>
      <c r="B264" t="s">
        <v>155</v>
      </c>
      <c r="C264" t="s">
        <v>49</v>
      </c>
    </row>
    <row r="265" spans="1:6" x14ac:dyDescent="0.25">
      <c r="A265" t="s">
        <v>1133</v>
      </c>
      <c r="B265" t="s">
        <v>811</v>
      </c>
      <c r="C265" t="s">
        <v>82</v>
      </c>
      <c r="D265" t="str">
        <f>HYPERLINK("http://service.sap.com/sap/support/notes/1270127","1270127")</f>
        <v>1270127</v>
      </c>
      <c r="E265">
        <v>1</v>
      </c>
      <c r="F265" t="s">
        <v>1049</v>
      </c>
    </row>
    <row r="266" spans="1:6" x14ac:dyDescent="0.25">
      <c r="A266" t="s">
        <v>1133</v>
      </c>
      <c r="B266" t="s">
        <v>811</v>
      </c>
      <c r="C266" t="s">
        <v>82</v>
      </c>
      <c r="D266" t="str">
        <f>HYPERLINK("http://service.sap.com/sap/support/notes/1492141","1492141")</f>
        <v>1492141</v>
      </c>
      <c r="E266">
        <v>1</v>
      </c>
      <c r="F266" t="s">
        <v>1050</v>
      </c>
    </row>
    <row r="267" spans="1:6" x14ac:dyDescent="0.25">
      <c r="A267" t="s">
        <v>1133</v>
      </c>
      <c r="B267" t="s">
        <v>156</v>
      </c>
      <c r="C267" t="s">
        <v>52</v>
      </c>
      <c r="D267" t="str">
        <f>HYPERLINK("http://service.sap.com/sap/support/notes/1628500","1628500")</f>
        <v>1628500</v>
      </c>
      <c r="E267">
        <v>1</v>
      </c>
      <c r="F267" t="s">
        <v>1051</v>
      </c>
    </row>
    <row r="268" spans="1:6" x14ac:dyDescent="0.25">
      <c r="A268" t="s">
        <v>1133</v>
      </c>
      <c r="B268" t="s">
        <v>156</v>
      </c>
      <c r="C268" t="s">
        <v>52</v>
      </c>
      <c r="D268" t="str">
        <f>HYPERLINK("http://service.sap.com/sap/support/notes/1635947","1635947")</f>
        <v>1635947</v>
      </c>
      <c r="E268">
        <v>1</v>
      </c>
      <c r="F268" t="s">
        <v>1052</v>
      </c>
    </row>
    <row r="269" spans="1:6" x14ac:dyDescent="0.25">
      <c r="A269" t="s">
        <v>1133</v>
      </c>
      <c r="B269" t="s">
        <v>156</v>
      </c>
      <c r="C269" t="s">
        <v>52</v>
      </c>
      <c r="D269" t="str">
        <f>HYPERLINK("http://service.sap.com/sap/support/notes/1640975","1640975")</f>
        <v>1640975</v>
      </c>
      <c r="E269">
        <v>1</v>
      </c>
      <c r="F269" t="s">
        <v>1053</v>
      </c>
    </row>
    <row r="270" spans="1:6" x14ac:dyDescent="0.25">
      <c r="A270" t="s">
        <v>1133</v>
      </c>
      <c r="B270" t="s">
        <v>156</v>
      </c>
      <c r="C270" t="s">
        <v>52</v>
      </c>
      <c r="D270" t="str">
        <f>HYPERLINK("http://service.sap.com/sap/support/notes/1641516","1641516")</f>
        <v>1641516</v>
      </c>
      <c r="E270">
        <v>1</v>
      </c>
      <c r="F270" t="s">
        <v>1054</v>
      </c>
    </row>
    <row r="271" spans="1:6" x14ac:dyDescent="0.25">
      <c r="A271" t="s">
        <v>1133</v>
      </c>
      <c r="B271" t="s">
        <v>156</v>
      </c>
      <c r="C271" t="s">
        <v>52</v>
      </c>
      <c r="D271" t="str">
        <f>HYPERLINK("http://service.sap.com/sap/support/notes/1642633","1642633")</f>
        <v>1642633</v>
      </c>
      <c r="E271">
        <v>1</v>
      </c>
      <c r="F271" t="s">
        <v>1055</v>
      </c>
    </row>
    <row r="272" spans="1:6" x14ac:dyDescent="0.25">
      <c r="A272" t="s">
        <v>1133</v>
      </c>
      <c r="B272" t="s">
        <v>158</v>
      </c>
      <c r="C272" t="s">
        <v>54</v>
      </c>
      <c r="D272" t="str">
        <f>HYPERLINK("http://service.sap.com/sap/support/notes/1635937","1635937")</f>
        <v>1635937</v>
      </c>
      <c r="E272">
        <v>2</v>
      </c>
      <c r="F272" t="s">
        <v>1056</v>
      </c>
    </row>
    <row r="273" spans="1:6" x14ac:dyDescent="0.25">
      <c r="A273" t="s">
        <v>1133</v>
      </c>
      <c r="B273" t="s">
        <v>158</v>
      </c>
      <c r="C273" t="s">
        <v>54</v>
      </c>
      <c r="D273" t="str">
        <f>HYPERLINK("http://service.sap.com/sap/support/notes/1639044","1639044")</f>
        <v>1639044</v>
      </c>
      <c r="E273">
        <v>1</v>
      </c>
      <c r="F273" t="s">
        <v>1057</v>
      </c>
    </row>
    <row r="274" spans="1:6" x14ac:dyDescent="0.25">
      <c r="A274" t="s">
        <v>1133</v>
      </c>
      <c r="B274" t="s">
        <v>158</v>
      </c>
      <c r="C274" t="s">
        <v>54</v>
      </c>
      <c r="D274" t="str">
        <f>HYPERLINK("http://service.sap.com/sap/support/notes/1640967","1640967")</f>
        <v>1640967</v>
      </c>
      <c r="E274">
        <v>2</v>
      </c>
      <c r="F274" t="s">
        <v>1058</v>
      </c>
    </row>
    <row r="275" spans="1:6" x14ac:dyDescent="0.25">
      <c r="A275" t="s">
        <v>1133</v>
      </c>
      <c r="B275" t="s">
        <v>158</v>
      </c>
      <c r="C275" t="s">
        <v>54</v>
      </c>
      <c r="D275" t="str">
        <f>HYPERLINK("http://service.sap.com/sap/support/notes/1641388","1641388")</f>
        <v>1641388</v>
      </c>
      <c r="E275">
        <v>3</v>
      </c>
      <c r="F275" t="s">
        <v>1059</v>
      </c>
    </row>
    <row r="276" spans="1:6" x14ac:dyDescent="0.25">
      <c r="A276" t="s">
        <v>1133</v>
      </c>
      <c r="B276" t="s">
        <v>159</v>
      </c>
      <c r="C276" t="s">
        <v>160</v>
      </c>
      <c r="D276" t="str">
        <f>HYPERLINK("http://service.sap.com/sap/support/notes/1455451","1455451")</f>
        <v>1455451</v>
      </c>
      <c r="E276">
        <v>23</v>
      </c>
      <c r="F276" t="s">
        <v>1060</v>
      </c>
    </row>
    <row r="277" spans="1:6" x14ac:dyDescent="0.25">
      <c r="A277" t="s">
        <v>1133</v>
      </c>
      <c r="B277" t="s">
        <v>159</v>
      </c>
      <c r="C277" t="s">
        <v>160</v>
      </c>
      <c r="D277" t="str">
        <f>HYPERLINK("http://service.sap.com/sap/support/notes/1605617","1605617")</f>
        <v>1605617</v>
      </c>
      <c r="E277">
        <v>3</v>
      </c>
      <c r="F277" t="s">
        <v>1061</v>
      </c>
    </row>
    <row r="278" spans="1:6" x14ac:dyDescent="0.25">
      <c r="A278" t="s">
        <v>1133</v>
      </c>
      <c r="B278" t="s">
        <v>159</v>
      </c>
      <c r="C278" t="s">
        <v>160</v>
      </c>
      <c r="D278" t="str">
        <f>HYPERLINK("http://service.sap.com/sap/support/notes/1622031","1622031")</f>
        <v>1622031</v>
      </c>
      <c r="E278">
        <v>5</v>
      </c>
      <c r="F278" t="s">
        <v>1062</v>
      </c>
    </row>
    <row r="279" spans="1:6" x14ac:dyDescent="0.25">
      <c r="A279" t="s">
        <v>1133</v>
      </c>
      <c r="B279" t="s">
        <v>159</v>
      </c>
      <c r="C279" t="s">
        <v>160</v>
      </c>
      <c r="D279" t="str">
        <f>HYPERLINK("http://service.sap.com/sap/support/notes/1628797","1628797")</f>
        <v>1628797</v>
      </c>
      <c r="E279">
        <v>2</v>
      </c>
      <c r="F279" t="s">
        <v>1063</v>
      </c>
    </row>
    <row r="280" spans="1:6" x14ac:dyDescent="0.25">
      <c r="A280" t="s">
        <v>1133</v>
      </c>
      <c r="B280" t="s">
        <v>159</v>
      </c>
      <c r="C280" t="s">
        <v>160</v>
      </c>
      <c r="D280" t="str">
        <f>HYPERLINK("http://service.sap.com/sap/support/notes/1629734","1629734")</f>
        <v>1629734</v>
      </c>
      <c r="E280">
        <v>1</v>
      </c>
      <c r="F280" t="s">
        <v>1064</v>
      </c>
    </row>
    <row r="281" spans="1:6" x14ac:dyDescent="0.25">
      <c r="A281" t="s">
        <v>1133</v>
      </c>
      <c r="B281" t="s">
        <v>159</v>
      </c>
      <c r="C281" t="s">
        <v>160</v>
      </c>
      <c r="D281" t="str">
        <f>HYPERLINK("http://service.sap.com/sap/support/notes/1632267","1632267")</f>
        <v>1632267</v>
      </c>
      <c r="E281">
        <v>5</v>
      </c>
      <c r="F281" t="s">
        <v>1065</v>
      </c>
    </row>
    <row r="282" spans="1:6" x14ac:dyDescent="0.25">
      <c r="A282" t="s">
        <v>1133</v>
      </c>
      <c r="B282" t="s">
        <v>163</v>
      </c>
      <c r="C282" t="s">
        <v>56</v>
      </c>
      <c r="D282" t="str">
        <f>HYPERLINK("http://service.sap.com/sap/support/notes/1635703","1635703")</f>
        <v>1635703</v>
      </c>
      <c r="E282">
        <v>1</v>
      </c>
      <c r="F282" t="s">
        <v>1066</v>
      </c>
    </row>
    <row r="283" spans="1:6" x14ac:dyDescent="0.25">
      <c r="A283" t="s">
        <v>1133</v>
      </c>
      <c r="B283" t="s">
        <v>163</v>
      </c>
      <c r="C283" t="s">
        <v>56</v>
      </c>
      <c r="D283" t="str">
        <f>HYPERLINK("http://service.sap.com/sap/support/notes/1636488","1636488")</f>
        <v>1636488</v>
      </c>
      <c r="E283">
        <v>1</v>
      </c>
      <c r="F283" t="s">
        <v>1067</v>
      </c>
    </row>
    <row r="284" spans="1:6" x14ac:dyDescent="0.25">
      <c r="A284" t="s">
        <v>1133</v>
      </c>
      <c r="B284" t="s">
        <v>163</v>
      </c>
      <c r="C284" t="s">
        <v>56</v>
      </c>
      <c r="D284" t="str">
        <f>HYPERLINK("http://service.sap.com/sap/support/notes/1640977","1640977")</f>
        <v>1640977</v>
      </c>
      <c r="E284">
        <v>1</v>
      </c>
      <c r="F284" t="s">
        <v>1068</v>
      </c>
    </row>
    <row r="285" spans="1:6" x14ac:dyDescent="0.25">
      <c r="A285" t="s">
        <v>1133</v>
      </c>
      <c r="B285" t="s">
        <v>163</v>
      </c>
      <c r="C285" t="s">
        <v>56</v>
      </c>
      <c r="D285" t="str">
        <f>HYPERLINK("http://service.sap.com/sap/support/notes/1641557","1641557")</f>
        <v>1641557</v>
      </c>
      <c r="E285">
        <v>1</v>
      </c>
      <c r="F285" t="s">
        <v>1069</v>
      </c>
    </row>
    <row r="286" spans="1:6" x14ac:dyDescent="0.25">
      <c r="A286" t="s">
        <v>1133</v>
      </c>
      <c r="B286" t="s">
        <v>164</v>
      </c>
      <c r="C286" t="s">
        <v>165</v>
      </c>
      <c r="D286" t="str">
        <f>HYPERLINK("http://service.sap.com/sap/support/notes/1612609","1612609")</f>
        <v>1612609</v>
      </c>
      <c r="E286">
        <v>4</v>
      </c>
      <c r="F286" t="s">
        <v>1070</v>
      </c>
    </row>
    <row r="287" spans="1:6" x14ac:dyDescent="0.25">
      <c r="A287" t="s">
        <v>1133</v>
      </c>
      <c r="B287" t="s">
        <v>164</v>
      </c>
      <c r="C287" t="s">
        <v>165</v>
      </c>
      <c r="D287" t="str">
        <f>HYPERLINK("http://service.sap.com/sap/support/notes/1643633","1643633")</f>
        <v>1643633</v>
      </c>
      <c r="E287">
        <v>1</v>
      </c>
      <c r="F287" t="s">
        <v>1071</v>
      </c>
    </row>
    <row r="288" spans="1:6" x14ac:dyDescent="0.25">
      <c r="A288" t="s">
        <v>1133</v>
      </c>
      <c r="B288" t="s">
        <v>166</v>
      </c>
      <c r="C288" t="s">
        <v>167</v>
      </c>
      <c r="D288" t="str">
        <f>HYPERLINK("http://service.sap.com/sap/support/notes/1553908","1553908")</f>
        <v>1553908</v>
      </c>
      <c r="E288">
        <v>2</v>
      </c>
      <c r="F288" t="s">
        <v>1072</v>
      </c>
    </row>
    <row r="289" spans="1:6" x14ac:dyDescent="0.25">
      <c r="A289" t="s">
        <v>1133</v>
      </c>
      <c r="B289" t="s">
        <v>166</v>
      </c>
      <c r="C289" t="s">
        <v>167</v>
      </c>
      <c r="D289" t="str">
        <f>HYPERLINK("http://service.sap.com/sap/support/notes/1589880","1589880")</f>
        <v>1589880</v>
      </c>
      <c r="E289">
        <v>5</v>
      </c>
      <c r="F289" t="s">
        <v>1073</v>
      </c>
    </row>
    <row r="290" spans="1:6" x14ac:dyDescent="0.25">
      <c r="A290" t="s">
        <v>1133</v>
      </c>
      <c r="B290" t="s">
        <v>166</v>
      </c>
      <c r="C290" t="s">
        <v>167</v>
      </c>
      <c r="D290" t="str">
        <f>HYPERLINK("http://service.sap.com/sap/support/notes/1607647","1607647")</f>
        <v>1607647</v>
      </c>
      <c r="E290">
        <v>3</v>
      </c>
      <c r="F290" t="s">
        <v>1074</v>
      </c>
    </row>
    <row r="291" spans="1:6" x14ac:dyDescent="0.25">
      <c r="A291" t="s">
        <v>1133</v>
      </c>
      <c r="B291" t="s">
        <v>166</v>
      </c>
      <c r="C291" t="s">
        <v>167</v>
      </c>
      <c r="D291" t="str">
        <f>HYPERLINK("http://service.sap.com/sap/support/notes/1627916","1627916")</f>
        <v>1627916</v>
      </c>
      <c r="E291">
        <v>3</v>
      </c>
      <c r="F291" t="s">
        <v>1075</v>
      </c>
    </row>
    <row r="292" spans="1:6" x14ac:dyDescent="0.25">
      <c r="A292" t="s">
        <v>1133</v>
      </c>
      <c r="B292" t="s">
        <v>166</v>
      </c>
      <c r="C292" t="s">
        <v>167</v>
      </c>
      <c r="D292" t="str">
        <f>HYPERLINK("http://service.sap.com/sap/support/notes/1629902","1629902")</f>
        <v>1629902</v>
      </c>
      <c r="E292">
        <v>1</v>
      </c>
      <c r="F292" t="s">
        <v>1076</v>
      </c>
    </row>
    <row r="293" spans="1:6" x14ac:dyDescent="0.25">
      <c r="A293" t="s">
        <v>1133</v>
      </c>
      <c r="B293" t="s">
        <v>166</v>
      </c>
      <c r="C293" t="s">
        <v>167</v>
      </c>
      <c r="D293" t="str">
        <f>HYPERLINK("http://service.sap.com/sap/support/notes/1630428","1630428")</f>
        <v>1630428</v>
      </c>
      <c r="E293">
        <v>1</v>
      </c>
      <c r="F293" t="s">
        <v>1077</v>
      </c>
    </row>
    <row r="294" spans="1:6" x14ac:dyDescent="0.25">
      <c r="A294" t="s">
        <v>1133</v>
      </c>
      <c r="B294" t="s">
        <v>166</v>
      </c>
      <c r="C294" t="s">
        <v>167</v>
      </c>
      <c r="D294" t="str">
        <f>HYPERLINK("http://service.sap.com/sap/support/notes/1632103","1632103")</f>
        <v>1632103</v>
      </c>
      <c r="E294">
        <v>2</v>
      </c>
      <c r="F294" t="s">
        <v>1078</v>
      </c>
    </row>
    <row r="295" spans="1:6" x14ac:dyDescent="0.25">
      <c r="A295" t="s">
        <v>1133</v>
      </c>
      <c r="B295" t="s">
        <v>166</v>
      </c>
      <c r="C295" t="s">
        <v>167</v>
      </c>
      <c r="D295" t="str">
        <f>HYPERLINK("http://service.sap.com/sap/support/notes/1637177","1637177")</f>
        <v>1637177</v>
      </c>
      <c r="E295">
        <v>2</v>
      </c>
      <c r="F295" t="s">
        <v>1079</v>
      </c>
    </row>
    <row r="296" spans="1:6" x14ac:dyDescent="0.25">
      <c r="A296" t="s">
        <v>1133</v>
      </c>
      <c r="B296" t="s">
        <v>166</v>
      </c>
      <c r="C296" t="s">
        <v>167</v>
      </c>
      <c r="D296" t="str">
        <f>HYPERLINK("http://service.sap.com/sap/support/notes/1638116","1638116")</f>
        <v>1638116</v>
      </c>
      <c r="E296">
        <v>1</v>
      </c>
      <c r="F296" t="s">
        <v>1080</v>
      </c>
    </row>
    <row r="297" spans="1:6" x14ac:dyDescent="0.25">
      <c r="A297" t="s">
        <v>1133</v>
      </c>
      <c r="B297" t="s">
        <v>166</v>
      </c>
      <c r="C297" t="s">
        <v>167</v>
      </c>
      <c r="D297" t="str">
        <f>HYPERLINK("http://service.sap.com/sap/support/notes/1639432","1639432")</f>
        <v>1639432</v>
      </c>
      <c r="E297">
        <v>1</v>
      </c>
      <c r="F297" t="s">
        <v>1081</v>
      </c>
    </row>
    <row r="298" spans="1:6" x14ac:dyDescent="0.25">
      <c r="A298" t="s">
        <v>1133</v>
      </c>
      <c r="B298" t="s">
        <v>166</v>
      </c>
      <c r="C298" t="s">
        <v>167</v>
      </c>
      <c r="D298" t="str">
        <f>HYPERLINK("http://service.sap.com/sap/support/notes/1640683","1640683")</f>
        <v>1640683</v>
      </c>
      <c r="E298">
        <v>2</v>
      </c>
      <c r="F298" t="s">
        <v>1082</v>
      </c>
    </row>
    <row r="299" spans="1:6" x14ac:dyDescent="0.25">
      <c r="A299" t="s">
        <v>1133</v>
      </c>
      <c r="B299" t="s">
        <v>166</v>
      </c>
      <c r="C299" t="s">
        <v>167</v>
      </c>
      <c r="D299" t="str">
        <f>HYPERLINK("http://service.sap.com/sap/support/notes/1640714","1640714")</f>
        <v>1640714</v>
      </c>
      <c r="E299">
        <v>1</v>
      </c>
      <c r="F299" t="s">
        <v>1083</v>
      </c>
    </row>
    <row r="300" spans="1:6" x14ac:dyDescent="0.25">
      <c r="A300" t="s">
        <v>1133</v>
      </c>
      <c r="B300" t="s">
        <v>166</v>
      </c>
      <c r="C300" t="s">
        <v>167</v>
      </c>
      <c r="D300" t="str">
        <f>HYPERLINK("http://service.sap.com/sap/support/notes/1641287","1641287")</f>
        <v>1641287</v>
      </c>
      <c r="E300">
        <v>2</v>
      </c>
      <c r="F300" t="s">
        <v>1084</v>
      </c>
    </row>
    <row r="301" spans="1:6" x14ac:dyDescent="0.25">
      <c r="A301" t="s">
        <v>1133</v>
      </c>
      <c r="B301" t="s">
        <v>168</v>
      </c>
      <c r="C301" t="s">
        <v>169</v>
      </c>
      <c r="D301" t="str">
        <f>HYPERLINK("http://service.sap.com/sap/support/notes/1636785","1636785")</f>
        <v>1636785</v>
      </c>
      <c r="E301">
        <v>1</v>
      </c>
      <c r="F301" t="s">
        <v>1085</v>
      </c>
    </row>
    <row r="302" spans="1:6" x14ac:dyDescent="0.25">
      <c r="A302" t="s">
        <v>1133</v>
      </c>
      <c r="B302" t="s">
        <v>168</v>
      </c>
      <c r="C302" t="s">
        <v>169</v>
      </c>
      <c r="D302" t="str">
        <f>HYPERLINK("http://service.sap.com/sap/support/notes/1639932","1639932")</f>
        <v>1639932</v>
      </c>
      <c r="E302">
        <v>1</v>
      </c>
      <c r="F302" t="s">
        <v>1086</v>
      </c>
    </row>
    <row r="303" spans="1:6" x14ac:dyDescent="0.25">
      <c r="A303" t="s">
        <v>1133</v>
      </c>
      <c r="B303" t="s">
        <v>171</v>
      </c>
      <c r="C303" t="s">
        <v>172</v>
      </c>
      <c r="D303" t="str">
        <f>HYPERLINK("http://service.sap.com/sap/support/notes/1625962","1625962")</f>
        <v>1625962</v>
      </c>
      <c r="E303">
        <v>1</v>
      </c>
      <c r="F303" t="s">
        <v>1087</v>
      </c>
    </row>
    <row r="304" spans="1:6" x14ac:dyDescent="0.25">
      <c r="A304" t="s">
        <v>1133</v>
      </c>
      <c r="B304" t="s">
        <v>171</v>
      </c>
      <c r="C304" t="s">
        <v>172</v>
      </c>
      <c r="D304" t="str">
        <f>HYPERLINK("http://service.sap.com/sap/support/notes/1632517","1632517")</f>
        <v>1632517</v>
      </c>
      <c r="E304">
        <v>2</v>
      </c>
      <c r="F304" t="s">
        <v>1088</v>
      </c>
    </row>
    <row r="305" spans="1:6" x14ac:dyDescent="0.25">
      <c r="A305" t="s">
        <v>1133</v>
      </c>
      <c r="B305" t="s">
        <v>171</v>
      </c>
      <c r="C305" t="s">
        <v>172</v>
      </c>
      <c r="D305" t="str">
        <f>HYPERLINK("http://service.sap.com/sap/support/notes/1633409","1633409")</f>
        <v>1633409</v>
      </c>
      <c r="E305">
        <v>1</v>
      </c>
      <c r="F305" t="s">
        <v>1089</v>
      </c>
    </row>
    <row r="306" spans="1:6" x14ac:dyDescent="0.25">
      <c r="A306" t="s">
        <v>1133</v>
      </c>
      <c r="B306" t="s">
        <v>171</v>
      </c>
      <c r="C306" t="s">
        <v>172</v>
      </c>
      <c r="D306" t="str">
        <f>HYPERLINK("http://service.sap.com/sap/support/notes/1635016","1635016")</f>
        <v>1635016</v>
      </c>
      <c r="E306">
        <v>3</v>
      </c>
      <c r="F306" t="s">
        <v>1090</v>
      </c>
    </row>
    <row r="307" spans="1:6" x14ac:dyDescent="0.25">
      <c r="A307" t="s">
        <v>1133</v>
      </c>
      <c r="B307" t="s">
        <v>175</v>
      </c>
      <c r="C307" t="s">
        <v>176</v>
      </c>
      <c r="D307" t="str">
        <f>HYPERLINK("http://service.sap.com/sap/support/notes/1619356","1619356")</f>
        <v>1619356</v>
      </c>
      <c r="E307">
        <v>2</v>
      </c>
      <c r="F307" t="s">
        <v>1091</v>
      </c>
    </row>
    <row r="308" spans="1:6" x14ac:dyDescent="0.25">
      <c r="A308" t="s">
        <v>1133</v>
      </c>
      <c r="B308" t="s">
        <v>175</v>
      </c>
      <c r="C308" t="s">
        <v>176</v>
      </c>
      <c r="D308" t="str">
        <f>HYPERLINK("http://service.sap.com/sap/support/notes/1632640","1632640")</f>
        <v>1632640</v>
      </c>
      <c r="E308">
        <v>9</v>
      </c>
      <c r="F308" t="s">
        <v>1092</v>
      </c>
    </row>
    <row r="309" spans="1:6" x14ac:dyDescent="0.25">
      <c r="A309" t="s">
        <v>1133</v>
      </c>
      <c r="B309" t="s">
        <v>175</v>
      </c>
      <c r="C309" t="s">
        <v>176</v>
      </c>
      <c r="D309" t="str">
        <f>HYPERLINK("http://service.sap.com/sap/support/notes/1638613","1638613")</f>
        <v>1638613</v>
      </c>
      <c r="E309">
        <v>5</v>
      </c>
      <c r="F309" t="s">
        <v>1093</v>
      </c>
    </row>
    <row r="310" spans="1:6" x14ac:dyDescent="0.25">
      <c r="A310" t="s">
        <v>1133</v>
      </c>
      <c r="B310" t="s">
        <v>175</v>
      </c>
      <c r="C310" t="s">
        <v>176</v>
      </c>
      <c r="D310" t="str">
        <f>HYPERLINK("http://service.sap.com/sap/support/notes/1639191","1639191")</f>
        <v>1639191</v>
      </c>
      <c r="E310">
        <v>3</v>
      </c>
      <c r="F310" t="s">
        <v>1094</v>
      </c>
    </row>
    <row r="311" spans="1:6" x14ac:dyDescent="0.25">
      <c r="A311" t="s">
        <v>1133</v>
      </c>
      <c r="B311" t="s">
        <v>175</v>
      </c>
      <c r="C311" t="s">
        <v>176</v>
      </c>
      <c r="D311" t="str">
        <f>HYPERLINK("http://service.sap.com/sap/support/notes/1641708","1641708")</f>
        <v>1641708</v>
      </c>
      <c r="E311">
        <v>2</v>
      </c>
      <c r="F311" t="s">
        <v>1095</v>
      </c>
    </row>
    <row r="312" spans="1:6" x14ac:dyDescent="0.25">
      <c r="A312" t="s">
        <v>1133</v>
      </c>
      <c r="B312" t="s">
        <v>177</v>
      </c>
      <c r="C312" t="s">
        <v>178</v>
      </c>
      <c r="D312" t="str">
        <f>HYPERLINK("http://service.sap.com/sap/support/notes/1623291","1623291")</f>
        <v>1623291</v>
      </c>
      <c r="E312">
        <v>1</v>
      </c>
      <c r="F312" t="s">
        <v>1096</v>
      </c>
    </row>
    <row r="313" spans="1:6" x14ac:dyDescent="0.25">
      <c r="A313" t="s">
        <v>1133</v>
      </c>
      <c r="B313" t="s">
        <v>177</v>
      </c>
      <c r="C313" t="s">
        <v>178</v>
      </c>
      <c r="D313" t="str">
        <f>HYPERLINK("http://service.sap.com/sap/support/notes/1634208","1634208")</f>
        <v>1634208</v>
      </c>
      <c r="E313">
        <v>2</v>
      </c>
      <c r="F313" t="s">
        <v>1097</v>
      </c>
    </row>
    <row r="314" spans="1:6" x14ac:dyDescent="0.25">
      <c r="A314" t="s">
        <v>1133</v>
      </c>
      <c r="B314" t="s">
        <v>177</v>
      </c>
      <c r="C314" t="s">
        <v>178</v>
      </c>
      <c r="D314" t="str">
        <f>HYPERLINK("http://service.sap.com/sap/support/notes/1635798","1635798")</f>
        <v>1635798</v>
      </c>
      <c r="E314">
        <v>3</v>
      </c>
      <c r="F314" t="s">
        <v>1098</v>
      </c>
    </row>
    <row r="315" spans="1:6" x14ac:dyDescent="0.25">
      <c r="A315" t="s">
        <v>1133</v>
      </c>
      <c r="B315" t="s">
        <v>179</v>
      </c>
      <c r="C315" t="s">
        <v>180</v>
      </c>
      <c r="D315" t="str">
        <f>HYPERLINK("http://service.sap.com/sap/support/notes/1637055","1637055")</f>
        <v>1637055</v>
      </c>
      <c r="E315">
        <v>1</v>
      </c>
      <c r="F315" t="s">
        <v>1099</v>
      </c>
    </row>
    <row r="316" spans="1:6" x14ac:dyDescent="0.25">
      <c r="A316" t="s">
        <v>1133</v>
      </c>
      <c r="B316" t="s">
        <v>179</v>
      </c>
      <c r="C316" t="s">
        <v>180</v>
      </c>
      <c r="D316" t="str">
        <f>HYPERLINK("http://service.sap.com/sap/support/notes/1637258","1637258")</f>
        <v>1637258</v>
      </c>
      <c r="E316">
        <v>2</v>
      </c>
      <c r="F316" t="s">
        <v>1100</v>
      </c>
    </row>
    <row r="317" spans="1:6" x14ac:dyDescent="0.25">
      <c r="A317" t="s">
        <v>1133</v>
      </c>
      <c r="B317" t="s">
        <v>179</v>
      </c>
      <c r="C317" t="s">
        <v>180</v>
      </c>
      <c r="D317" t="str">
        <f>HYPERLINK("http://service.sap.com/sap/support/notes/1641267","1641267")</f>
        <v>1641267</v>
      </c>
      <c r="E317">
        <v>1</v>
      </c>
      <c r="F317" t="s">
        <v>1101</v>
      </c>
    </row>
    <row r="318" spans="1:6" x14ac:dyDescent="0.25">
      <c r="A318" t="s">
        <v>1133</v>
      </c>
      <c r="B318" t="s">
        <v>179</v>
      </c>
      <c r="C318" t="s">
        <v>180</v>
      </c>
      <c r="D318" t="str">
        <f>HYPERLINK("http://service.sap.com/sap/support/notes/1642692","1642692")</f>
        <v>1642692</v>
      </c>
      <c r="E318">
        <v>1</v>
      </c>
      <c r="F318" t="s">
        <v>1102</v>
      </c>
    </row>
    <row r="319" spans="1:6" x14ac:dyDescent="0.25">
      <c r="A319" t="s">
        <v>1133</v>
      </c>
      <c r="B319" t="s">
        <v>179</v>
      </c>
      <c r="C319" t="s">
        <v>180</v>
      </c>
      <c r="D319" t="str">
        <f>HYPERLINK("http://service.sap.com/sap/support/notes/1643255","1643255")</f>
        <v>1643255</v>
      </c>
      <c r="E319">
        <v>1</v>
      </c>
      <c r="F319" t="s">
        <v>1103</v>
      </c>
    </row>
    <row r="320" spans="1:6" x14ac:dyDescent="0.25">
      <c r="A320" t="s">
        <v>1133</v>
      </c>
      <c r="B320" t="s">
        <v>179</v>
      </c>
      <c r="C320" t="s">
        <v>180</v>
      </c>
      <c r="D320" t="str">
        <f>HYPERLINK("http://service.sap.com/sap/support/notes/1643287","1643287")</f>
        <v>1643287</v>
      </c>
      <c r="E320">
        <v>1</v>
      </c>
      <c r="F320" t="s">
        <v>1104</v>
      </c>
    </row>
    <row r="321" spans="1:6" x14ac:dyDescent="0.25">
      <c r="A321" t="s">
        <v>1133</v>
      </c>
      <c r="B321" t="s">
        <v>181</v>
      </c>
      <c r="C321" t="s">
        <v>182</v>
      </c>
      <c r="D321" t="str">
        <f>HYPERLINK("http://service.sap.com/sap/support/notes/1614283","1614283")</f>
        <v>1614283</v>
      </c>
      <c r="E321">
        <v>3</v>
      </c>
      <c r="F321" t="s">
        <v>1105</v>
      </c>
    </row>
    <row r="322" spans="1:6" x14ac:dyDescent="0.25">
      <c r="A322" t="s">
        <v>1133</v>
      </c>
      <c r="B322" t="s">
        <v>181</v>
      </c>
      <c r="C322" t="s">
        <v>182</v>
      </c>
      <c r="D322" t="str">
        <f>HYPERLINK("http://service.sap.com/sap/support/notes/1636479","1636479")</f>
        <v>1636479</v>
      </c>
      <c r="E322">
        <v>1</v>
      </c>
      <c r="F322" t="s">
        <v>1106</v>
      </c>
    </row>
    <row r="323" spans="1:6" x14ac:dyDescent="0.25">
      <c r="A323" t="s">
        <v>1133</v>
      </c>
      <c r="B323" t="s">
        <v>185</v>
      </c>
      <c r="C323" t="s">
        <v>186</v>
      </c>
      <c r="D323" t="str">
        <f>HYPERLINK("http://service.sap.com/sap/support/notes/1636001","1636001")</f>
        <v>1636001</v>
      </c>
      <c r="E323">
        <v>1</v>
      </c>
      <c r="F323" t="s">
        <v>1107</v>
      </c>
    </row>
    <row r="324" spans="1:6" x14ac:dyDescent="0.25">
      <c r="A324" t="s">
        <v>1133</v>
      </c>
      <c r="B324" t="s">
        <v>188</v>
      </c>
      <c r="C324" t="s">
        <v>60</v>
      </c>
      <c r="D324" t="str">
        <f>HYPERLINK("http://service.sap.com/sap/support/notes/1615209","1615209")</f>
        <v>1615209</v>
      </c>
      <c r="E324">
        <v>1</v>
      </c>
      <c r="F324" t="s">
        <v>1108</v>
      </c>
    </row>
    <row r="325" spans="1:6" x14ac:dyDescent="0.25">
      <c r="A325" t="s">
        <v>1133</v>
      </c>
      <c r="B325" t="s">
        <v>189</v>
      </c>
      <c r="C325" t="s">
        <v>190</v>
      </c>
      <c r="D325" t="str">
        <f>HYPERLINK("http://service.sap.com/sap/support/notes/1625619","1625619")</f>
        <v>1625619</v>
      </c>
      <c r="E325">
        <v>1</v>
      </c>
      <c r="F325" t="s">
        <v>1109</v>
      </c>
    </row>
    <row r="326" spans="1:6" x14ac:dyDescent="0.25">
      <c r="A326" t="s">
        <v>1133</v>
      </c>
      <c r="B326" t="s">
        <v>189</v>
      </c>
      <c r="C326" t="s">
        <v>190</v>
      </c>
      <c r="D326" t="str">
        <f>HYPERLINK("http://service.sap.com/sap/support/notes/1643077","1643077")</f>
        <v>1643077</v>
      </c>
      <c r="E326">
        <v>1</v>
      </c>
      <c r="F326" t="s">
        <v>1110</v>
      </c>
    </row>
    <row r="327" spans="1:6" x14ac:dyDescent="0.25">
      <c r="A327" t="s">
        <v>1133</v>
      </c>
      <c r="B327" t="s">
        <v>191</v>
      </c>
      <c r="C327" t="s">
        <v>62</v>
      </c>
      <c r="D327" t="str">
        <f>HYPERLINK("http://service.sap.com/sap/support/notes/1516764","1516764")</f>
        <v>1516764</v>
      </c>
      <c r="E327">
        <v>3</v>
      </c>
      <c r="F327" t="s">
        <v>1111</v>
      </c>
    </row>
    <row r="328" spans="1:6" x14ac:dyDescent="0.25">
      <c r="A328" t="s">
        <v>1133</v>
      </c>
      <c r="B328" t="s">
        <v>191</v>
      </c>
      <c r="C328" t="s">
        <v>62</v>
      </c>
      <c r="D328" t="str">
        <f>HYPERLINK("http://service.sap.com/sap/support/notes/1639029","1639029")</f>
        <v>1639029</v>
      </c>
      <c r="E328">
        <v>1</v>
      </c>
      <c r="F328" t="s">
        <v>1112</v>
      </c>
    </row>
    <row r="329" spans="1:6" x14ac:dyDescent="0.25">
      <c r="A329" t="s">
        <v>1133</v>
      </c>
      <c r="B329" t="s">
        <v>332</v>
      </c>
      <c r="C329" t="s">
        <v>333</v>
      </c>
      <c r="D329" t="str">
        <f>HYPERLINK("http://service.sap.com/sap/support/notes/1634872","1634872")</f>
        <v>1634872</v>
      </c>
      <c r="E329">
        <v>3</v>
      </c>
      <c r="F329" t="s">
        <v>1113</v>
      </c>
    </row>
    <row r="330" spans="1:6" x14ac:dyDescent="0.25">
      <c r="A330" t="s">
        <v>1133</v>
      </c>
      <c r="B330" t="s">
        <v>192</v>
      </c>
      <c r="C330" t="s">
        <v>82</v>
      </c>
      <c r="D330" t="str">
        <f>HYPERLINK("http://service.sap.com/sap/support/notes/1549731","1549731")</f>
        <v>1549731</v>
      </c>
      <c r="E330">
        <v>2</v>
      </c>
      <c r="F330" t="s">
        <v>1114</v>
      </c>
    </row>
    <row r="331" spans="1:6" x14ac:dyDescent="0.25">
      <c r="A331" t="s">
        <v>1133</v>
      </c>
      <c r="B331" t="s">
        <v>195</v>
      </c>
      <c r="C331" t="s">
        <v>132</v>
      </c>
      <c r="D331" t="str">
        <f>HYPERLINK("http://service.sap.com/sap/support/notes/1626513","1626513")</f>
        <v>1626513</v>
      </c>
      <c r="E331">
        <v>3</v>
      </c>
      <c r="F331" t="s">
        <v>1115</v>
      </c>
    </row>
    <row r="332" spans="1:6" x14ac:dyDescent="0.25">
      <c r="A332" t="s">
        <v>1133</v>
      </c>
      <c r="B332" t="s">
        <v>195</v>
      </c>
      <c r="C332" t="s">
        <v>132</v>
      </c>
      <c r="D332" t="str">
        <f>HYPERLINK("http://service.sap.com/sap/support/notes/1638629","1638629")</f>
        <v>1638629</v>
      </c>
      <c r="E332">
        <v>1</v>
      </c>
      <c r="F332" t="s">
        <v>1116</v>
      </c>
    </row>
    <row r="333" spans="1:6" x14ac:dyDescent="0.25">
      <c r="A333" t="s">
        <v>1133</v>
      </c>
      <c r="B333" t="s">
        <v>196</v>
      </c>
      <c r="C333" t="s">
        <v>197</v>
      </c>
      <c r="D333" t="str">
        <f>HYPERLINK("http://service.sap.com/sap/support/notes/1611431","1611431")</f>
        <v>1611431</v>
      </c>
      <c r="E333">
        <v>7</v>
      </c>
      <c r="F333" t="s">
        <v>1117</v>
      </c>
    </row>
    <row r="334" spans="1:6" x14ac:dyDescent="0.25">
      <c r="A334" t="s">
        <v>1133</v>
      </c>
      <c r="B334" t="s">
        <v>196</v>
      </c>
      <c r="C334" t="s">
        <v>197</v>
      </c>
      <c r="D334" t="str">
        <f>HYPERLINK("http://service.sap.com/sap/support/notes/1624995","1624995")</f>
        <v>1624995</v>
      </c>
      <c r="E334">
        <v>2</v>
      </c>
      <c r="F334" t="s">
        <v>1118</v>
      </c>
    </row>
    <row r="335" spans="1:6" x14ac:dyDescent="0.25">
      <c r="A335" t="s">
        <v>1133</v>
      </c>
      <c r="B335" t="s">
        <v>196</v>
      </c>
      <c r="C335" t="s">
        <v>197</v>
      </c>
      <c r="D335" t="str">
        <f>HYPERLINK("http://service.sap.com/sap/support/notes/1629763","1629763")</f>
        <v>1629763</v>
      </c>
      <c r="E335">
        <v>1</v>
      </c>
      <c r="F335" t="s">
        <v>1119</v>
      </c>
    </row>
    <row r="336" spans="1:6" x14ac:dyDescent="0.25">
      <c r="A336" t="s">
        <v>1133</v>
      </c>
      <c r="B336" t="s">
        <v>196</v>
      </c>
      <c r="C336" t="s">
        <v>197</v>
      </c>
      <c r="D336" t="str">
        <f>HYPERLINK("http://service.sap.com/sap/support/notes/1631200","1631200")</f>
        <v>1631200</v>
      </c>
      <c r="E336">
        <v>5</v>
      </c>
      <c r="F336" t="s">
        <v>1120</v>
      </c>
    </row>
    <row r="337" spans="1:6" x14ac:dyDescent="0.25">
      <c r="A337" t="s">
        <v>1133</v>
      </c>
      <c r="B337" t="s">
        <v>196</v>
      </c>
      <c r="C337" t="s">
        <v>197</v>
      </c>
      <c r="D337" t="str">
        <f>HYPERLINK("http://service.sap.com/sap/support/notes/1633358","1633358")</f>
        <v>1633358</v>
      </c>
      <c r="E337">
        <v>4</v>
      </c>
      <c r="F337" t="s">
        <v>1121</v>
      </c>
    </row>
    <row r="338" spans="1:6" x14ac:dyDescent="0.25">
      <c r="A338" t="s">
        <v>1133</v>
      </c>
      <c r="B338" t="s">
        <v>196</v>
      </c>
      <c r="C338" t="s">
        <v>197</v>
      </c>
      <c r="D338" t="str">
        <f>HYPERLINK("http://service.sap.com/sap/support/notes/1637361","1637361")</f>
        <v>1637361</v>
      </c>
      <c r="E338">
        <v>1</v>
      </c>
      <c r="F338" t="s">
        <v>1122</v>
      </c>
    </row>
    <row r="339" spans="1:6" x14ac:dyDescent="0.25">
      <c r="A339" t="s">
        <v>1133</v>
      </c>
      <c r="B339" t="s">
        <v>198</v>
      </c>
      <c r="C339" t="s">
        <v>199</v>
      </c>
      <c r="D339" t="str">
        <f>HYPERLINK("http://service.sap.com/sap/support/notes/1622036","1622036")</f>
        <v>1622036</v>
      </c>
      <c r="E339">
        <v>7</v>
      </c>
      <c r="F339" t="s">
        <v>813</v>
      </c>
    </row>
    <row r="340" spans="1:6" x14ac:dyDescent="0.25">
      <c r="A340" t="s">
        <v>1133</v>
      </c>
      <c r="B340" t="s">
        <v>198</v>
      </c>
      <c r="C340" t="s">
        <v>199</v>
      </c>
      <c r="D340" t="str">
        <f>HYPERLINK("http://service.sap.com/sap/support/notes/1642315","1642315")</f>
        <v>1642315</v>
      </c>
      <c r="E340">
        <v>3</v>
      </c>
      <c r="F340" t="s">
        <v>1123</v>
      </c>
    </row>
    <row r="341" spans="1:6" x14ac:dyDescent="0.25">
      <c r="A341" t="s">
        <v>1133</v>
      </c>
      <c r="B341" t="s">
        <v>198</v>
      </c>
      <c r="C341" t="s">
        <v>199</v>
      </c>
      <c r="D341" t="str">
        <f>HYPERLINK("http://service.sap.com/sap/support/notes/1643809","1643809")</f>
        <v>1643809</v>
      </c>
      <c r="E341">
        <v>5</v>
      </c>
      <c r="F341" t="s">
        <v>1124</v>
      </c>
    </row>
    <row r="342" spans="1:6" x14ac:dyDescent="0.25">
      <c r="A342" t="s">
        <v>1133</v>
      </c>
      <c r="B342" t="s">
        <v>200</v>
      </c>
      <c r="C342" t="s">
        <v>201</v>
      </c>
      <c r="D342" t="str">
        <f>HYPERLINK("http://service.sap.com/sap/support/notes/1615441","1615441")</f>
        <v>1615441</v>
      </c>
      <c r="E342">
        <v>2</v>
      </c>
      <c r="F342" t="s">
        <v>1125</v>
      </c>
    </row>
    <row r="343" spans="1:6" x14ac:dyDescent="0.25">
      <c r="A343" t="s">
        <v>1133</v>
      </c>
      <c r="B343" t="s">
        <v>200</v>
      </c>
      <c r="C343" t="s">
        <v>201</v>
      </c>
      <c r="D343" t="str">
        <f>HYPERLINK("http://service.sap.com/sap/support/notes/1621045","1621045")</f>
        <v>1621045</v>
      </c>
      <c r="E343">
        <v>3</v>
      </c>
      <c r="F343" t="s">
        <v>1126</v>
      </c>
    </row>
    <row r="344" spans="1:6" x14ac:dyDescent="0.25">
      <c r="A344" t="s">
        <v>1133</v>
      </c>
      <c r="B344" t="s">
        <v>203</v>
      </c>
      <c r="C344" t="s">
        <v>204</v>
      </c>
    </row>
    <row r="345" spans="1:6" x14ac:dyDescent="0.25">
      <c r="A345" t="s">
        <v>1133</v>
      </c>
      <c r="B345" t="s">
        <v>350</v>
      </c>
      <c r="C345" t="s">
        <v>592</v>
      </c>
      <c r="D345" t="str">
        <f>HYPERLINK("http://service.sap.com/sap/support/notes/1600298","1600298")</f>
        <v>1600298</v>
      </c>
      <c r="E345">
        <v>1</v>
      </c>
      <c r="F345" t="s">
        <v>1127</v>
      </c>
    </row>
    <row r="346" spans="1:6" x14ac:dyDescent="0.25">
      <c r="A346" t="s">
        <v>1133</v>
      </c>
      <c r="B346" t="s">
        <v>205</v>
      </c>
      <c r="C346" t="s">
        <v>206</v>
      </c>
      <c r="D346" t="str">
        <f>HYPERLINK("http://service.sap.com/sap/support/notes/1582744","1582744")</f>
        <v>1582744</v>
      </c>
      <c r="E346">
        <v>1</v>
      </c>
      <c r="F346" t="s">
        <v>1128</v>
      </c>
    </row>
    <row r="347" spans="1:6" x14ac:dyDescent="0.25">
      <c r="A347" t="s">
        <v>1133</v>
      </c>
      <c r="B347" t="s">
        <v>205</v>
      </c>
      <c r="C347" t="s">
        <v>206</v>
      </c>
      <c r="D347" t="str">
        <f>HYPERLINK("http://service.sap.com/sap/support/notes/1611241","1611241")</f>
        <v>1611241</v>
      </c>
      <c r="E347">
        <v>2</v>
      </c>
      <c r="F347" t="s">
        <v>1129</v>
      </c>
    </row>
    <row r="348" spans="1:6" x14ac:dyDescent="0.25">
      <c r="A348" t="s">
        <v>1133</v>
      </c>
      <c r="B348" t="s">
        <v>205</v>
      </c>
      <c r="C348" t="s">
        <v>206</v>
      </c>
      <c r="D348" t="str">
        <f>HYPERLINK("http://service.sap.com/sap/support/notes/1637151","1637151")</f>
        <v>1637151</v>
      </c>
      <c r="E348">
        <v>1</v>
      </c>
      <c r="F348" t="s">
        <v>1130</v>
      </c>
    </row>
    <row r="349" spans="1:6" x14ac:dyDescent="0.25">
      <c r="A349" t="s">
        <v>1133</v>
      </c>
      <c r="B349" t="s">
        <v>205</v>
      </c>
      <c r="C349" t="s">
        <v>206</v>
      </c>
      <c r="D349" t="str">
        <f>HYPERLINK("http://service.sap.com/sap/support/notes/1641939","1641939")</f>
        <v>1641939</v>
      </c>
      <c r="E349">
        <v>1</v>
      </c>
      <c r="F349" t="s">
        <v>1131</v>
      </c>
    </row>
    <row r="350" spans="1:6" x14ac:dyDescent="0.25">
      <c r="A350" t="s">
        <v>1133</v>
      </c>
      <c r="B350" t="s">
        <v>205</v>
      </c>
      <c r="C350" t="s">
        <v>206</v>
      </c>
      <c r="D350" t="str">
        <f>HYPERLINK("http://service.sap.com/sap/support/notes/1642662","1642662")</f>
        <v>1642662</v>
      </c>
      <c r="E350">
        <v>1</v>
      </c>
      <c r="F350" t="s">
        <v>1132</v>
      </c>
    </row>
    <row r="351" spans="1:6" x14ac:dyDescent="0.25">
      <c r="A351" t="s">
        <v>1134</v>
      </c>
      <c r="B351" t="s">
        <v>212</v>
      </c>
      <c r="C351" t="s">
        <v>361</v>
      </c>
    </row>
    <row r="352" spans="1:6" x14ac:dyDescent="0.25">
      <c r="A352" t="s">
        <v>1134</v>
      </c>
      <c r="B352" t="s">
        <v>213</v>
      </c>
      <c r="C352" t="s">
        <v>362</v>
      </c>
    </row>
    <row r="353" spans="1:6" x14ac:dyDescent="0.25">
      <c r="A353" t="s">
        <v>1134</v>
      </c>
      <c r="B353" t="s">
        <v>214</v>
      </c>
      <c r="C353" t="s">
        <v>215</v>
      </c>
      <c r="D353" t="str">
        <f>HYPERLINK("http://service.sap.com/sap/support/notes/1229084","1229084")</f>
        <v>1229084</v>
      </c>
      <c r="E353">
        <v>4</v>
      </c>
      <c r="F353" t="s">
        <v>1135</v>
      </c>
    </row>
    <row r="354" spans="1:6" x14ac:dyDescent="0.25">
      <c r="A354" t="s">
        <v>1134</v>
      </c>
      <c r="B354" t="s">
        <v>214</v>
      </c>
      <c r="C354" t="s">
        <v>215</v>
      </c>
      <c r="D354" t="str">
        <f>HYPERLINK("http://service.sap.com/sap/support/notes/1635111","1635111")</f>
        <v>1635111</v>
      </c>
      <c r="E354">
        <v>1</v>
      </c>
      <c r="F354" t="s">
        <v>1136</v>
      </c>
    </row>
    <row r="355" spans="1:6" x14ac:dyDescent="0.25">
      <c r="A355" t="s">
        <v>1134</v>
      </c>
      <c r="B355" t="s">
        <v>216</v>
      </c>
      <c r="C355" t="s">
        <v>217</v>
      </c>
      <c r="D355" t="str">
        <f>HYPERLINK("http://service.sap.com/sap/support/notes/1650800","1650800")</f>
        <v>1650800</v>
      </c>
      <c r="E355">
        <v>1</v>
      </c>
      <c r="F355" t="s">
        <v>406</v>
      </c>
    </row>
    <row r="356" spans="1:6" x14ac:dyDescent="0.25">
      <c r="A356" t="s">
        <v>1134</v>
      </c>
      <c r="B356" t="s">
        <v>5</v>
      </c>
      <c r="C356" t="s">
        <v>6</v>
      </c>
    </row>
    <row r="357" spans="1:6" x14ac:dyDescent="0.25">
      <c r="A357" t="s">
        <v>1134</v>
      </c>
      <c r="B357" t="s">
        <v>7</v>
      </c>
      <c r="C357" t="s">
        <v>8</v>
      </c>
    </row>
    <row r="358" spans="1:6" x14ac:dyDescent="0.25">
      <c r="A358" t="s">
        <v>1134</v>
      </c>
      <c r="B358" t="s">
        <v>11</v>
      </c>
      <c r="C358" t="s">
        <v>12</v>
      </c>
      <c r="D358" t="str">
        <f>HYPERLINK("http://service.sap.com/sap/support/notes/872506","872506")</f>
        <v>872506</v>
      </c>
      <c r="E358">
        <v>2</v>
      </c>
      <c r="F358" t="s">
        <v>1137</v>
      </c>
    </row>
    <row r="359" spans="1:6" x14ac:dyDescent="0.25">
      <c r="A359" t="s">
        <v>1134</v>
      </c>
      <c r="B359" t="s">
        <v>11</v>
      </c>
      <c r="C359" t="s">
        <v>12</v>
      </c>
      <c r="D359" t="str">
        <f>HYPERLINK("http://service.sap.com/sap/support/notes/1588638","1588638")</f>
        <v>1588638</v>
      </c>
      <c r="E359">
        <v>2</v>
      </c>
      <c r="F359" t="s">
        <v>1138</v>
      </c>
    </row>
    <row r="360" spans="1:6" x14ac:dyDescent="0.25">
      <c r="A360" t="s">
        <v>1134</v>
      </c>
      <c r="B360" t="s">
        <v>11</v>
      </c>
      <c r="C360" t="s">
        <v>12</v>
      </c>
      <c r="D360" t="str">
        <f>HYPERLINK("http://service.sap.com/sap/support/notes/1591926","1591926")</f>
        <v>1591926</v>
      </c>
      <c r="E360">
        <v>2</v>
      </c>
      <c r="F360" t="s">
        <v>1139</v>
      </c>
    </row>
    <row r="361" spans="1:6" x14ac:dyDescent="0.25">
      <c r="A361" t="s">
        <v>1134</v>
      </c>
      <c r="B361" t="s">
        <v>11</v>
      </c>
      <c r="C361" t="s">
        <v>12</v>
      </c>
      <c r="D361" t="str">
        <f>HYPERLINK("http://service.sap.com/sap/support/notes/1606376","1606376")</f>
        <v>1606376</v>
      </c>
      <c r="E361">
        <v>2</v>
      </c>
      <c r="F361" t="s">
        <v>1140</v>
      </c>
    </row>
    <row r="362" spans="1:6" x14ac:dyDescent="0.25">
      <c r="A362" t="s">
        <v>1134</v>
      </c>
      <c r="B362" t="s">
        <v>11</v>
      </c>
      <c r="C362" t="s">
        <v>12</v>
      </c>
      <c r="D362" t="str">
        <f>HYPERLINK("http://service.sap.com/sap/support/notes/1651343","1651343")</f>
        <v>1651343</v>
      </c>
      <c r="E362">
        <v>2</v>
      </c>
      <c r="F362" t="s">
        <v>1141</v>
      </c>
    </row>
    <row r="363" spans="1:6" x14ac:dyDescent="0.25">
      <c r="A363" t="s">
        <v>1134</v>
      </c>
      <c r="B363" t="s">
        <v>218</v>
      </c>
      <c r="C363" t="s">
        <v>219</v>
      </c>
      <c r="D363" t="str">
        <f>HYPERLINK("http://service.sap.com/sap/support/notes/1611377","1611377")</f>
        <v>1611377</v>
      </c>
      <c r="E363">
        <v>1</v>
      </c>
      <c r="F363" t="s">
        <v>1142</v>
      </c>
    </row>
    <row r="364" spans="1:6" x14ac:dyDescent="0.25">
      <c r="A364" t="s">
        <v>1134</v>
      </c>
      <c r="B364" t="s">
        <v>218</v>
      </c>
      <c r="C364" t="s">
        <v>219</v>
      </c>
      <c r="D364" t="str">
        <f>HYPERLINK("http://service.sap.com/sap/support/notes/1617680","1617680")</f>
        <v>1617680</v>
      </c>
      <c r="E364">
        <v>1</v>
      </c>
      <c r="F364" t="s">
        <v>1143</v>
      </c>
    </row>
    <row r="365" spans="1:6" x14ac:dyDescent="0.25">
      <c r="A365" t="s">
        <v>1134</v>
      </c>
      <c r="B365" t="s">
        <v>218</v>
      </c>
      <c r="C365" t="s">
        <v>219</v>
      </c>
      <c r="D365" t="str">
        <f>HYPERLINK("http://service.sap.com/sap/support/notes/1653293","1653293")</f>
        <v>1653293</v>
      </c>
      <c r="E365">
        <v>1</v>
      </c>
      <c r="F365" t="s">
        <v>1144</v>
      </c>
    </row>
    <row r="366" spans="1:6" x14ac:dyDescent="0.25">
      <c r="A366" t="s">
        <v>1134</v>
      </c>
      <c r="B366" t="s">
        <v>220</v>
      </c>
      <c r="C366" t="s">
        <v>435</v>
      </c>
    </row>
    <row r="367" spans="1:6" x14ac:dyDescent="0.25">
      <c r="A367" t="s">
        <v>1134</v>
      </c>
      <c r="B367" t="s">
        <v>221</v>
      </c>
      <c r="C367" t="s">
        <v>556</v>
      </c>
    </row>
    <row r="368" spans="1:6" x14ac:dyDescent="0.25">
      <c r="A368" t="s">
        <v>1134</v>
      </c>
      <c r="B368" t="s">
        <v>222</v>
      </c>
      <c r="C368" t="s">
        <v>223</v>
      </c>
      <c r="D368" t="str">
        <f>HYPERLINK("http://service.sap.com/sap/support/notes/1043463","1043463")</f>
        <v>1043463</v>
      </c>
      <c r="E368">
        <v>4</v>
      </c>
      <c r="F368" t="s">
        <v>1145</v>
      </c>
    </row>
    <row r="369" spans="1:6" x14ac:dyDescent="0.25">
      <c r="A369" t="s">
        <v>1134</v>
      </c>
      <c r="B369" t="s">
        <v>222</v>
      </c>
      <c r="C369" t="s">
        <v>223</v>
      </c>
      <c r="D369" t="str">
        <f>HYPERLINK("http://service.sap.com/sap/support/notes/1066477","1066477")</f>
        <v>1066477</v>
      </c>
      <c r="E369">
        <v>4</v>
      </c>
      <c r="F369" t="s">
        <v>1146</v>
      </c>
    </row>
    <row r="370" spans="1:6" x14ac:dyDescent="0.25">
      <c r="A370" t="s">
        <v>1134</v>
      </c>
      <c r="B370" t="s">
        <v>542</v>
      </c>
      <c r="C370" t="s">
        <v>543</v>
      </c>
    </row>
    <row r="371" spans="1:6" x14ac:dyDescent="0.25">
      <c r="A371" t="s">
        <v>1134</v>
      </c>
      <c r="B371" t="s">
        <v>544</v>
      </c>
      <c r="C371" t="s">
        <v>543</v>
      </c>
      <c r="D371" t="str">
        <f>HYPERLINK("http://service.sap.com/sap/support/notes/1601224","1601224")</f>
        <v>1601224</v>
      </c>
      <c r="E371">
        <v>2</v>
      </c>
      <c r="F371" t="s">
        <v>1147</v>
      </c>
    </row>
    <row r="372" spans="1:6" x14ac:dyDescent="0.25">
      <c r="A372" t="s">
        <v>1134</v>
      </c>
      <c r="B372" t="s">
        <v>438</v>
      </c>
      <c r="C372" t="s">
        <v>439</v>
      </c>
      <c r="D372" t="str">
        <f>HYPERLINK("http://service.sap.com/sap/support/notes/1441458","1441458")</f>
        <v>1441458</v>
      </c>
      <c r="E372">
        <v>1</v>
      </c>
      <c r="F372" t="s">
        <v>1148</v>
      </c>
    </row>
    <row r="373" spans="1:6" x14ac:dyDescent="0.25">
      <c r="A373" t="s">
        <v>1134</v>
      </c>
      <c r="B373" t="s">
        <v>438</v>
      </c>
      <c r="C373" t="s">
        <v>439</v>
      </c>
      <c r="D373" t="str">
        <f>HYPERLINK("http://service.sap.com/sap/support/notes/1591727","1591727")</f>
        <v>1591727</v>
      </c>
      <c r="E373">
        <v>1</v>
      </c>
      <c r="F373" t="s">
        <v>1149</v>
      </c>
    </row>
    <row r="374" spans="1:6" x14ac:dyDescent="0.25">
      <c r="A374" t="s">
        <v>1134</v>
      </c>
      <c r="B374" t="s">
        <v>438</v>
      </c>
      <c r="C374" t="s">
        <v>439</v>
      </c>
      <c r="D374" t="str">
        <f>HYPERLINK("http://service.sap.com/sap/support/notes/1607119","1607119")</f>
        <v>1607119</v>
      </c>
      <c r="E374">
        <v>1</v>
      </c>
      <c r="F374" t="s">
        <v>685</v>
      </c>
    </row>
    <row r="375" spans="1:6" x14ac:dyDescent="0.25">
      <c r="A375" t="s">
        <v>1134</v>
      </c>
      <c r="B375" t="s">
        <v>438</v>
      </c>
      <c r="C375" t="s">
        <v>439</v>
      </c>
      <c r="D375" t="str">
        <f>HYPERLINK("http://service.sap.com/sap/support/notes/1615204","1615204")</f>
        <v>1615204</v>
      </c>
      <c r="E375">
        <v>1</v>
      </c>
      <c r="F375" t="s">
        <v>1150</v>
      </c>
    </row>
    <row r="376" spans="1:6" x14ac:dyDescent="0.25">
      <c r="A376" t="s">
        <v>1134</v>
      </c>
      <c r="B376" t="s">
        <v>225</v>
      </c>
      <c r="C376" t="s">
        <v>354</v>
      </c>
    </row>
    <row r="377" spans="1:6" x14ac:dyDescent="0.25">
      <c r="A377" t="s">
        <v>1134</v>
      </c>
      <c r="B377" t="s">
        <v>226</v>
      </c>
      <c r="C377" t="s">
        <v>355</v>
      </c>
    </row>
    <row r="378" spans="1:6" x14ac:dyDescent="0.25">
      <c r="A378" t="s">
        <v>1134</v>
      </c>
      <c r="B378" t="s">
        <v>227</v>
      </c>
      <c r="C378" t="s">
        <v>356</v>
      </c>
    </row>
    <row r="379" spans="1:6" x14ac:dyDescent="0.25">
      <c r="A379" t="s">
        <v>1134</v>
      </c>
      <c r="B379" t="s">
        <v>228</v>
      </c>
      <c r="C379" t="s">
        <v>229</v>
      </c>
      <c r="D379" t="str">
        <f>HYPERLINK("http://service.sap.com/sap/support/notes/1645460","1645460")</f>
        <v>1645460</v>
      </c>
      <c r="E379">
        <v>2</v>
      </c>
      <c r="F379" t="s">
        <v>1151</v>
      </c>
    </row>
    <row r="380" spans="1:6" x14ac:dyDescent="0.25">
      <c r="A380" t="s">
        <v>1134</v>
      </c>
      <c r="B380" t="s">
        <v>15</v>
      </c>
      <c r="C380" t="s">
        <v>16</v>
      </c>
    </row>
    <row r="381" spans="1:6" x14ac:dyDescent="0.25">
      <c r="A381" t="s">
        <v>1134</v>
      </c>
      <c r="B381" t="s">
        <v>17</v>
      </c>
      <c r="C381" t="s">
        <v>407</v>
      </c>
      <c r="D381" t="str">
        <f>HYPERLINK("http://service.sap.com/sap/support/notes/1647366","1647366")</f>
        <v>1647366</v>
      </c>
      <c r="E381">
        <v>1</v>
      </c>
      <c r="F381" t="s">
        <v>1152</v>
      </c>
    </row>
    <row r="382" spans="1:6" x14ac:dyDescent="0.25">
      <c r="A382" t="s">
        <v>1134</v>
      </c>
      <c r="B382" t="s">
        <v>19</v>
      </c>
      <c r="C382" t="s">
        <v>20</v>
      </c>
      <c r="D382" t="str">
        <f>HYPERLINK("http://service.sap.com/sap/support/notes/1648157","1648157")</f>
        <v>1648157</v>
      </c>
      <c r="E382">
        <v>2</v>
      </c>
      <c r="F382" t="s">
        <v>1153</v>
      </c>
    </row>
    <row r="383" spans="1:6" x14ac:dyDescent="0.25">
      <c r="A383" t="s">
        <v>1134</v>
      </c>
      <c r="B383" t="s">
        <v>21</v>
      </c>
      <c r="C383" t="s">
        <v>12</v>
      </c>
      <c r="D383" t="str">
        <f>HYPERLINK("http://service.sap.com/sap/support/notes/1125364","1125364")</f>
        <v>1125364</v>
      </c>
      <c r="E383">
        <v>1</v>
      </c>
      <c r="F383" t="s">
        <v>230</v>
      </c>
    </row>
    <row r="384" spans="1:6" x14ac:dyDescent="0.25">
      <c r="A384" t="s">
        <v>1134</v>
      </c>
      <c r="B384" t="s">
        <v>231</v>
      </c>
      <c r="C384" t="s">
        <v>232</v>
      </c>
      <c r="D384" t="str">
        <f>HYPERLINK("http://service.sap.com/sap/support/notes/1569570","1569570")</f>
        <v>1569570</v>
      </c>
      <c r="E384">
        <v>1</v>
      </c>
      <c r="F384" t="s">
        <v>1154</v>
      </c>
    </row>
    <row r="385" spans="1:6" x14ac:dyDescent="0.25">
      <c r="A385" t="s">
        <v>1134</v>
      </c>
      <c r="B385" t="s">
        <v>231</v>
      </c>
      <c r="C385" t="s">
        <v>232</v>
      </c>
      <c r="D385" t="str">
        <f>HYPERLINK("http://service.sap.com/sap/support/notes/1623257","1623257")</f>
        <v>1623257</v>
      </c>
      <c r="E385">
        <v>1</v>
      </c>
      <c r="F385" t="s">
        <v>1155</v>
      </c>
    </row>
    <row r="386" spans="1:6" x14ac:dyDescent="0.25">
      <c r="A386" t="s">
        <v>1134</v>
      </c>
      <c r="B386" t="s">
        <v>231</v>
      </c>
      <c r="C386" t="s">
        <v>232</v>
      </c>
      <c r="D386" t="str">
        <f>HYPERLINK("http://service.sap.com/sap/support/notes/1624564","1624564")</f>
        <v>1624564</v>
      </c>
      <c r="E386">
        <v>1</v>
      </c>
      <c r="F386" t="s">
        <v>1156</v>
      </c>
    </row>
    <row r="387" spans="1:6" x14ac:dyDescent="0.25">
      <c r="A387" t="s">
        <v>1134</v>
      </c>
      <c r="B387" t="s">
        <v>231</v>
      </c>
      <c r="C387" t="s">
        <v>232</v>
      </c>
      <c r="D387" t="str">
        <f>HYPERLINK("http://service.sap.com/sap/support/notes/1632910","1632910")</f>
        <v>1632910</v>
      </c>
      <c r="E387">
        <v>1</v>
      </c>
      <c r="F387" t="s">
        <v>28</v>
      </c>
    </row>
    <row r="388" spans="1:6" x14ac:dyDescent="0.25">
      <c r="A388" t="s">
        <v>1134</v>
      </c>
      <c r="B388" t="s">
        <v>231</v>
      </c>
      <c r="C388" t="s">
        <v>232</v>
      </c>
      <c r="D388" t="str">
        <f>HYPERLINK("http://service.sap.com/sap/support/notes/1649705","1649705")</f>
        <v>1649705</v>
      </c>
      <c r="E388">
        <v>1</v>
      </c>
      <c r="F388" t="s">
        <v>1157</v>
      </c>
    </row>
    <row r="389" spans="1:6" x14ac:dyDescent="0.25">
      <c r="A389" t="s">
        <v>1134</v>
      </c>
      <c r="B389" t="s">
        <v>233</v>
      </c>
      <c r="C389" t="s">
        <v>234</v>
      </c>
      <c r="D389" t="str">
        <f>HYPERLINK("http://service.sap.com/sap/support/notes/1595016","1595016")</f>
        <v>1595016</v>
      </c>
      <c r="E389">
        <v>2</v>
      </c>
      <c r="F389" t="s">
        <v>1158</v>
      </c>
    </row>
    <row r="390" spans="1:6" x14ac:dyDescent="0.25">
      <c r="A390" t="s">
        <v>1134</v>
      </c>
      <c r="B390" t="s">
        <v>22</v>
      </c>
      <c r="C390" t="s">
        <v>23</v>
      </c>
      <c r="D390" t="str">
        <f>HYPERLINK("http://service.sap.com/sap/support/notes/910630","910630")</f>
        <v>910630</v>
      </c>
      <c r="E390">
        <v>1</v>
      </c>
      <c r="F390" t="s">
        <v>1159</v>
      </c>
    </row>
    <row r="391" spans="1:6" x14ac:dyDescent="0.25">
      <c r="A391" t="s">
        <v>1134</v>
      </c>
      <c r="B391" t="s">
        <v>22</v>
      </c>
      <c r="C391" t="s">
        <v>23</v>
      </c>
      <c r="D391" t="str">
        <f>HYPERLINK("http://service.sap.com/sap/support/notes/1048628","1048628")</f>
        <v>1048628</v>
      </c>
      <c r="E391">
        <v>11</v>
      </c>
      <c r="F391" t="s">
        <v>1160</v>
      </c>
    </row>
    <row r="392" spans="1:6" x14ac:dyDescent="0.25">
      <c r="A392" t="s">
        <v>1134</v>
      </c>
      <c r="B392" t="s">
        <v>22</v>
      </c>
      <c r="C392" t="s">
        <v>23</v>
      </c>
      <c r="D392" t="str">
        <f>HYPERLINK("http://service.sap.com/sap/support/notes/1057002","1057002")</f>
        <v>1057002</v>
      </c>
      <c r="E392">
        <v>6</v>
      </c>
      <c r="F392" t="s">
        <v>1161</v>
      </c>
    </row>
    <row r="393" spans="1:6" x14ac:dyDescent="0.25">
      <c r="A393" t="s">
        <v>1134</v>
      </c>
      <c r="B393" t="s">
        <v>22</v>
      </c>
      <c r="C393" t="s">
        <v>23</v>
      </c>
      <c r="D393" t="str">
        <f>HYPERLINK("http://service.sap.com/sap/support/notes/1070499","1070499")</f>
        <v>1070499</v>
      </c>
      <c r="E393">
        <v>3</v>
      </c>
      <c r="F393" t="s">
        <v>1162</v>
      </c>
    </row>
    <row r="394" spans="1:6" x14ac:dyDescent="0.25">
      <c r="A394" t="s">
        <v>1134</v>
      </c>
      <c r="B394" t="s">
        <v>22</v>
      </c>
      <c r="C394" t="s">
        <v>23</v>
      </c>
      <c r="D394" t="str">
        <f>HYPERLINK("http://service.sap.com/sap/support/notes/1076475","1076475")</f>
        <v>1076475</v>
      </c>
      <c r="E394">
        <v>6</v>
      </c>
      <c r="F394" t="s">
        <v>1163</v>
      </c>
    </row>
    <row r="395" spans="1:6" x14ac:dyDescent="0.25">
      <c r="A395" t="s">
        <v>1134</v>
      </c>
      <c r="B395" t="s">
        <v>22</v>
      </c>
      <c r="C395" t="s">
        <v>23</v>
      </c>
      <c r="D395" t="str">
        <f>HYPERLINK("http://service.sap.com/sap/support/notes/1554417","1554417")</f>
        <v>1554417</v>
      </c>
      <c r="E395">
        <v>2</v>
      </c>
      <c r="F395" t="s">
        <v>1164</v>
      </c>
    </row>
    <row r="396" spans="1:6" x14ac:dyDescent="0.25">
      <c r="A396" t="s">
        <v>1134</v>
      </c>
      <c r="B396" t="s">
        <v>22</v>
      </c>
      <c r="C396" t="s">
        <v>23</v>
      </c>
      <c r="D396" t="str">
        <f>HYPERLINK("http://service.sap.com/sap/support/notes/1563480","1563480")</f>
        <v>1563480</v>
      </c>
      <c r="E396">
        <v>3</v>
      </c>
      <c r="F396" t="s">
        <v>1165</v>
      </c>
    </row>
    <row r="397" spans="1:6" x14ac:dyDescent="0.25">
      <c r="A397" t="s">
        <v>1134</v>
      </c>
      <c r="B397" t="s">
        <v>22</v>
      </c>
      <c r="C397" t="s">
        <v>23</v>
      </c>
      <c r="D397" t="str">
        <f>HYPERLINK("http://service.sap.com/sap/support/notes/1598561","1598561")</f>
        <v>1598561</v>
      </c>
      <c r="E397">
        <v>1</v>
      </c>
      <c r="F397" t="s">
        <v>1166</v>
      </c>
    </row>
    <row r="398" spans="1:6" x14ac:dyDescent="0.25">
      <c r="A398" t="s">
        <v>1134</v>
      </c>
      <c r="B398" t="s">
        <v>22</v>
      </c>
      <c r="C398" t="s">
        <v>23</v>
      </c>
      <c r="D398" t="str">
        <f>HYPERLINK("http://service.sap.com/sap/support/notes/1631828","1631828")</f>
        <v>1631828</v>
      </c>
      <c r="E398">
        <v>1</v>
      </c>
      <c r="F398" t="s">
        <v>1167</v>
      </c>
    </row>
    <row r="399" spans="1:6" x14ac:dyDescent="0.25">
      <c r="A399" t="s">
        <v>1134</v>
      </c>
      <c r="B399" t="s">
        <v>22</v>
      </c>
      <c r="C399" t="s">
        <v>23</v>
      </c>
      <c r="D399" t="str">
        <f>HYPERLINK("http://service.sap.com/sap/support/notes/1631969","1631969")</f>
        <v>1631969</v>
      </c>
      <c r="E399">
        <v>1</v>
      </c>
      <c r="F399" t="s">
        <v>1168</v>
      </c>
    </row>
    <row r="400" spans="1:6" x14ac:dyDescent="0.25">
      <c r="A400" t="s">
        <v>1134</v>
      </c>
      <c r="B400" t="s">
        <v>22</v>
      </c>
      <c r="C400" t="s">
        <v>23</v>
      </c>
      <c r="D400" t="str">
        <f>HYPERLINK("http://service.sap.com/sap/support/notes/1640701","1640701")</f>
        <v>1640701</v>
      </c>
      <c r="E400">
        <v>2</v>
      </c>
      <c r="F400" t="s">
        <v>1169</v>
      </c>
    </row>
    <row r="401" spans="1:6" x14ac:dyDescent="0.25">
      <c r="A401" t="s">
        <v>1134</v>
      </c>
      <c r="B401" t="s">
        <v>22</v>
      </c>
      <c r="C401" t="s">
        <v>23</v>
      </c>
      <c r="D401" t="str">
        <f>HYPERLINK("http://service.sap.com/sap/support/notes/1643960","1643960")</f>
        <v>1643960</v>
      </c>
      <c r="E401">
        <v>1</v>
      </c>
      <c r="F401" t="s">
        <v>1170</v>
      </c>
    </row>
    <row r="402" spans="1:6" x14ac:dyDescent="0.25">
      <c r="A402" t="s">
        <v>1134</v>
      </c>
      <c r="B402" t="s">
        <v>22</v>
      </c>
      <c r="C402" t="s">
        <v>23</v>
      </c>
      <c r="D402" t="str">
        <f>HYPERLINK("http://service.sap.com/sap/support/notes/1654487","1654487")</f>
        <v>1654487</v>
      </c>
      <c r="E402">
        <v>3</v>
      </c>
      <c r="F402" t="s">
        <v>1171</v>
      </c>
    </row>
    <row r="403" spans="1:6" x14ac:dyDescent="0.25">
      <c r="A403" t="s">
        <v>1134</v>
      </c>
      <c r="B403" t="s">
        <v>22</v>
      </c>
      <c r="C403" t="s">
        <v>23</v>
      </c>
      <c r="D403" t="str">
        <f>HYPERLINK("http://service.sap.com/sap/support/notes/1658359","1658359")</f>
        <v>1658359</v>
      </c>
      <c r="E403">
        <v>2</v>
      </c>
      <c r="F403" t="s">
        <v>1172</v>
      </c>
    </row>
    <row r="404" spans="1:6" x14ac:dyDescent="0.25">
      <c r="A404" t="s">
        <v>1134</v>
      </c>
      <c r="B404" t="s">
        <v>235</v>
      </c>
      <c r="C404" t="s">
        <v>236</v>
      </c>
      <c r="D404" t="str">
        <f>HYPERLINK("http://service.sap.com/sap/support/notes/612168","612168")</f>
        <v>612168</v>
      </c>
      <c r="E404">
        <v>4</v>
      </c>
      <c r="F404" t="s">
        <v>1173</v>
      </c>
    </row>
    <row r="405" spans="1:6" x14ac:dyDescent="0.25">
      <c r="A405" t="s">
        <v>1134</v>
      </c>
      <c r="B405" t="s">
        <v>235</v>
      </c>
      <c r="C405" t="s">
        <v>236</v>
      </c>
      <c r="D405" t="str">
        <f>HYPERLINK("http://service.sap.com/sap/support/notes/1079920","1079920")</f>
        <v>1079920</v>
      </c>
      <c r="E405">
        <v>2</v>
      </c>
      <c r="F405" t="s">
        <v>1174</v>
      </c>
    </row>
    <row r="406" spans="1:6" x14ac:dyDescent="0.25">
      <c r="A406" t="s">
        <v>1134</v>
      </c>
      <c r="B406" t="s">
        <v>237</v>
      </c>
      <c r="C406" t="s">
        <v>238</v>
      </c>
      <c r="D406" t="str">
        <f>HYPERLINK("http://service.sap.com/sap/support/notes/1512061","1512061")</f>
        <v>1512061</v>
      </c>
      <c r="E406">
        <v>1</v>
      </c>
      <c r="F406" t="s">
        <v>1175</v>
      </c>
    </row>
    <row r="407" spans="1:6" x14ac:dyDescent="0.25">
      <c r="A407" t="s">
        <v>1134</v>
      </c>
      <c r="B407" t="s">
        <v>237</v>
      </c>
      <c r="C407" t="s">
        <v>238</v>
      </c>
      <c r="D407" t="str">
        <f>HYPERLINK("http://service.sap.com/sap/support/notes/1562856","1562856")</f>
        <v>1562856</v>
      </c>
      <c r="E407">
        <v>4</v>
      </c>
      <c r="F407" t="s">
        <v>1176</v>
      </c>
    </row>
    <row r="408" spans="1:6" x14ac:dyDescent="0.25">
      <c r="A408" t="s">
        <v>1134</v>
      </c>
      <c r="B408" t="s">
        <v>1177</v>
      </c>
      <c r="C408" t="s">
        <v>1178</v>
      </c>
      <c r="D408" t="str">
        <f>HYPERLINK("http://service.sap.com/sap/support/notes/1582633","1582633")</f>
        <v>1582633</v>
      </c>
      <c r="E408">
        <v>2</v>
      </c>
      <c r="F408" t="s">
        <v>1179</v>
      </c>
    </row>
    <row r="409" spans="1:6" x14ac:dyDescent="0.25">
      <c r="A409" t="s">
        <v>1134</v>
      </c>
      <c r="B409" t="s">
        <v>239</v>
      </c>
      <c r="C409" t="s">
        <v>240</v>
      </c>
      <c r="D409" t="str">
        <f>HYPERLINK("http://service.sap.com/sap/support/notes/1050359","1050359")</f>
        <v>1050359</v>
      </c>
      <c r="E409">
        <v>3</v>
      </c>
      <c r="F409" t="s">
        <v>1180</v>
      </c>
    </row>
    <row r="410" spans="1:6" x14ac:dyDescent="0.25">
      <c r="A410" t="s">
        <v>1134</v>
      </c>
      <c r="B410" t="s">
        <v>239</v>
      </c>
      <c r="C410" t="s">
        <v>240</v>
      </c>
      <c r="D410" t="str">
        <f>HYPERLINK("http://service.sap.com/sap/support/notes/1506155","1506155")</f>
        <v>1506155</v>
      </c>
      <c r="E410">
        <v>2</v>
      </c>
      <c r="F410" t="s">
        <v>1181</v>
      </c>
    </row>
    <row r="411" spans="1:6" x14ac:dyDescent="0.25">
      <c r="A411" t="s">
        <v>1134</v>
      </c>
      <c r="B411" t="s">
        <v>239</v>
      </c>
      <c r="C411" t="s">
        <v>240</v>
      </c>
      <c r="D411" t="str">
        <f>HYPERLINK("http://service.sap.com/sap/support/notes/1546193","1546193")</f>
        <v>1546193</v>
      </c>
      <c r="E411">
        <v>2</v>
      </c>
      <c r="F411" t="s">
        <v>1182</v>
      </c>
    </row>
    <row r="412" spans="1:6" x14ac:dyDescent="0.25">
      <c r="A412" t="s">
        <v>1134</v>
      </c>
      <c r="B412" t="s">
        <v>239</v>
      </c>
      <c r="C412" t="s">
        <v>240</v>
      </c>
      <c r="D412" t="str">
        <f>HYPERLINK("http://service.sap.com/sap/support/notes/1579437","1579437")</f>
        <v>1579437</v>
      </c>
      <c r="E412">
        <v>2</v>
      </c>
      <c r="F412" t="s">
        <v>1183</v>
      </c>
    </row>
    <row r="413" spans="1:6" x14ac:dyDescent="0.25">
      <c r="A413" t="s">
        <v>1134</v>
      </c>
      <c r="B413" t="s">
        <v>239</v>
      </c>
      <c r="C413" t="s">
        <v>240</v>
      </c>
      <c r="D413" t="str">
        <f>HYPERLINK("http://service.sap.com/sap/support/notes/1649074","1649074")</f>
        <v>1649074</v>
      </c>
      <c r="E413">
        <v>3</v>
      </c>
      <c r="F413" t="s">
        <v>1184</v>
      </c>
    </row>
    <row r="414" spans="1:6" x14ac:dyDescent="0.25">
      <c r="A414" t="s">
        <v>1134</v>
      </c>
      <c r="B414" t="s">
        <v>241</v>
      </c>
      <c r="C414" t="s">
        <v>242</v>
      </c>
      <c r="D414" t="str">
        <f>HYPERLINK("http://service.sap.com/sap/support/notes/1542155","1542155")</f>
        <v>1542155</v>
      </c>
      <c r="E414">
        <v>3</v>
      </c>
      <c r="F414" t="s">
        <v>1185</v>
      </c>
    </row>
    <row r="415" spans="1:6" x14ac:dyDescent="0.25">
      <c r="A415" t="s">
        <v>1134</v>
      </c>
      <c r="B415" t="s">
        <v>241</v>
      </c>
      <c r="C415" t="s">
        <v>242</v>
      </c>
      <c r="D415" t="str">
        <f>HYPERLINK("http://service.sap.com/sap/support/notes/1645058","1645058")</f>
        <v>1645058</v>
      </c>
      <c r="E415">
        <v>3</v>
      </c>
      <c r="F415" t="s">
        <v>1186</v>
      </c>
    </row>
    <row r="416" spans="1:6" x14ac:dyDescent="0.25">
      <c r="A416" t="s">
        <v>1134</v>
      </c>
      <c r="B416" t="s">
        <v>241</v>
      </c>
      <c r="C416" t="s">
        <v>242</v>
      </c>
      <c r="D416" t="str">
        <f>HYPERLINK("http://service.sap.com/sap/support/notes/1650298","1650298")</f>
        <v>1650298</v>
      </c>
      <c r="E416">
        <v>1</v>
      </c>
      <c r="F416" t="s">
        <v>1187</v>
      </c>
    </row>
    <row r="417" spans="1:6" x14ac:dyDescent="0.25">
      <c r="A417" t="s">
        <v>1134</v>
      </c>
      <c r="B417" t="s">
        <v>409</v>
      </c>
      <c r="C417" t="s">
        <v>410</v>
      </c>
      <c r="D417" t="str">
        <f>HYPERLINK("http://service.sap.com/sap/support/notes/1033383","1033383")</f>
        <v>1033383</v>
      </c>
      <c r="E417">
        <v>2</v>
      </c>
      <c r="F417" t="s">
        <v>1188</v>
      </c>
    </row>
    <row r="418" spans="1:6" x14ac:dyDescent="0.25">
      <c r="A418" t="s">
        <v>1134</v>
      </c>
      <c r="B418" t="s">
        <v>243</v>
      </c>
      <c r="C418" t="s">
        <v>244</v>
      </c>
      <c r="D418" t="str">
        <f>HYPERLINK("http://service.sap.com/sap/support/notes/1648482","1648482")</f>
        <v>1648482</v>
      </c>
      <c r="E418">
        <v>1</v>
      </c>
      <c r="F418" t="s">
        <v>1189</v>
      </c>
    </row>
    <row r="419" spans="1:6" x14ac:dyDescent="0.25">
      <c r="A419" t="s">
        <v>1134</v>
      </c>
      <c r="B419" t="s">
        <v>411</v>
      </c>
      <c r="C419" t="s">
        <v>412</v>
      </c>
      <c r="D419" t="str">
        <f>HYPERLINK("http://service.sap.com/sap/support/notes/1653800","1653800")</f>
        <v>1653800</v>
      </c>
      <c r="E419">
        <v>1</v>
      </c>
      <c r="F419" t="s">
        <v>1190</v>
      </c>
    </row>
    <row r="420" spans="1:6" x14ac:dyDescent="0.25">
      <c r="A420" t="s">
        <v>1134</v>
      </c>
      <c r="B420" t="s">
        <v>411</v>
      </c>
      <c r="C420" t="s">
        <v>412</v>
      </c>
      <c r="D420" t="str">
        <f>HYPERLINK("http://service.sap.com/sap/support/notes/1654116","1654116")</f>
        <v>1654116</v>
      </c>
      <c r="E420">
        <v>1</v>
      </c>
      <c r="F420" t="s">
        <v>1191</v>
      </c>
    </row>
    <row r="421" spans="1:6" x14ac:dyDescent="0.25">
      <c r="A421" t="s">
        <v>1134</v>
      </c>
      <c r="B421" t="s">
        <v>245</v>
      </c>
      <c r="C421" t="s">
        <v>246</v>
      </c>
      <c r="D421" t="str">
        <f>HYPERLINK("http://service.sap.com/sap/support/notes/1610351","1610351")</f>
        <v>1610351</v>
      </c>
      <c r="E421">
        <v>2</v>
      </c>
      <c r="F421" t="s">
        <v>1192</v>
      </c>
    </row>
    <row r="422" spans="1:6" x14ac:dyDescent="0.25">
      <c r="A422" t="s">
        <v>1134</v>
      </c>
      <c r="B422" t="s">
        <v>1193</v>
      </c>
      <c r="C422" t="s">
        <v>1194</v>
      </c>
      <c r="D422" t="str">
        <f>HYPERLINK("http://service.sap.com/sap/support/notes/1621123","1621123")</f>
        <v>1621123</v>
      </c>
      <c r="E422">
        <v>1</v>
      </c>
      <c r="F422" t="s">
        <v>1195</v>
      </c>
    </row>
    <row r="423" spans="1:6" x14ac:dyDescent="0.25">
      <c r="A423" t="s">
        <v>1134</v>
      </c>
      <c r="B423" t="s">
        <v>24</v>
      </c>
      <c r="C423" t="s">
        <v>25</v>
      </c>
      <c r="D423" t="str">
        <f>HYPERLINK("http://service.sap.com/sap/support/notes/1532696","1532696")</f>
        <v>1532696</v>
      </c>
      <c r="E423">
        <v>3</v>
      </c>
      <c r="F423" t="s">
        <v>1196</v>
      </c>
    </row>
    <row r="424" spans="1:6" x14ac:dyDescent="0.25">
      <c r="A424" t="s">
        <v>1134</v>
      </c>
      <c r="B424" t="s">
        <v>24</v>
      </c>
      <c r="C424" t="s">
        <v>25</v>
      </c>
      <c r="D424" t="str">
        <f>HYPERLINK("http://service.sap.com/sap/support/notes/1581759","1581759")</f>
        <v>1581759</v>
      </c>
      <c r="E424">
        <v>11</v>
      </c>
      <c r="F424" t="s">
        <v>1197</v>
      </c>
    </row>
    <row r="425" spans="1:6" x14ac:dyDescent="0.25">
      <c r="A425" t="s">
        <v>1134</v>
      </c>
      <c r="B425" t="s">
        <v>24</v>
      </c>
      <c r="C425" t="s">
        <v>25</v>
      </c>
      <c r="D425" t="str">
        <f>HYPERLINK("http://service.sap.com/sap/support/notes/1599180","1599180")</f>
        <v>1599180</v>
      </c>
      <c r="E425">
        <v>3</v>
      </c>
      <c r="F425" t="s">
        <v>1198</v>
      </c>
    </row>
    <row r="426" spans="1:6" x14ac:dyDescent="0.25">
      <c r="A426" t="s">
        <v>1134</v>
      </c>
      <c r="B426" t="s">
        <v>24</v>
      </c>
      <c r="C426" t="s">
        <v>25</v>
      </c>
      <c r="D426" t="str">
        <f>HYPERLINK("http://service.sap.com/sap/support/notes/1607735","1607735")</f>
        <v>1607735</v>
      </c>
      <c r="E426">
        <v>2</v>
      </c>
      <c r="F426" t="s">
        <v>1199</v>
      </c>
    </row>
    <row r="427" spans="1:6" x14ac:dyDescent="0.25">
      <c r="A427" t="s">
        <v>1134</v>
      </c>
      <c r="B427" t="s">
        <v>24</v>
      </c>
      <c r="C427" t="s">
        <v>25</v>
      </c>
      <c r="D427" t="str">
        <f>HYPERLINK("http://service.sap.com/sap/support/notes/1611663","1611663")</f>
        <v>1611663</v>
      </c>
      <c r="E427">
        <v>1</v>
      </c>
      <c r="F427" t="s">
        <v>1200</v>
      </c>
    </row>
    <row r="428" spans="1:6" x14ac:dyDescent="0.25">
      <c r="A428" t="s">
        <v>1134</v>
      </c>
      <c r="B428" t="s">
        <v>24</v>
      </c>
      <c r="C428" t="s">
        <v>25</v>
      </c>
      <c r="D428" t="str">
        <f>HYPERLINK("http://service.sap.com/sap/support/notes/1633225","1633225")</f>
        <v>1633225</v>
      </c>
      <c r="E428">
        <v>3</v>
      </c>
      <c r="F428" t="s">
        <v>1201</v>
      </c>
    </row>
    <row r="429" spans="1:6" x14ac:dyDescent="0.25">
      <c r="A429" t="s">
        <v>1134</v>
      </c>
      <c r="B429" t="s">
        <v>24</v>
      </c>
      <c r="C429" t="s">
        <v>25</v>
      </c>
      <c r="D429" t="str">
        <f>HYPERLINK("http://service.sap.com/sap/support/notes/1633565","1633565")</f>
        <v>1633565</v>
      </c>
      <c r="E429">
        <v>3</v>
      </c>
      <c r="F429" t="s">
        <v>1202</v>
      </c>
    </row>
    <row r="430" spans="1:6" x14ac:dyDescent="0.25">
      <c r="A430" t="s">
        <v>1134</v>
      </c>
      <c r="B430" t="s">
        <v>24</v>
      </c>
      <c r="C430" t="s">
        <v>25</v>
      </c>
      <c r="D430" t="str">
        <f>HYPERLINK("http://service.sap.com/sap/support/notes/1635081","1635081")</f>
        <v>1635081</v>
      </c>
      <c r="E430">
        <v>1</v>
      </c>
      <c r="F430" t="s">
        <v>1203</v>
      </c>
    </row>
    <row r="431" spans="1:6" x14ac:dyDescent="0.25">
      <c r="A431" t="s">
        <v>1134</v>
      </c>
      <c r="B431" t="s">
        <v>24</v>
      </c>
      <c r="C431" t="s">
        <v>25</v>
      </c>
      <c r="D431" t="str">
        <f>HYPERLINK("http://service.sap.com/sap/support/notes/1639643","1639643")</f>
        <v>1639643</v>
      </c>
      <c r="E431">
        <v>4</v>
      </c>
      <c r="F431" t="s">
        <v>1204</v>
      </c>
    </row>
    <row r="432" spans="1:6" x14ac:dyDescent="0.25">
      <c r="A432" t="s">
        <v>1134</v>
      </c>
      <c r="B432" t="s">
        <v>24</v>
      </c>
      <c r="C432" t="s">
        <v>25</v>
      </c>
      <c r="D432" t="str">
        <f>HYPERLINK("http://service.sap.com/sap/support/notes/1643186","1643186")</f>
        <v>1643186</v>
      </c>
      <c r="E432">
        <v>1</v>
      </c>
      <c r="F432" t="s">
        <v>1205</v>
      </c>
    </row>
    <row r="433" spans="1:6" x14ac:dyDescent="0.25">
      <c r="A433" t="s">
        <v>1134</v>
      </c>
      <c r="B433" t="s">
        <v>24</v>
      </c>
      <c r="C433" t="s">
        <v>25</v>
      </c>
      <c r="D433" t="str">
        <f>HYPERLINK("http://service.sap.com/sap/support/notes/1645660","1645660")</f>
        <v>1645660</v>
      </c>
      <c r="E433">
        <v>4</v>
      </c>
      <c r="F433" t="s">
        <v>1206</v>
      </c>
    </row>
    <row r="434" spans="1:6" x14ac:dyDescent="0.25">
      <c r="A434" t="s">
        <v>1134</v>
      </c>
      <c r="B434" t="s">
        <v>24</v>
      </c>
      <c r="C434" t="s">
        <v>25</v>
      </c>
      <c r="D434" t="str">
        <f>HYPERLINK("http://service.sap.com/sap/support/notes/1650884","1650884")</f>
        <v>1650884</v>
      </c>
      <c r="E434">
        <v>3</v>
      </c>
      <c r="F434" t="s">
        <v>1207</v>
      </c>
    </row>
    <row r="435" spans="1:6" x14ac:dyDescent="0.25">
      <c r="A435" t="s">
        <v>1134</v>
      </c>
      <c r="B435" t="s">
        <v>24</v>
      </c>
      <c r="C435" t="s">
        <v>25</v>
      </c>
      <c r="D435" t="str">
        <f>HYPERLINK("http://service.sap.com/sap/support/notes/1654009","1654009")</f>
        <v>1654009</v>
      </c>
      <c r="E435">
        <v>1</v>
      </c>
      <c r="F435" t="s">
        <v>1208</v>
      </c>
    </row>
    <row r="436" spans="1:6" x14ac:dyDescent="0.25">
      <c r="A436" t="s">
        <v>1134</v>
      </c>
      <c r="B436" t="s">
        <v>248</v>
      </c>
      <c r="C436" t="s">
        <v>249</v>
      </c>
      <c r="D436" t="str">
        <f>HYPERLINK("http://service.sap.com/sap/support/notes/1595005","1595005")</f>
        <v>1595005</v>
      </c>
      <c r="E436">
        <v>1</v>
      </c>
      <c r="F436" t="s">
        <v>1209</v>
      </c>
    </row>
    <row r="437" spans="1:6" x14ac:dyDescent="0.25">
      <c r="A437" t="s">
        <v>1134</v>
      </c>
      <c r="B437" t="s">
        <v>248</v>
      </c>
      <c r="C437" t="s">
        <v>249</v>
      </c>
      <c r="D437" t="str">
        <f>HYPERLINK("http://service.sap.com/sap/support/notes/1613769","1613769")</f>
        <v>1613769</v>
      </c>
      <c r="E437">
        <v>1</v>
      </c>
      <c r="F437" t="s">
        <v>1210</v>
      </c>
    </row>
    <row r="438" spans="1:6" x14ac:dyDescent="0.25">
      <c r="A438" t="s">
        <v>1134</v>
      </c>
      <c r="B438" t="s">
        <v>248</v>
      </c>
      <c r="C438" t="s">
        <v>249</v>
      </c>
      <c r="D438" t="str">
        <f>HYPERLINK("http://service.sap.com/sap/support/notes/1635560","1635560")</f>
        <v>1635560</v>
      </c>
      <c r="E438">
        <v>1</v>
      </c>
      <c r="F438" t="s">
        <v>1211</v>
      </c>
    </row>
    <row r="439" spans="1:6" x14ac:dyDescent="0.25">
      <c r="A439" t="s">
        <v>1134</v>
      </c>
      <c r="B439" t="s">
        <v>248</v>
      </c>
      <c r="C439" t="s">
        <v>249</v>
      </c>
      <c r="D439" t="str">
        <f>HYPERLINK("http://service.sap.com/sap/support/notes/1645743","1645743")</f>
        <v>1645743</v>
      </c>
      <c r="E439">
        <v>1</v>
      </c>
      <c r="F439" t="s">
        <v>1212</v>
      </c>
    </row>
    <row r="440" spans="1:6" x14ac:dyDescent="0.25">
      <c r="A440" t="s">
        <v>1134</v>
      </c>
      <c r="B440" t="s">
        <v>26</v>
      </c>
      <c r="C440" t="s">
        <v>27</v>
      </c>
      <c r="D440" t="str">
        <f>HYPERLINK("http://service.sap.com/sap/support/notes/1596068","1596068")</f>
        <v>1596068</v>
      </c>
      <c r="E440">
        <v>1</v>
      </c>
      <c r="F440" t="s">
        <v>1213</v>
      </c>
    </row>
    <row r="441" spans="1:6" x14ac:dyDescent="0.25">
      <c r="A441" t="s">
        <v>1134</v>
      </c>
      <c r="B441" t="s">
        <v>26</v>
      </c>
      <c r="C441" t="s">
        <v>27</v>
      </c>
      <c r="D441" t="str">
        <f>HYPERLINK("http://service.sap.com/sap/support/notes/1613434","1613434")</f>
        <v>1613434</v>
      </c>
      <c r="E441">
        <v>1</v>
      </c>
      <c r="F441" t="s">
        <v>1214</v>
      </c>
    </row>
    <row r="442" spans="1:6" x14ac:dyDescent="0.25">
      <c r="A442" t="s">
        <v>1134</v>
      </c>
      <c r="B442" t="s">
        <v>26</v>
      </c>
      <c r="C442" t="s">
        <v>27</v>
      </c>
      <c r="D442" t="str">
        <f>HYPERLINK("http://service.sap.com/sap/support/notes/1619467","1619467")</f>
        <v>1619467</v>
      </c>
      <c r="E442">
        <v>2</v>
      </c>
      <c r="F442" t="s">
        <v>1215</v>
      </c>
    </row>
    <row r="443" spans="1:6" x14ac:dyDescent="0.25">
      <c r="A443" t="s">
        <v>1134</v>
      </c>
      <c r="B443" t="s">
        <v>26</v>
      </c>
      <c r="C443" t="s">
        <v>27</v>
      </c>
      <c r="D443" t="str">
        <f>HYPERLINK("http://service.sap.com/sap/support/notes/1632436","1632436")</f>
        <v>1632436</v>
      </c>
      <c r="E443">
        <v>7</v>
      </c>
      <c r="F443" t="s">
        <v>1216</v>
      </c>
    </row>
    <row r="444" spans="1:6" x14ac:dyDescent="0.25">
      <c r="A444" t="s">
        <v>1134</v>
      </c>
      <c r="B444" t="s">
        <v>26</v>
      </c>
      <c r="C444" t="s">
        <v>27</v>
      </c>
      <c r="D444" t="str">
        <f>HYPERLINK("http://service.sap.com/sap/support/notes/1643645","1643645")</f>
        <v>1643645</v>
      </c>
      <c r="E444">
        <v>1</v>
      </c>
      <c r="F444" t="s">
        <v>1217</v>
      </c>
    </row>
    <row r="445" spans="1:6" x14ac:dyDescent="0.25">
      <c r="A445" t="s">
        <v>1134</v>
      </c>
      <c r="B445" t="s">
        <v>29</v>
      </c>
      <c r="C445" t="s">
        <v>30</v>
      </c>
    </row>
    <row r="446" spans="1:6" x14ac:dyDescent="0.25">
      <c r="A446" t="s">
        <v>1134</v>
      </c>
      <c r="B446" t="s">
        <v>250</v>
      </c>
      <c r="C446" t="s">
        <v>79</v>
      </c>
      <c r="D446" t="str">
        <f>HYPERLINK("http://service.sap.com/sap/support/notes/1639317","1639317")</f>
        <v>1639317</v>
      </c>
      <c r="E446">
        <v>4</v>
      </c>
      <c r="F446" t="s">
        <v>1218</v>
      </c>
    </row>
    <row r="447" spans="1:6" x14ac:dyDescent="0.25">
      <c r="A447" t="s">
        <v>1134</v>
      </c>
      <c r="B447" t="s">
        <v>31</v>
      </c>
      <c r="C447" t="s">
        <v>32</v>
      </c>
      <c r="D447" t="str">
        <f>HYPERLINK("http://service.sap.com/sap/support/notes/1588914","1588914")</f>
        <v>1588914</v>
      </c>
      <c r="E447">
        <v>3</v>
      </c>
      <c r="F447" t="s">
        <v>1219</v>
      </c>
    </row>
    <row r="448" spans="1:6" x14ac:dyDescent="0.25">
      <c r="A448" t="s">
        <v>1134</v>
      </c>
      <c r="B448" t="s">
        <v>33</v>
      </c>
      <c r="C448" t="s">
        <v>34</v>
      </c>
      <c r="D448" t="str">
        <f>HYPERLINK("http://service.sap.com/sap/support/notes/1645330","1645330")</f>
        <v>1645330</v>
      </c>
      <c r="E448">
        <v>2</v>
      </c>
      <c r="F448" t="s">
        <v>1220</v>
      </c>
    </row>
    <row r="449" spans="1:6" x14ac:dyDescent="0.25">
      <c r="A449" t="s">
        <v>1134</v>
      </c>
      <c r="B449" t="s">
        <v>35</v>
      </c>
      <c r="C449" t="s">
        <v>36</v>
      </c>
      <c r="D449" t="str">
        <f>HYPERLINK("http://service.sap.com/sap/support/notes/1621197","1621197")</f>
        <v>1621197</v>
      </c>
      <c r="E449">
        <v>1</v>
      </c>
      <c r="F449" t="s">
        <v>607</v>
      </c>
    </row>
    <row r="450" spans="1:6" x14ac:dyDescent="0.25">
      <c r="A450" t="s">
        <v>1134</v>
      </c>
      <c r="B450" t="s">
        <v>35</v>
      </c>
      <c r="C450" t="s">
        <v>36</v>
      </c>
      <c r="D450" t="str">
        <f>HYPERLINK("http://service.sap.com/sap/support/notes/1654586","1654586")</f>
        <v>1654586</v>
      </c>
      <c r="E450">
        <v>1</v>
      </c>
      <c r="F450" t="s">
        <v>1221</v>
      </c>
    </row>
    <row r="451" spans="1:6" x14ac:dyDescent="0.25">
      <c r="A451" t="s">
        <v>1134</v>
      </c>
      <c r="B451" t="s">
        <v>37</v>
      </c>
      <c r="C451" t="s">
        <v>38</v>
      </c>
      <c r="D451" t="str">
        <f>HYPERLINK("http://service.sap.com/sap/support/notes/1599853","1599853")</f>
        <v>1599853</v>
      </c>
      <c r="E451">
        <v>1</v>
      </c>
      <c r="F451" t="s">
        <v>1222</v>
      </c>
    </row>
    <row r="452" spans="1:6" x14ac:dyDescent="0.25">
      <c r="A452" t="s">
        <v>1134</v>
      </c>
      <c r="B452" t="s">
        <v>37</v>
      </c>
      <c r="C452" t="s">
        <v>38</v>
      </c>
      <c r="D452" t="str">
        <f>HYPERLINK("http://service.sap.com/sap/support/notes/1614663","1614663")</f>
        <v>1614663</v>
      </c>
      <c r="E452">
        <v>1</v>
      </c>
      <c r="F452" t="s">
        <v>1223</v>
      </c>
    </row>
    <row r="453" spans="1:6" x14ac:dyDescent="0.25">
      <c r="A453" t="s">
        <v>1134</v>
      </c>
      <c r="B453" t="s">
        <v>37</v>
      </c>
      <c r="C453" t="s">
        <v>38</v>
      </c>
      <c r="D453" t="str">
        <f>HYPERLINK("http://service.sap.com/sap/support/notes/1628969","1628969")</f>
        <v>1628969</v>
      </c>
      <c r="E453">
        <v>6</v>
      </c>
      <c r="F453" t="s">
        <v>1224</v>
      </c>
    </row>
    <row r="454" spans="1:6" x14ac:dyDescent="0.25">
      <c r="A454" t="s">
        <v>1134</v>
      </c>
      <c r="B454" t="s">
        <v>37</v>
      </c>
      <c r="C454" t="s">
        <v>38</v>
      </c>
      <c r="D454" t="str">
        <f>HYPERLINK("http://service.sap.com/sap/support/notes/1641817","1641817")</f>
        <v>1641817</v>
      </c>
      <c r="E454">
        <v>1</v>
      </c>
      <c r="F454" t="s">
        <v>1225</v>
      </c>
    </row>
    <row r="455" spans="1:6" x14ac:dyDescent="0.25">
      <c r="A455" t="s">
        <v>1134</v>
      </c>
      <c r="B455" t="s">
        <v>37</v>
      </c>
      <c r="C455" t="s">
        <v>38</v>
      </c>
      <c r="D455" t="str">
        <f>HYPERLINK("http://service.sap.com/sap/support/notes/1647071","1647071")</f>
        <v>1647071</v>
      </c>
      <c r="E455">
        <v>1</v>
      </c>
      <c r="F455" t="s">
        <v>1226</v>
      </c>
    </row>
    <row r="456" spans="1:6" x14ac:dyDescent="0.25">
      <c r="A456" t="s">
        <v>1134</v>
      </c>
      <c r="B456" t="s">
        <v>37</v>
      </c>
      <c r="C456" t="s">
        <v>38</v>
      </c>
      <c r="D456" t="str">
        <f>HYPERLINK("http://service.sap.com/sap/support/notes/1648890","1648890")</f>
        <v>1648890</v>
      </c>
      <c r="E456">
        <v>2</v>
      </c>
      <c r="F456" t="s">
        <v>1227</v>
      </c>
    </row>
    <row r="457" spans="1:6" x14ac:dyDescent="0.25">
      <c r="A457" t="s">
        <v>1134</v>
      </c>
      <c r="B457" t="s">
        <v>41</v>
      </c>
      <c r="C457" t="s">
        <v>42</v>
      </c>
      <c r="D457" t="str">
        <f>HYPERLINK("http://service.sap.com/sap/support/notes/700094","700094")</f>
        <v>700094</v>
      </c>
      <c r="E457">
        <v>8</v>
      </c>
      <c r="F457" t="s">
        <v>252</v>
      </c>
    </row>
    <row r="458" spans="1:6" x14ac:dyDescent="0.25">
      <c r="A458" t="s">
        <v>1134</v>
      </c>
      <c r="B458" t="s">
        <v>41</v>
      </c>
      <c r="C458" t="s">
        <v>42</v>
      </c>
      <c r="D458" t="str">
        <f>HYPERLINK("http://service.sap.com/sap/support/notes/1645895","1645895")</f>
        <v>1645895</v>
      </c>
      <c r="E458">
        <v>1</v>
      </c>
      <c r="F458" t="s">
        <v>1228</v>
      </c>
    </row>
    <row r="459" spans="1:6" x14ac:dyDescent="0.25">
      <c r="A459" t="s">
        <v>1134</v>
      </c>
      <c r="B459" t="s">
        <v>43</v>
      </c>
      <c r="C459" t="s">
        <v>253</v>
      </c>
      <c r="D459" t="str">
        <f>HYPERLINK("http://service.sap.com/sap/support/notes/1647166","1647166")</f>
        <v>1647166</v>
      </c>
      <c r="E459">
        <v>1</v>
      </c>
      <c r="F459" t="s">
        <v>1229</v>
      </c>
    </row>
    <row r="460" spans="1:6" x14ac:dyDescent="0.25">
      <c r="A460" t="s">
        <v>1134</v>
      </c>
      <c r="B460" t="s">
        <v>43</v>
      </c>
      <c r="C460" t="s">
        <v>253</v>
      </c>
      <c r="D460" t="str">
        <f>HYPERLINK("http://service.sap.com/sap/support/notes/1647676","1647676")</f>
        <v>1647676</v>
      </c>
      <c r="E460">
        <v>1</v>
      </c>
      <c r="F460" t="s">
        <v>1230</v>
      </c>
    </row>
    <row r="461" spans="1:6" x14ac:dyDescent="0.25">
      <c r="A461" t="s">
        <v>1134</v>
      </c>
      <c r="B461" t="s">
        <v>43</v>
      </c>
      <c r="C461" t="s">
        <v>253</v>
      </c>
      <c r="D461" t="str">
        <f>HYPERLINK("http://service.sap.com/sap/support/notes/1648952","1648952")</f>
        <v>1648952</v>
      </c>
      <c r="E461">
        <v>1</v>
      </c>
      <c r="F461" t="s">
        <v>1231</v>
      </c>
    </row>
    <row r="462" spans="1:6" x14ac:dyDescent="0.25">
      <c r="A462" t="s">
        <v>1134</v>
      </c>
      <c r="B462" t="s">
        <v>254</v>
      </c>
      <c r="C462" t="s">
        <v>255</v>
      </c>
      <c r="D462" t="str">
        <f>HYPERLINK("http://service.sap.com/sap/support/notes/1648872","1648872")</f>
        <v>1648872</v>
      </c>
      <c r="E462">
        <v>2</v>
      </c>
      <c r="F462" t="s">
        <v>1232</v>
      </c>
    </row>
    <row r="463" spans="1:6" x14ac:dyDescent="0.25">
      <c r="A463" t="s">
        <v>1134</v>
      </c>
      <c r="B463" t="s">
        <v>51</v>
      </c>
      <c r="C463" t="s">
        <v>52</v>
      </c>
      <c r="D463" t="str">
        <f>HYPERLINK("http://service.sap.com/sap/support/notes/1645174","1645174")</f>
        <v>1645174</v>
      </c>
      <c r="E463">
        <v>1</v>
      </c>
      <c r="F463" t="s">
        <v>1233</v>
      </c>
    </row>
    <row r="464" spans="1:6" x14ac:dyDescent="0.25">
      <c r="A464" t="s">
        <v>1134</v>
      </c>
      <c r="B464" t="s">
        <v>51</v>
      </c>
      <c r="C464" t="s">
        <v>52</v>
      </c>
      <c r="D464" t="str">
        <f>HYPERLINK("http://service.sap.com/sap/support/notes/1647999","1647999")</f>
        <v>1647999</v>
      </c>
      <c r="E464">
        <v>2</v>
      </c>
      <c r="F464" t="s">
        <v>1234</v>
      </c>
    </row>
    <row r="465" spans="1:6" x14ac:dyDescent="0.25">
      <c r="A465" t="s">
        <v>1134</v>
      </c>
      <c r="B465" t="s">
        <v>51</v>
      </c>
      <c r="C465" t="s">
        <v>52</v>
      </c>
      <c r="D465" t="str">
        <f>HYPERLINK("http://service.sap.com/sap/support/notes/1648202","1648202")</f>
        <v>1648202</v>
      </c>
      <c r="E465">
        <v>1</v>
      </c>
      <c r="F465" t="s">
        <v>1235</v>
      </c>
    </row>
    <row r="466" spans="1:6" x14ac:dyDescent="0.25">
      <c r="A466" t="s">
        <v>1134</v>
      </c>
      <c r="B466" t="s">
        <v>51</v>
      </c>
      <c r="C466" t="s">
        <v>52</v>
      </c>
      <c r="D466" t="str">
        <f>HYPERLINK("http://service.sap.com/sap/support/notes/1655987","1655987")</f>
        <v>1655987</v>
      </c>
      <c r="E466">
        <v>1</v>
      </c>
      <c r="F466" t="s">
        <v>1236</v>
      </c>
    </row>
    <row r="467" spans="1:6" x14ac:dyDescent="0.25">
      <c r="A467" t="s">
        <v>1134</v>
      </c>
      <c r="B467" t="s">
        <v>53</v>
      </c>
      <c r="C467" t="s">
        <v>54</v>
      </c>
      <c r="D467" t="str">
        <f>HYPERLINK("http://service.sap.com/sap/support/notes/1646516","1646516")</f>
        <v>1646516</v>
      </c>
      <c r="E467">
        <v>1</v>
      </c>
      <c r="F467" t="s">
        <v>1237</v>
      </c>
    </row>
    <row r="468" spans="1:6" x14ac:dyDescent="0.25">
      <c r="A468" t="s">
        <v>1134</v>
      </c>
      <c r="B468" t="s">
        <v>839</v>
      </c>
      <c r="C468" t="s">
        <v>160</v>
      </c>
      <c r="D468" t="str">
        <f>HYPERLINK("http://service.sap.com/sap/support/notes/1649401","1649401")</f>
        <v>1649401</v>
      </c>
      <c r="E468">
        <v>1</v>
      </c>
      <c r="F468" t="s">
        <v>1238</v>
      </c>
    </row>
    <row r="469" spans="1:6" x14ac:dyDescent="0.25">
      <c r="A469" t="s">
        <v>1134</v>
      </c>
      <c r="B469" t="s">
        <v>55</v>
      </c>
      <c r="C469" t="s">
        <v>56</v>
      </c>
      <c r="D469" t="str">
        <f>HYPERLINK("http://service.sap.com/sap/support/notes/1637188","1637188")</f>
        <v>1637188</v>
      </c>
      <c r="E469">
        <v>1</v>
      </c>
      <c r="F469" t="s">
        <v>1239</v>
      </c>
    </row>
    <row r="470" spans="1:6" x14ac:dyDescent="0.25">
      <c r="A470" t="s">
        <v>1134</v>
      </c>
      <c r="B470" t="s">
        <v>256</v>
      </c>
      <c r="C470" t="s">
        <v>165</v>
      </c>
      <c r="D470" t="str">
        <f>HYPERLINK("http://service.sap.com/sap/support/notes/1626663","1626663")</f>
        <v>1626663</v>
      </c>
      <c r="E470">
        <v>1</v>
      </c>
      <c r="F470" t="s">
        <v>1240</v>
      </c>
    </row>
    <row r="471" spans="1:6" x14ac:dyDescent="0.25">
      <c r="A471" t="s">
        <v>1134</v>
      </c>
      <c r="B471" t="s">
        <v>256</v>
      </c>
      <c r="C471" t="s">
        <v>165</v>
      </c>
      <c r="D471" t="str">
        <f>HYPERLINK("http://service.sap.com/sap/support/notes/1631147","1631147")</f>
        <v>1631147</v>
      </c>
      <c r="E471">
        <v>3</v>
      </c>
      <c r="F471" t="s">
        <v>1241</v>
      </c>
    </row>
    <row r="472" spans="1:6" x14ac:dyDescent="0.25">
      <c r="A472" t="s">
        <v>1134</v>
      </c>
      <c r="B472" t="s">
        <v>256</v>
      </c>
      <c r="C472" t="s">
        <v>165</v>
      </c>
      <c r="D472" t="str">
        <f>HYPERLINK("http://service.sap.com/sap/support/notes/1645279","1645279")</f>
        <v>1645279</v>
      </c>
      <c r="E472">
        <v>1</v>
      </c>
      <c r="F472" t="s">
        <v>1242</v>
      </c>
    </row>
    <row r="473" spans="1:6" x14ac:dyDescent="0.25">
      <c r="A473" t="s">
        <v>1134</v>
      </c>
      <c r="B473" t="s">
        <v>256</v>
      </c>
      <c r="C473" t="s">
        <v>165</v>
      </c>
      <c r="D473" t="str">
        <f>HYPERLINK("http://service.sap.com/sap/support/notes/1647221","1647221")</f>
        <v>1647221</v>
      </c>
      <c r="E473">
        <v>2</v>
      </c>
      <c r="F473" t="s">
        <v>1243</v>
      </c>
    </row>
    <row r="474" spans="1:6" x14ac:dyDescent="0.25">
      <c r="A474" t="s">
        <v>1134</v>
      </c>
      <c r="B474" t="s">
        <v>256</v>
      </c>
      <c r="C474" t="s">
        <v>165</v>
      </c>
      <c r="D474" t="str">
        <f>HYPERLINK("http://service.sap.com/sap/support/notes/1647243","1647243")</f>
        <v>1647243</v>
      </c>
      <c r="E474">
        <v>1</v>
      </c>
      <c r="F474" t="s">
        <v>1244</v>
      </c>
    </row>
    <row r="475" spans="1:6" x14ac:dyDescent="0.25">
      <c r="A475" t="s">
        <v>1134</v>
      </c>
      <c r="B475" t="s">
        <v>256</v>
      </c>
      <c r="C475" t="s">
        <v>165</v>
      </c>
      <c r="D475" t="str">
        <f>HYPERLINK("http://service.sap.com/sap/support/notes/1647531","1647531")</f>
        <v>1647531</v>
      </c>
      <c r="E475">
        <v>1</v>
      </c>
      <c r="F475" t="s">
        <v>1245</v>
      </c>
    </row>
    <row r="476" spans="1:6" x14ac:dyDescent="0.25">
      <c r="A476" t="s">
        <v>1134</v>
      </c>
      <c r="B476" t="s">
        <v>256</v>
      </c>
      <c r="C476" t="s">
        <v>165</v>
      </c>
      <c r="D476" t="str">
        <f>HYPERLINK("http://service.sap.com/sap/support/notes/1649699","1649699")</f>
        <v>1649699</v>
      </c>
      <c r="E476">
        <v>2</v>
      </c>
      <c r="F476" t="s">
        <v>1246</v>
      </c>
    </row>
    <row r="477" spans="1:6" x14ac:dyDescent="0.25">
      <c r="A477" t="s">
        <v>1134</v>
      </c>
      <c r="B477" t="s">
        <v>256</v>
      </c>
      <c r="C477" t="s">
        <v>165</v>
      </c>
      <c r="D477" t="str">
        <f>HYPERLINK("http://service.sap.com/sap/support/notes/1652829","1652829")</f>
        <v>1652829</v>
      </c>
      <c r="E477">
        <v>1</v>
      </c>
      <c r="F477" t="s">
        <v>1247</v>
      </c>
    </row>
    <row r="478" spans="1:6" x14ac:dyDescent="0.25">
      <c r="A478" t="s">
        <v>1134</v>
      </c>
      <c r="B478" t="s">
        <v>256</v>
      </c>
      <c r="C478" t="s">
        <v>165</v>
      </c>
      <c r="D478" t="str">
        <f>HYPERLINK("http://service.sap.com/sap/support/notes/1653992","1653992")</f>
        <v>1653992</v>
      </c>
      <c r="E478">
        <v>2</v>
      </c>
      <c r="F478" t="s">
        <v>1248</v>
      </c>
    </row>
    <row r="479" spans="1:6" x14ac:dyDescent="0.25">
      <c r="A479" t="s">
        <v>1134</v>
      </c>
      <c r="B479" t="s">
        <v>358</v>
      </c>
      <c r="C479" t="s">
        <v>176</v>
      </c>
      <c r="D479" t="str">
        <f>HYPERLINK("http://service.sap.com/sap/support/notes/1647882","1647882")</f>
        <v>1647882</v>
      </c>
      <c r="E479">
        <v>1</v>
      </c>
      <c r="F479" t="s">
        <v>1249</v>
      </c>
    </row>
    <row r="480" spans="1:6" x14ac:dyDescent="0.25">
      <c r="A480" t="s">
        <v>1134</v>
      </c>
      <c r="B480" t="s">
        <v>57</v>
      </c>
      <c r="C480" t="s">
        <v>257</v>
      </c>
      <c r="D480" t="str">
        <f>HYPERLINK("http://service.sap.com/sap/support/notes/1600764","1600764")</f>
        <v>1600764</v>
      </c>
      <c r="E480">
        <v>1</v>
      </c>
      <c r="F480" t="s">
        <v>1250</v>
      </c>
    </row>
    <row r="481" spans="1:6" x14ac:dyDescent="0.25">
      <c r="A481" t="s">
        <v>1134</v>
      </c>
      <c r="B481" t="s">
        <v>57</v>
      </c>
      <c r="C481" t="s">
        <v>257</v>
      </c>
      <c r="D481" t="str">
        <f>HYPERLINK("http://service.sap.com/sap/support/notes/1603717","1603717")</f>
        <v>1603717</v>
      </c>
      <c r="E481">
        <v>3</v>
      </c>
      <c r="F481" t="s">
        <v>1251</v>
      </c>
    </row>
    <row r="482" spans="1:6" x14ac:dyDescent="0.25">
      <c r="A482" t="s">
        <v>1134</v>
      </c>
      <c r="B482" t="s">
        <v>57</v>
      </c>
      <c r="C482" t="s">
        <v>257</v>
      </c>
      <c r="D482" t="str">
        <f>HYPERLINK("http://service.sap.com/sap/support/notes/1607627","1607627")</f>
        <v>1607627</v>
      </c>
      <c r="E482">
        <v>5</v>
      </c>
      <c r="F482" t="s">
        <v>1252</v>
      </c>
    </row>
    <row r="483" spans="1:6" x14ac:dyDescent="0.25">
      <c r="A483" t="s">
        <v>1134</v>
      </c>
      <c r="B483" t="s">
        <v>57</v>
      </c>
      <c r="C483" t="s">
        <v>257</v>
      </c>
      <c r="D483" t="str">
        <f>HYPERLINK("http://service.sap.com/sap/support/notes/1622632","1622632")</f>
        <v>1622632</v>
      </c>
      <c r="E483">
        <v>2</v>
      </c>
      <c r="F483" t="s">
        <v>1253</v>
      </c>
    </row>
    <row r="484" spans="1:6" x14ac:dyDescent="0.25">
      <c r="A484" t="s">
        <v>1134</v>
      </c>
      <c r="B484" t="s">
        <v>57</v>
      </c>
      <c r="C484" t="s">
        <v>257</v>
      </c>
      <c r="D484" t="str">
        <f>HYPERLINK("http://service.sap.com/sap/support/notes/1623036","1623036")</f>
        <v>1623036</v>
      </c>
      <c r="E484">
        <v>3</v>
      </c>
      <c r="F484" t="s">
        <v>1254</v>
      </c>
    </row>
    <row r="485" spans="1:6" x14ac:dyDescent="0.25">
      <c r="A485" t="s">
        <v>1134</v>
      </c>
      <c r="B485" t="s">
        <v>57</v>
      </c>
      <c r="C485" t="s">
        <v>257</v>
      </c>
      <c r="D485" t="str">
        <f>HYPERLINK("http://service.sap.com/sap/support/notes/1638284","1638284")</f>
        <v>1638284</v>
      </c>
      <c r="E485">
        <v>1</v>
      </c>
      <c r="F485" t="s">
        <v>1255</v>
      </c>
    </row>
    <row r="486" spans="1:6" x14ac:dyDescent="0.25">
      <c r="A486" t="s">
        <v>1134</v>
      </c>
      <c r="B486" t="s">
        <v>57</v>
      </c>
      <c r="C486" t="s">
        <v>257</v>
      </c>
      <c r="D486" t="str">
        <f>HYPERLINK("http://service.sap.com/sap/support/notes/1640148","1640148")</f>
        <v>1640148</v>
      </c>
      <c r="E486">
        <v>1</v>
      </c>
      <c r="F486" t="s">
        <v>1256</v>
      </c>
    </row>
    <row r="487" spans="1:6" x14ac:dyDescent="0.25">
      <c r="A487" t="s">
        <v>1134</v>
      </c>
      <c r="B487" t="s">
        <v>57</v>
      </c>
      <c r="C487" t="s">
        <v>257</v>
      </c>
      <c r="D487" t="str">
        <f>HYPERLINK("http://service.sap.com/sap/support/notes/1645348","1645348")</f>
        <v>1645348</v>
      </c>
      <c r="E487">
        <v>1</v>
      </c>
      <c r="F487" t="s">
        <v>1257</v>
      </c>
    </row>
    <row r="488" spans="1:6" x14ac:dyDescent="0.25">
      <c r="A488" t="s">
        <v>1134</v>
      </c>
      <c r="B488" t="s">
        <v>57</v>
      </c>
      <c r="C488" t="s">
        <v>257</v>
      </c>
      <c r="D488" t="str">
        <f>HYPERLINK("http://service.sap.com/sap/support/notes/1646118","1646118")</f>
        <v>1646118</v>
      </c>
      <c r="E488">
        <v>1</v>
      </c>
      <c r="F488" t="s">
        <v>1258</v>
      </c>
    </row>
    <row r="489" spans="1:6" x14ac:dyDescent="0.25">
      <c r="A489" t="s">
        <v>1134</v>
      </c>
      <c r="B489" t="s">
        <v>57</v>
      </c>
      <c r="C489" t="s">
        <v>257</v>
      </c>
      <c r="D489" t="str">
        <f>HYPERLINK("http://service.sap.com/sap/support/notes/1646528","1646528")</f>
        <v>1646528</v>
      </c>
      <c r="E489">
        <v>1</v>
      </c>
      <c r="F489" t="s">
        <v>1259</v>
      </c>
    </row>
    <row r="490" spans="1:6" x14ac:dyDescent="0.25">
      <c r="A490" t="s">
        <v>1134</v>
      </c>
      <c r="B490" t="s">
        <v>57</v>
      </c>
      <c r="C490" t="s">
        <v>257</v>
      </c>
      <c r="D490" t="str">
        <f>HYPERLINK("http://service.sap.com/sap/support/notes/1650885","1650885")</f>
        <v>1650885</v>
      </c>
      <c r="E490">
        <v>1</v>
      </c>
      <c r="F490" t="s">
        <v>1260</v>
      </c>
    </row>
    <row r="491" spans="1:6" x14ac:dyDescent="0.25">
      <c r="A491" t="s">
        <v>1134</v>
      </c>
      <c r="B491" t="s">
        <v>57</v>
      </c>
      <c r="C491" t="s">
        <v>257</v>
      </c>
      <c r="D491" t="str">
        <f>HYPERLINK("http://service.sap.com/sap/support/notes/1651177","1651177")</f>
        <v>1651177</v>
      </c>
      <c r="E491">
        <v>1</v>
      </c>
      <c r="F491" t="s">
        <v>1261</v>
      </c>
    </row>
    <row r="492" spans="1:6" x14ac:dyDescent="0.25">
      <c r="A492" t="s">
        <v>1134</v>
      </c>
      <c r="B492" t="s">
        <v>57</v>
      </c>
      <c r="C492" t="s">
        <v>257</v>
      </c>
      <c r="D492" t="str">
        <f>HYPERLINK("http://service.sap.com/sap/support/notes/1651232","1651232")</f>
        <v>1651232</v>
      </c>
      <c r="E492">
        <v>1</v>
      </c>
      <c r="F492" t="s">
        <v>1262</v>
      </c>
    </row>
    <row r="493" spans="1:6" x14ac:dyDescent="0.25">
      <c r="A493" t="s">
        <v>1134</v>
      </c>
      <c r="B493" t="s">
        <v>57</v>
      </c>
      <c r="C493" t="s">
        <v>257</v>
      </c>
      <c r="D493" t="str">
        <f>HYPERLINK("http://service.sap.com/sap/support/notes/1651443","1651443")</f>
        <v>1651443</v>
      </c>
      <c r="E493">
        <v>1</v>
      </c>
      <c r="F493" t="s">
        <v>1263</v>
      </c>
    </row>
    <row r="494" spans="1:6" x14ac:dyDescent="0.25">
      <c r="A494" t="s">
        <v>1134</v>
      </c>
      <c r="B494" t="s">
        <v>57</v>
      </c>
      <c r="C494" t="s">
        <v>257</v>
      </c>
      <c r="D494" t="str">
        <f>HYPERLINK("http://service.sap.com/sap/support/notes/1656203","1656203")</f>
        <v>1656203</v>
      </c>
      <c r="E494">
        <v>1</v>
      </c>
      <c r="F494" t="s">
        <v>1264</v>
      </c>
    </row>
    <row r="495" spans="1:6" x14ac:dyDescent="0.25">
      <c r="A495" t="s">
        <v>1134</v>
      </c>
      <c r="B495" t="s">
        <v>59</v>
      </c>
      <c r="C495" t="s">
        <v>60</v>
      </c>
      <c r="D495" t="str">
        <f>HYPERLINK("http://service.sap.com/sap/support/notes/1544201","1544201")</f>
        <v>1544201</v>
      </c>
      <c r="E495">
        <v>5</v>
      </c>
      <c r="F495" t="s">
        <v>851</v>
      </c>
    </row>
    <row r="496" spans="1:6" x14ac:dyDescent="0.25">
      <c r="A496" t="s">
        <v>1134</v>
      </c>
      <c r="B496" t="s">
        <v>61</v>
      </c>
      <c r="C496" t="s">
        <v>62</v>
      </c>
      <c r="D496" t="str">
        <f>HYPERLINK("http://service.sap.com/sap/support/notes/1454155","1454155")</f>
        <v>1454155</v>
      </c>
      <c r="E496">
        <v>1</v>
      </c>
      <c r="F496" t="s">
        <v>665</v>
      </c>
    </row>
    <row r="497" spans="1:6" x14ac:dyDescent="0.25">
      <c r="A497" t="s">
        <v>1134</v>
      </c>
      <c r="B497" t="s">
        <v>61</v>
      </c>
      <c r="C497" t="s">
        <v>62</v>
      </c>
      <c r="D497" t="str">
        <f>HYPERLINK("http://service.sap.com/sap/support/notes/1562101","1562101")</f>
        <v>1562101</v>
      </c>
      <c r="E497">
        <v>3</v>
      </c>
      <c r="F497" t="s">
        <v>1265</v>
      </c>
    </row>
    <row r="498" spans="1:6" x14ac:dyDescent="0.25">
      <c r="A498" t="s">
        <v>1134</v>
      </c>
      <c r="B498" t="s">
        <v>61</v>
      </c>
      <c r="C498" t="s">
        <v>62</v>
      </c>
      <c r="D498" t="str">
        <f>HYPERLINK("http://service.sap.com/sap/support/notes/1601633","1601633")</f>
        <v>1601633</v>
      </c>
      <c r="E498">
        <v>6</v>
      </c>
      <c r="F498" t="s">
        <v>1266</v>
      </c>
    </row>
    <row r="499" spans="1:6" x14ac:dyDescent="0.25">
      <c r="A499" t="s">
        <v>1134</v>
      </c>
      <c r="B499" t="s">
        <v>61</v>
      </c>
      <c r="C499" t="s">
        <v>62</v>
      </c>
      <c r="D499" t="str">
        <f>HYPERLINK("http://service.sap.com/sap/support/notes/1609505","1609505")</f>
        <v>1609505</v>
      </c>
      <c r="E499">
        <v>2</v>
      </c>
      <c r="F499" t="s">
        <v>1267</v>
      </c>
    </row>
    <row r="500" spans="1:6" x14ac:dyDescent="0.25">
      <c r="A500" t="s">
        <v>1134</v>
      </c>
      <c r="B500" t="s">
        <v>61</v>
      </c>
      <c r="C500" t="s">
        <v>62</v>
      </c>
      <c r="D500" t="str">
        <f>HYPERLINK("http://service.sap.com/sap/support/notes/1622929","1622929")</f>
        <v>1622929</v>
      </c>
      <c r="E500">
        <v>2</v>
      </c>
      <c r="F500" t="s">
        <v>1268</v>
      </c>
    </row>
    <row r="501" spans="1:6" x14ac:dyDescent="0.25">
      <c r="A501" t="s">
        <v>1134</v>
      </c>
      <c r="B501" t="s">
        <v>61</v>
      </c>
      <c r="C501" t="s">
        <v>62</v>
      </c>
      <c r="D501" t="str">
        <f>HYPERLINK("http://service.sap.com/sap/support/notes/1647994","1647994")</f>
        <v>1647994</v>
      </c>
      <c r="E501">
        <v>3</v>
      </c>
      <c r="F501" t="s">
        <v>1269</v>
      </c>
    </row>
    <row r="502" spans="1:6" x14ac:dyDescent="0.25">
      <c r="A502" t="s">
        <v>1134</v>
      </c>
      <c r="B502" t="s">
        <v>61</v>
      </c>
      <c r="C502" t="s">
        <v>62</v>
      </c>
      <c r="D502" t="str">
        <f>HYPERLINK("http://service.sap.com/sap/support/notes/1651012","1651012")</f>
        <v>1651012</v>
      </c>
      <c r="E502">
        <v>3</v>
      </c>
      <c r="F502" t="s">
        <v>1270</v>
      </c>
    </row>
    <row r="503" spans="1:6" x14ac:dyDescent="0.25">
      <c r="A503" t="s">
        <v>1134</v>
      </c>
      <c r="B503" t="s">
        <v>63</v>
      </c>
      <c r="C503" t="s">
        <v>64</v>
      </c>
      <c r="D503" t="str">
        <f>HYPERLINK("http://service.sap.com/sap/support/notes/1524206","1524206")</f>
        <v>1524206</v>
      </c>
      <c r="E503">
        <v>5</v>
      </c>
      <c r="F503" t="s">
        <v>1271</v>
      </c>
    </row>
    <row r="504" spans="1:6" x14ac:dyDescent="0.25">
      <c r="A504" t="s">
        <v>1134</v>
      </c>
      <c r="B504" t="s">
        <v>63</v>
      </c>
      <c r="C504" t="s">
        <v>64</v>
      </c>
      <c r="D504" t="str">
        <f>HYPERLINK("http://service.sap.com/sap/support/notes/1577237","1577237")</f>
        <v>1577237</v>
      </c>
      <c r="E504">
        <v>3</v>
      </c>
      <c r="F504" t="s">
        <v>1272</v>
      </c>
    </row>
    <row r="505" spans="1:6" x14ac:dyDescent="0.25">
      <c r="A505" t="s">
        <v>1134</v>
      </c>
      <c r="B505" t="s">
        <v>63</v>
      </c>
      <c r="C505" t="s">
        <v>64</v>
      </c>
      <c r="D505" t="str">
        <f>HYPERLINK("http://service.sap.com/sap/support/notes/1602018","1602018")</f>
        <v>1602018</v>
      </c>
      <c r="E505">
        <v>2</v>
      </c>
      <c r="F505" t="s">
        <v>1273</v>
      </c>
    </row>
    <row r="506" spans="1:6" x14ac:dyDescent="0.25">
      <c r="A506" t="s">
        <v>1134</v>
      </c>
      <c r="B506" t="s">
        <v>63</v>
      </c>
      <c r="C506" t="s">
        <v>64</v>
      </c>
      <c r="D506" t="str">
        <f>HYPERLINK("http://service.sap.com/sap/support/notes/1606122","1606122")</f>
        <v>1606122</v>
      </c>
      <c r="E506">
        <v>4</v>
      </c>
      <c r="F506" t="s">
        <v>1274</v>
      </c>
    </row>
    <row r="507" spans="1:6" x14ac:dyDescent="0.25">
      <c r="A507" t="s">
        <v>1134</v>
      </c>
      <c r="B507" t="s">
        <v>63</v>
      </c>
      <c r="C507" t="s">
        <v>64</v>
      </c>
      <c r="D507" t="str">
        <f>HYPERLINK("http://service.sap.com/sap/support/notes/1627272","1627272")</f>
        <v>1627272</v>
      </c>
      <c r="E507">
        <v>3</v>
      </c>
      <c r="F507" t="s">
        <v>1275</v>
      </c>
    </row>
    <row r="508" spans="1:6" x14ac:dyDescent="0.25">
      <c r="A508" t="s">
        <v>1134</v>
      </c>
      <c r="B508" t="s">
        <v>65</v>
      </c>
      <c r="C508" t="s">
        <v>260</v>
      </c>
      <c r="D508" t="str">
        <f>HYPERLINK("http://service.sap.com/sap/support/notes/1628760","1628760")</f>
        <v>1628760</v>
      </c>
      <c r="E508">
        <v>4</v>
      </c>
      <c r="F508" t="s">
        <v>1276</v>
      </c>
    </row>
    <row r="509" spans="1:6" x14ac:dyDescent="0.25">
      <c r="A509" t="s">
        <v>1134</v>
      </c>
      <c r="B509" t="s">
        <v>760</v>
      </c>
      <c r="C509" t="s">
        <v>201</v>
      </c>
      <c r="D509" t="str">
        <f>HYPERLINK("http://service.sap.com/sap/support/notes/1628810","1628810")</f>
        <v>1628810</v>
      </c>
      <c r="E509">
        <v>2</v>
      </c>
      <c r="F509" t="s">
        <v>1277</v>
      </c>
    </row>
    <row r="510" spans="1:6" x14ac:dyDescent="0.25">
      <c r="A510" t="s">
        <v>1134</v>
      </c>
      <c r="B510" t="s">
        <v>760</v>
      </c>
      <c r="C510" t="s">
        <v>201</v>
      </c>
      <c r="D510" t="str">
        <f>HYPERLINK("http://service.sap.com/sap/support/notes/1646428","1646428")</f>
        <v>1646428</v>
      </c>
      <c r="E510">
        <v>2</v>
      </c>
      <c r="F510" t="s">
        <v>1278</v>
      </c>
    </row>
    <row r="511" spans="1:6" x14ac:dyDescent="0.25">
      <c r="A511" t="s">
        <v>1134</v>
      </c>
      <c r="B511" t="s">
        <v>261</v>
      </c>
      <c r="C511" t="s">
        <v>262</v>
      </c>
      <c r="D511" t="str">
        <f>HYPERLINK("http://service.sap.com/sap/support/notes/1308988","1308988")</f>
        <v>1308988</v>
      </c>
      <c r="E511">
        <v>3</v>
      </c>
      <c r="F511" t="s">
        <v>1279</v>
      </c>
    </row>
    <row r="512" spans="1:6" x14ac:dyDescent="0.25">
      <c r="A512" t="s">
        <v>1134</v>
      </c>
      <c r="B512" t="s">
        <v>261</v>
      </c>
      <c r="C512" t="s">
        <v>262</v>
      </c>
      <c r="D512" t="str">
        <f>HYPERLINK("http://service.sap.com/sap/support/notes/1591997","1591997")</f>
        <v>1591997</v>
      </c>
      <c r="E512">
        <v>1</v>
      </c>
      <c r="F512" t="s">
        <v>1280</v>
      </c>
    </row>
    <row r="513" spans="1:6" x14ac:dyDescent="0.25">
      <c r="A513" t="s">
        <v>1134</v>
      </c>
      <c r="B513" t="s">
        <v>261</v>
      </c>
      <c r="C513" t="s">
        <v>262</v>
      </c>
      <c r="D513" t="str">
        <f>HYPERLINK("http://service.sap.com/sap/support/notes/1597235","1597235")</f>
        <v>1597235</v>
      </c>
      <c r="E513">
        <v>2</v>
      </c>
      <c r="F513" t="s">
        <v>1281</v>
      </c>
    </row>
    <row r="514" spans="1:6" x14ac:dyDescent="0.25">
      <c r="A514" t="s">
        <v>1134</v>
      </c>
      <c r="B514" t="s">
        <v>261</v>
      </c>
      <c r="C514" t="s">
        <v>262</v>
      </c>
      <c r="D514" t="str">
        <f>HYPERLINK("http://service.sap.com/sap/support/notes/1597559","1597559")</f>
        <v>1597559</v>
      </c>
      <c r="E514">
        <v>1</v>
      </c>
      <c r="F514" t="s">
        <v>1282</v>
      </c>
    </row>
    <row r="515" spans="1:6" x14ac:dyDescent="0.25">
      <c r="A515" t="s">
        <v>1134</v>
      </c>
      <c r="B515" t="s">
        <v>261</v>
      </c>
      <c r="C515" t="s">
        <v>262</v>
      </c>
      <c r="D515" t="str">
        <f>HYPERLINK("http://service.sap.com/sap/support/notes/1598063","1598063")</f>
        <v>1598063</v>
      </c>
      <c r="E515">
        <v>1</v>
      </c>
      <c r="F515" t="s">
        <v>1283</v>
      </c>
    </row>
    <row r="516" spans="1:6" x14ac:dyDescent="0.25">
      <c r="A516" t="s">
        <v>1134</v>
      </c>
      <c r="B516" t="s">
        <v>261</v>
      </c>
      <c r="C516" t="s">
        <v>262</v>
      </c>
      <c r="D516" t="str">
        <f>HYPERLINK("http://service.sap.com/sap/support/notes/1601359","1601359")</f>
        <v>1601359</v>
      </c>
      <c r="E516">
        <v>1</v>
      </c>
      <c r="F516" t="s">
        <v>1284</v>
      </c>
    </row>
    <row r="517" spans="1:6" x14ac:dyDescent="0.25">
      <c r="A517" t="s">
        <v>1134</v>
      </c>
      <c r="B517" t="s">
        <v>261</v>
      </c>
      <c r="C517" t="s">
        <v>262</v>
      </c>
      <c r="D517" t="str">
        <f>HYPERLINK("http://service.sap.com/sap/support/notes/1601546","1601546")</f>
        <v>1601546</v>
      </c>
      <c r="E517">
        <v>1</v>
      </c>
      <c r="F517" t="s">
        <v>1285</v>
      </c>
    </row>
    <row r="518" spans="1:6" x14ac:dyDescent="0.25">
      <c r="A518" t="s">
        <v>1134</v>
      </c>
      <c r="B518" t="s">
        <v>261</v>
      </c>
      <c r="C518" t="s">
        <v>262</v>
      </c>
      <c r="D518" t="str">
        <f>HYPERLINK("http://service.sap.com/sap/support/notes/1601827","1601827")</f>
        <v>1601827</v>
      </c>
      <c r="E518">
        <v>2</v>
      </c>
      <c r="F518" t="s">
        <v>1286</v>
      </c>
    </row>
    <row r="519" spans="1:6" x14ac:dyDescent="0.25">
      <c r="A519" t="s">
        <v>1134</v>
      </c>
      <c r="B519" t="s">
        <v>261</v>
      </c>
      <c r="C519" t="s">
        <v>262</v>
      </c>
      <c r="D519" t="str">
        <f>HYPERLINK("http://service.sap.com/sap/support/notes/1602422","1602422")</f>
        <v>1602422</v>
      </c>
      <c r="E519">
        <v>1</v>
      </c>
      <c r="F519" t="s">
        <v>1287</v>
      </c>
    </row>
    <row r="520" spans="1:6" x14ac:dyDescent="0.25">
      <c r="A520" t="s">
        <v>1134</v>
      </c>
      <c r="B520" t="s">
        <v>261</v>
      </c>
      <c r="C520" t="s">
        <v>262</v>
      </c>
      <c r="D520" t="str">
        <f>HYPERLINK("http://service.sap.com/sap/support/notes/1604875","1604875")</f>
        <v>1604875</v>
      </c>
      <c r="E520">
        <v>1</v>
      </c>
      <c r="F520" t="s">
        <v>1288</v>
      </c>
    </row>
    <row r="521" spans="1:6" x14ac:dyDescent="0.25">
      <c r="A521" t="s">
        <v>1134</v>
      </c>
      <c r="B521" t="s">
        <v>261</v>
      </c>
      <c r="C521" t="s">
        <v>262</v>
      </c>
      <c r="D521" t="str">
        <f>HYPERLINK("http://service.sap.com/sap/support/notes/1605412","1605412")</f>
        <v>1605412</v>
      </c>
      <c r="E521">
        <v>2</v>
      </c>
      <c r="F521" t="s">
        <v>1289</v>
      </c>
    </row>
    <row r="522" spans="1:6" x14ac:dyDescent="0.25">
      <c r="A522" t="s">
        <v>1134</v>
      </c>
      <c r="B522" t="s">
        <v>261</v>
      </c>
      <c r="C522" t="s">
        <v>262</v>
      </c>
      <c r="D522" t="str">
        <f>HYPERLINK("http://service.sap.com/sap/support/notes/1606007","1606007")</f>
        <v>1606007</v>
      </c>
      <c r="E522">
        <v>1</v>
      </c>
      <c r="F522" t="s">
        <v>1290</v>
      </c>
    </row>
    <row r="523" spans="1:6" x14ac:dyDescent="0.25">
      <c r="A523" t="s">
        <v>1134</v>
      </c>
      <c r="B523" t="s">
        <v>261</v>
      </c>
      <c r="C523" t="s">
        <v>262</v>
      </c>
      <c r="D523" t="str">
        <f>HYPERLINK("http://service.sap.com/sap/support/notes/1606458","1606458")</f>
        <v>1606458</v>
      </c>
      <c r="E523">
        <v>2</v>
      </c>
      <c r="F523" t="s">
        <v>1291</v>
      </c>
    </row>
    <row r="524" spans="1:6" x14ac:dyDescent="0.25">
      <c r="A524" t="s">
        <v>1134</v>
      </c>
      <c r="B524" t="s">
        <v>261</v>
      </c>
      <c r="C524" t="s">
        <v>262</v>
      </c>
      <c r="D524" t="str">
        <f>HYPERLINK("http://service.sap.com/sap/support/notes/1608600","1608600")</f>
        <v>1608600</v>
      </c>
      <c r="E524">
        <v>1</v>
      </c>
      <c r="F524" t="s">
        <v>1292</v>
      </c>
    </row>
    <row r="525" spans="1:6" x14ac:dyDescent="0.25">
      <c r="A525" t="s">
        <v>1134</v>
      </c>
      <c r="B525" t="s">
        <v>261</v>
      </c>
      <c r="C525" t="s">
        <v>262</v>
      </c>
      <c r="D525" t="str">
        <f>HYPERLINK("http://service.sap.com/sap/support/notes/1608626","1608626")</f>
        <v>1608626</v>
      </c>
      <c r="E525">
        <v>1</v>
      </c>
      <c r="F525" t="s">
        <v>1293</v>
      </c>
    </row>
    <row r="526" spans="1:6" x14ac:dyDescent="0.25">
      <c r="A526" t="s">
        <v>1134</v>
      </c>
      <c r="B526" t="s">
        <v>261</v>
      </c>
      <c r="C526" t="s">
        <v>262</v>
      </c>
      <c r="D526" t="str">
        <f>HYPERLINK("http://service.sap.com/sap/support/notes/1609887","1609887")</f>
        <v>1609887</v>
      </c>
      <c r="E526">
        <v>1</v>
      </c>
      <c r="F526" t="s">
        <v>1294</v>
      </c>
    </row>
    <row r="527" spans="1:6" x14ac:dyDescent="0.25">
      <c r="A527" t="s">
        <v>1134</v>
      </c>
      <c r="B527" t="s">
        <v>261</v>
      </c>
      <c r="C527" t="s">
        <v>262</v>
      </c>
      <c r="D527" t="str">
        <f>HYPERLINK("http://service.sap.com/sap/support/notes/1611876","1611876")</f>
        <v>1611876</v>
      </c>
      <c r="E527">
        <v>1</v>
      </c>
      <c r="F527" t="s">
        <v>1295</v>
      </c>
    </row>
    <row r="528" spans="1:6" x14ac:dyDescent="0.25">
      <c r="A528" t="s">
        <v>1134</v>
      </c>
      <c r="B528" t="s">
        <v>261</v>
      </c>
      <c r="C528" t="s">
        <v>262</v>
      </c>
      <c r="D528" t="str">
        <f>HYPERLINK("http://service.sap.com/sap/support/notes/1613850","1613850")</f>
        <v>1613850</v>
      </c>
      <c r="E528">
        <v>1</v>
      </c>
      <c r="F528" t="s">
        <v>1296</v>
      </c>
    </row>
    <row r="529" spans="1:6" x14ac:dyDescent="0.25">
      <c r="A529" t="s">
        <v>1134</v>
      </c>
      <c r="B529" t="s">
        <v>261</v>
      </c>
      <c r="C529" t="s">
        <v>262</v>
      </c>
      <c r="D529" t="str">
        <f>HYPERLINK("http://service.sap.com/sap/support/notes/1616187","1616187")</f>
        <v>1616187</v>
      </c>
      <c r="E529">
        <v>1</v>
      </c>
      <c r="F529" t="s">
        <v>1297</v>
      </c>
    </row>
    <row r="530" spans="1:6" x14ac:dyDescent="0.25">
      <c r="A530" t="s">
        <v>1134</v>
      </c>
      <c r="B530" t="s">
        <v>261</v>
      </c>
      <c r="C530" t="s">
        <v>262</v>
      </c>
      <c r="D530" t="str">
        <f>HYPERLINK("http://service.sap.com/sap/support/notes/1619072","1619072")</f>
        <v>1619072</v>
      </c>
      <c r="E530">
        <v>1</v>
      </c>
      <c r="F530" t="s">
        <v>1298</v>
      </c>
    </row>
    <row r="531" spans="1:6" x14ac:dyDescent="0.25">
      <c r="A531" t="s">
        <v>1134</v>
      </c>
      <c r="B531" t="s">
        <v>261</v>
      </c>
      <c r="C531" t="s">
        <v>262</v>
      </c>
      <c r="D531" t="str">
        <f>HYPERLINK("http://service.sap.com/sap/support/notes/1619259","1619259")</f>
        <v>1619259</v>
      </c>
      <c r="E531">
        <v>1</v>
      </c>
      <c r="F531" t="s">
        <v>1299</v>
      </c>
    </row>
    <row r="532" spans="1:6" x14ac:dyDescent="0.25">
      <c r="A532" t="s">
        <v>1134</v>
      </c>
      <c r="B532" t="s">
        <v>261</v>
      </c>
      <c r="C532" t="s">
        <v>262</v>
      </c>
      <c r="D532" t="str">
        <f>HYPERLINK("http://service.sap.com/sap/support/notes/1621239","1621239")</f>
        <v>1621239</v>
      </c>
      <c r="E532">
        <v>1</v>
      </c>
      <c r="F532" t="s">
        <v>1300</v>
      </c>
    </row>
    <row r="533" spans="1:6" x14ac:dyDescent="0.25">
      <c r="A533" t="s">
        <v>1134</v>
      </c>
      <c r="B533" t="s">
        <v>261</v>
      </c>
      <c r="C533" t="s">
        <v>262</v>
      </c>
      <c r="D533" t="str">
        <f>HYPERLINK("http://service.sap.com/sap/support/notes/1621345","1621345")</f>
        <v>1621345</v>
      </c>
      <c r="E533">
        <v>1</v>
      </c>
      <c r="F533" t="s">
        <v>1301</v>
      </c>
    </row>
    <row r="534" spans="1:6" x14ac:dyDescent="0.25">
      <c r="A534" t="s">
        <v>1134</v>
      </c>
      <c r="B534" t="s">
        <v>261</v>
      </c>
      <c r="C534" t="s">
        <v>262</v>
      </c>
      <c r="D534" t="str">
        <f>HYPERLINK("http://service.sap.com/sap/support/notes/1621943","1621943")</f>
        <v>1621943</v>
      </c>
      <c r="E534">
        <v>1</v>
      </c>
      <c r="F534" t="s">
        <v>1302</v>
      </c>
    </row>
    <row r="535" spans="1:6" x14ac:dyDescent="0.25">
      <c r="A535" t="s">
        <v>1134</v>
      </c>
      <c r="B535" t="s">
        <v>261</v>
      </c>
      <c r="C535" t="s">
        <v>262</v>
      </c>
      <c r="D535" t="str">
        <f>HYPERLINK("http://service.sap.com/sap/support/notes/1622915","1622915")</f>
        <v>1622915</v>
      </c>
      <c r="E535">
        <v>1</v>
      </c>
      <c r="F535" t="s">
        <v>1303</v>
      </c>
    </row>
    <row r="536" spans="1:6" x14ac:dyDescent="0.25">
      <c r="A536" t="s">
        <v>1134</v>
      </c>
      <c r="B536" t="s">
        <v>261</v>
      </c>
      <c r="C536" t="s">
        <v>262</v>
      </c>
      <c r="D536" t="str">
        <f>HYPERLINK("http://service.sap.com/sap/support/notes/1623117","1623117")</f>
        <v>1623117</v>
      </c>
      <c r="E536">
        <v>2</v>
      </c>
      <c r="F536" t="s">
        <v>1304</v>
      </c>
    </row>
    <row r="537" spans="1:6" x14ac:dyDescent="0.25">
      <c r="A537" t="s">
        <v>1134</v>
      </c>
      <c r="B537" t="s">
        <v>261</v>
      </c>
      <c r="C537" t="s">
        <v>262</v>
      </c>
      <c r="D537" t="str">
        <f>HYPERLINK("http://service.sap.com/sap/support/notes/1623263","1623263")</f>
        <v>1623263</v>
      </c>
      <c r="E537">
        <v>1</v>
      </c>
      <c r="F537" t="s">
        <v>1305</v>
      </c>
    </row>
    <row r="538" spans="1:6" x14ac:dyDescent="0.25">
      <c r="A538" t="s">
        <v>1134</v>
      </c>
      <c r="B538" t="s">
        <v>261</v>
      </c>
      <c r="C538" t="s">
        <v>262</v>
      </c>
      <c r="D538" t="str">
        <f>HYPERLINK("http://service.sap.com/sap/support/notes/1624067","1624067")</f>
        <v>1624067</v>
      </c>
      <c r="E538">
        <v>1</v>
      </c>
      <c r="F538" t="s">
        <v>1306</v>
      </c>
    </row>
    <row r="539" spans="1:6" x14ac:dyDescent="0.25">
      <c r="A539" t="s">
        <v>1134</v>
      </c>
      <c r="B539" t="s">
        <v>261</v>
      </c>
      <c r="C539" t="s">
        <v>262</v>
      </c>
      <c r="D539" t="str">
        <f>HYPERLINK("http://service.sap.com/sap/support/notes/1625168","1625168")</f>
        <v>1625168</v>
      </c>
      <c r="E539">
        <v>1</v>
      </c>
      <c r="F539" t="s">
        <v>1307</v>
      </c>
    </row>
    <row r="540" spans="1:6" x14ac:dyDescent="0.25">
      <c r="A540" t="s">
        <v>1134</v>
      </c>
      <c r="B540" t="s">
        <v>261</v>
      </c>
      <c r="C540" t="s">
        <v>262</v>
      </c>
      <c r="D540" t="str">
        <f>HYPERLINK("http://service.sap.com/sap/support/notes/1625907","1625907")</f>
        <v>1625907</v>
      </c>
      <c r="E540">
        <v>2</v>
      </c>
      <c r="F540" t="s">
        <v>1308</v>
      </c>
    </row>
    <row r="541" spans="1:6" x14ac:dyDescent="0.25">
      <c r="A541" t="s">
        <v>1134</v>
      </c>
      <c r="B541" t="s">
        <v>261</v>
      </c>
      <c r="C541" t="s">
        <v>262</v>
      </c>
      <c r="D541" t="str">
        <f>HYPERLINK("http://service.sap.com/sap/support/notes/1626168","1626168")</f>
        <v>1626168</v>
      </c>
      <c r="E541">
        <v>1</v>
      </c>
      <c r="F541" t="s">
        <v>1309</v>
      </c>
    </row>
    <row r="542" spans="1:6" x14ac:dyDescent="0.25">
      <c r="A542" t="s">
        <v>1134</v>
      </c>
      <c r="B542" t="s">
        <v>261</v>
      </c>
      <c r="C542" t="s">
        <v>262</v>
      </c>
      <c r="D542" t="str">
        <f>HYPERLINK("http://service.sap.com/sap/support/notes/1627605","1627605")</f>
        <v>1627605</v>
      </c>
      <c r="E542">
        <v>1</v>
      </c>
      <c r="F542" t="s">
        <v>1310</v>
      </c>
    </row>
    <row r="543" spans="1:6" x14ac:dyDescent="0.25">
      <c r="A543" t="s">
        <v>1134</v>
      </c>
      <c r="B543" t="s">
        <v>261</v>
      </c>
      <c r="C543" t="s">
        <v>262</v>
      </c>
      <c r="D543" t="str">
        <f>HYPERLINK("http://service.sap.com/sap/support/notes/1629487","1629487")</f>
        <v>1629487</v>
      </c>
      <c r="E543">
        <v>1</v>
      </c>
      <c r="F543" t="s">
        <v>1311</v>
      </c>
    </row>
    <row r="544" spans="1:6" x14ac:dyDescent="0.25">
      <c r="A544" t="s">
        <v>1134</v>
      </c>
      <c r="B544" t="s">
        <v>261</v>
      </c>
      <c r="C544" t="s">
        <v>262</v>
      </c>
      <c r="D544" t="str">
        <f>HYPERLINK("http://service.sap.com/sap/support/notes/1629866","1629866")</f>
        <v>1629866</v>
      </c>
      <c r="E544">
        <v>3</v>
      </c>
      <c r="F544" t="s">
        <v>1312</v>
      </c>
    </row>
    <row r="545" spans="1:6" x14ac:dyDescent="0.25">
      <c r="A545" t="s">
        <v>1134</v>
      </c>
      <c r="B545" t="s">
        <v>261</v>
      </c>
      <c r="C545" t="s">
        <v>262</v>
      </c>
      <c r="D545" t="str">
        <f>HYPERLINK("http://service.sap.com/sap/support/notes/1633153","1633153")</f>
        <v>1633153</v>
      </c>
      <c r="E545">
        <v>1</v>
      </c>
      <c r="F545" t="s">
        <v>1313</v>
      </c>
    </row>
    <row r="546" spans="1:6" x14ac:dyDescent="0.25">
      <c r="A546" t="s">
        <v>1134</v>
      </c>
      <c r="B546" t="s">
        <v>261</v>
      </c>
      <c r="C546" t="s">
        <v>262</v>
      </c>
      <c r="D546" t="str">
        <f>HYPERLINK("http://service.sap.com/sap/support/notes/1633957","1633957")</f>
        <v>1633957</v>
      </c>
      <c r="E546">
        <v>2</v>
      </c>
      <c r="F546" t="s">
        <v>1314</v>
      </c>
    </row>
    <row r="547" spans="1:6" x14ac:dyDescent="0.25">
      <c r="A547" t="s">
        <v>1134</v>
      </c>
      <c r="B547" t="s">
        <v>261</v>
      </c>
      <c r="C547" t="s">
        <v>262</v>
      </c>
      <c r="D547" t="str">
        <f>HYPERLINK("http://service.sap.com/sap/support/notes/1638355","1638355")</f>
        <v>1638355</v>
      </c>
      <c r="E547">
        <v>2</v>
      </c>
      <c r="F547" t="s">
        <v>1315</v>
      </c>
    </row>
    <row r="548" spans="1:6" x14ac:dyDescent="0.25">
      <c r="A548" t="s">
        <v>1134</v>
      </c>
      <c r="B548" t="s">
        <v>261</v>
      </c>
      <c r="C548" t="s">
        <v>262</v>
      </c>
      <c r="D548" t="str">
        <f>HYPERLINK("http://service.sap.com/sap/support/notes/1638812","1638812")</f>
        <v>1638812</v>
      </c>
      <c r="E548">
        <v>1</v>
      </c>
      <c r="F548" t="s">
        <v>1316</v>
      </c>
    </row>
    <row r="549" spans="1:6" x14ac:dyDescent="0.25">
      <c r="A549" t="s">
        <v>1134</v>
      </c>
      <c r="B549" t="s">
        <v>261</v>
      </c>
      <c r="C549" t="s">
        <v>262</v>
      </c>
      <c r="D549" t="str">
        <f>HYPERLINK("http://service.sap.com/sap/support/notes/1638935","1638935")</f>
        <v>1638935</v>
      </c>
      <c r="E549">
        <v>1</v>
      </c>
      <c r="F549" t="s">
        <v>1317</v>
      </c>
    </row>
    <row r="550" spans="1:6" x14ac:dyDescent="0.25">
      <c r="A550" t="s">
        <v>1134</v>
      </c>
      <c r="B550" t="s">
        <v>261</v>
      </c>
      <c r="C550" t="s">
        <v>262</v>
      </c>
      <c r="D550" t="str">
        <f>HYPERLINK("http://service.sap.com/sap/support/notes/1639653","1639653")</f>
        <v>1639653</v>
      </c>
      <c r="E550">
        <v>2</v>
      </c>
      <c r="F550" t="s">
        <v>1318</v>
      </c>
    </row>
    <row r="551" spans="1:6" x14ac:dyDescent="0.25">
      <c r="A551" t="s">
        <v>1134</v>
      </c>
      <c r="B551" t="s">
        <v>261</v>
      </c>
      <c r="C551" t="s">
        <v>262</v>
      </c>
      <c r="D551" t="str">
        <f>HYPERLINK("http://service.sap.com/sap/support/notes/1641353","1641353")</f>
        <v>1641353</v>
      </c>
      <c r="E551">
        <v>1</v>
      </c>
      <c r="F551" t="s">
        <v>1319</v>
      </c>
    </row>
    <row r="552" spans="1:6" x14ac:dyDescent="0.25">
      <c r="A552" t="s">
        <v>1134</v>
      </c>
      <c r="B552" t="s">
        <v>261</v>
      </c>
      <c r="C552" t="s">
        <v>262</v>
      </c>
      <c r="D552" t="str">
        <f>HYPERLINK("http://service.sap.com/sap/support/notes/1642828","1642828")</f>
        <v>1642828</v>
      </c>
      <c r="E552">
        <v>2</v>
      </c>
      <c r="F552" t="s">
        <v>1320</v>
      </c>
    </row>
    <row r="553" spans="1:6" x14ac:dyDescent="0.25">
      <c r="A553" t="s">
        <v>1134</v>
      </c>
      <c r="B553" t="s">
        <v>261</v>
      </c>
      <c r="C553" t="s">
        <v>262</v>
      </c>
      <c r="D553" t="str">
        <f>HYPERLINK("http://service.sap.com/sap/support/notes/1643085","1643085")</f>
        <v>1643085</v>
      </c>
      <c r="E553">
        <v>1</v>
      </c>
      <c r="F553" t="s">
        <v>1321</v>
      </c>
    </row>
    <row r="554" spans="1:6" x14ac:dyDescent="0.25">
      <c r="A554" t="s">
        <v>1134</v>
      </c>
      <c r="B554" t="s">
        <v>261</v>
      </c>
      <c r="C554" t="s">
        <v>262</v>
      </c>
      <c r="D554" t="str">
        <f>HYPERLINK("http://service.sap.com/sap/support/notes/1643133","1643133")</f>
        <v>1643133</v>
      </c>
      <c r="E554">
        <v>1</v>
      </c>
      <c r="F554" t="s">
        <v>1322</v>
      </c>
    </row>
    <row r="555" spans="1:6" x14ac:dyDescent="0.25">
      <c r="A555" t="s">
        <v>1134</v>
      </c>
      <c r="B555" t="s">
        <v>261</v>
      </c>
      <c r="C555" t="s">
        <v>262</v>
      </c>
      <c r="D555" t="str">
        <f>HYPERLINK("http://service.sap.com/sap/support/notes/1643334","1643334")</f>
        <v>1643334</v>
      </c>
      <c r="E555">
        <v>1</v>
      </c>
      <c r="F555" t="s">
        <v>1323</v>
      </c>
    </row>
    <row r="556" spans="1:6" x14ac:dyDescent="0.25">
      <c r="A556" t="s">
        <v>1134</v>
      </c>
      <c r="B556" t="s">
        <v>261</v>
      </c>
      <c r="C556" t="s">
        <v>262</v>
      </c>
      <c r="D556" t="str">
        <f>HYPERLINK("http://service.sap.com/sap/support/notes/1643338","1643338")</f>
        <v>1643338</v>
      </c>
      <c r="E556">
        <v>1</v>
      </c>
      <c r="F556" t="s">
        <v>1324</v>
      </c>
    </row>
    <row r="557" spans="1:6" x14ac:dyDescent="0.25">
      <c r="A557" t="s">
        <v>1134</v>
      </c>
      <c r="B557" t="s">
        <v>261</v>
      </c>
      <c r="C557" t="s">
        <v>262</v>
      </c>
      <c r="D557" t="str">
        <f>HYPERLINK("http://service.sap.com/sap/support/notes/1644129","1644129")</f>
        <v>1644129</v>
      </c>
      <c r="E557">
        <v>1</v>
      </c>
      <c r="F557" t="s">
        <v>1325</v>
      </c>
    </row>
    <row r="558" spans="1:6" x14ac:dyDescent="0.25">
      <c r="A558" t="s">
        <v>1134</v>
      </c>
      <c r="B558" t="s">
        <v>261</v>
      </c>
      <c r="C558" t="s">
        <v>262</v>
      </c>
      <c r="D558" t="str">
        <f>HYPERLINK("http://service.sap.com/sap/support/notes/1645381","1645381")</f>
        <v>1645381</v>
      </c>
      <c r="E558">
        <v>1</v>
      </c>
      <c r="F558" t="s">
        <v>1326</v>
      </c>
    </row>
    <row r="559" spans="1:6" x14ac:dyDescent="0.25">
      <c r="A559" t="s">
        <v>1134</v>
      </c>
      <c r="B559" t="s">
        <v>261</v>
      </c>
      <c r="C559" t="s">
        <v>262</v>
      </c>
      <c r="D559" t="str">
        <f>HYPERLINK("http://service.sap.com/sap/support/notes/1646250","1646250")</f>
        <v>1646250</v>
      </c>
      <c r="E559">
        <v>1</v>
      </c>
      <c r="F559" t="s">
        <v>1327</v>
      </c>
    </row>
    <row r="560" spans="1:6" x14ac:dyDescent="0.25">
      <c r="A560" t="s">
        <v>1134</v>
      </c>
      <c r="B560" t="s">
        <v>261</v>
      </c>
      <c r="C560" t="s">
        <v>262</v>
      </c>
      <c r="D560" t="str">
        <f>HYPERLINK("http://service.sap.com/sap/support/notes/1646326","1646326")</f>
        <v>1646326</v>
      </c>
      <c r="E560">
        <v>1</v>
      </c>
      <c r="F560" t="s">
        <v>1328</v>
      </c>
    </row>
    <row r="561" spans="1:6" x14ac:dyDescent="0.25">
      <c r="A561" t="s">
        <v>1134</v>
      </c>
      <c r="B561" t="s">
        <v>261</v>
      </c>
      <c r="C561" t="s">
        <v>262</v>
      </c>
      <c r="D561" t="str">
        <f>HYPERLINK("http://service.sap.com/sap/support/notes/1649379","1649379")</f>
        <v>1649379</v>
      </c>
      <c r="E561">
        <v>1</v>
      </c>
      <c r="F561" t="s">
        <v>1329</v>
      </c>
    </row>
    <row r="562" spans="1:6" x14ac:dyDescent="0.25">
      <c r="A562" t="s">
        <v>1134</v>
      </c>
      <c r="B562" t="s">
        <v>261</v>
      </c>
      <c r="C562" t="s">
        <v>262</v>
      </c>
      <c r="D562" t="str">
        <f>HYPERLINK("http://service.sap.com/sap/support/notes/1649736","1649736")</f>
        <v>1649736</v>
      </c>
      <c r="E562">
        <v>1</v>
      </c>
      <c r="F562" t="s">
        <v>1330</v>
      </c>
    </row>
    <row r="563" spans="1:6" x14ac:dyDescent="0.25">
      <c r="A563" t="s">
        <v>1134</v>
      </c>
      <c r="B563" t="s">
        <v>261</v>
      </c>
      <c r="C563" t="s">
        <v>262</v>
      </c>
      <c r="D563" t="str">
        <f>HYPERLINK("http://service.sap.com/sap/support/notes/1649857","1649857")</f>
        <v>1649857</v>
      </c>
      <c r="E563">
        <v>1</v>
      </c>
      <c r="F563" t="s">
        <v>1331</v>
      </c>
    </row>
    <row r="564" spans="1:6" x14ac:dyDescent="0.25">
      <c r="A564" t="s">
        <v>1134</v>
      </c>
      <c r="B564" t="s">
        <v>261</v>
      </c>
      <c r="C564" t="s">
        <v>262</v>
      </c>
      <c r="D564" t="str">
        <f>HYPERLINK("http://service.sap.com/sap/support/notes/1651311","1651311")</f>
        <v>1651311</v>
      </c>
      <c r="E564">
        <v>1</v>
      </c>
      <c r="F564" t="s">
        <v>1332</v>
      </c>
    </row>
    <row r="565" spans="1:6" x14ac:dyDescent="0.25">
      <c r="A565" t="s">
        <v>1134</v>
      </c>
      <c r="B565" t="s">
        <v>261</v>
      </c>
      <c r="C565" t="s">
        <v>262</v>
      </c>
      <c r="D565" t="str">
        <f>HYPERLINK("http://service.sap.com/sap/support/notes/1652058","1652058")</f>
        <v>1652058</v>
      </c>
      <c r="E565">
        <v>1</v>
      </c>
      <c r="F565" t="s">
        <v>1333</v>
      </c>
    </row>
    <row r="566" spans="1:6" x14ac:dyDescent="0.25">
      <c r="A566" t="s">
        <v>1134</v>
      </c>
      <c r="B566" t="s">
        <v>261</v>
      </c>
      <c r="C566" t="s">
        <v>262</v>
      </c>
      <c r="D566" t="str">
        <f>HYPERLINK("http://service.sap.com/sap/support/notes/1652974","1652974")</f>
        <v>1652974</v>
      </c>
      <c r="E566">
        <v>2</v>
      </c>
      <c r="F566" t="s">
        <v>1334</v>
      </c>
    </row>
    <row r="567" spans="1:6" x14ac:dyDescent="0.25">
      <c r="A567" t="s">
        <v>1134</v>
      </c>
      <c r="B567" t="s">
        <v>264</v>
      </c>
      <c r="C567" t="s">
        <v>249</v>
      </c>
    </row>
    <row r="568" spans="1:6" x14ac:dyDescent="0.25">
      <c r="A568" t="s">
        <v>1134</v>
      </c>
      <c r="B568" t="s">
        <v>265</v>
      </c>
      <c r="C568" t="s">
        <v>266</v>
      </c>
      <c r="D568" t="str">
        <f>HYPERLINK("http://service.sap.com/sap/support/notes/1609650","1609650")</f>
        <v>1609650</v>
      </c>
      <c r="E568">
        <v>3</v>
      </c>
      <c r="F568" t="s">
        <v>1335</v>
      </c>
    </row>
    <row r="569" spans="1:6" x14ac:dyDescent="0.25">
      <c r="A569" t="s">
        <v>1134</v>
      </c>
      <c r="B569" t="s">
        <v>267</v>
      </c>
      <c r="C569" t="s">
        <v>466</v>
      </c>
    </row>
    <row r="570" spans="1:6" x14ac:dyDescent="0.25">
      <c r="A570" t="s">
        <v>1134</v>
      </c>
      <c r="B570" t="s">
        <v>419</v>
      </c>
      <c r="C570" t="s">
        <v>420</v>
      </c>
      <c r="D570" t="str">
        <f>HYPERLINK("http://service.sap.com/sap/support/notes/1608379","1608379")</f>
        <v>1608379</v>
      </c>
      <c r="E570">
        <v>1</v>
      </c>
      <c r="F570" t="s">
        <v>1336</v>
      </c>
    </row>
    <row r="571" spans="1:6" x14ac:dyDescent="0.25">
      <c r="A571" t="s">
        <v>1134</v>
      </c>
      <c r="B571" t="s">
        <v>66</v>
      </c>
      <c r="C571" t="s">
        <v>67</v>
      </c>
    </row>
    <row r="572" spans="1:6" x14ac:dyDescent="0.25">
      <c r="A572" t="s">
        <v>1134</v>
      </c>
      <c r="B572" t="s">
        <v>68</v>
      </c>
      <c r="C572" t="s">
        <v>269</v>
      </c>
      <c r="D572" t="str">
        <f>HYPERLINK("http://service.sap.com/sap/support/notes/1646589","1646589")</f>
        <v>1646589</v>
      </c>
      <c r="E572">
        <v>1</v>
      </c>
      <c r="F572" t="s">
        <v>1337</v>
      </c>
    </row>
    <row r="573" spans="1:6" x14ac:dyDescent="0.25">
      <c r="A573" t="s">
        <v>1134</v>
      </c>
      <c r="B573" t="s">
        <v>68</v>
      </c>
      <c r="C573" t="s">
        <v>269</v>
      </c>
      <c r="D573" t="str">
        <f>HYPERLINK("http://service.sap.com/sap/support/notes/1650827","1650827")</f>
        <v>1650827</v>
      </c>
      <c r="E573">
        <v>1</v>
      </c>
      <c r="F573" t="s">
        <v>1338</v>
      </c>
    </row>
    <row r="574" spans="1:6" x14ac:dyDescent="0.25">
      <c r="A574" t="s">
        <v>1134</v>
      </c>
      <c r="B574" t="s">
        <v>68</v>
      </c>
      <c r="C574" t="s">
        <v>269</v>
      </c>
      <c r="D574" t="str">
        <f>HYPERLINK("http://service.sap.com/sap/support/notes/1652698","1652698")</f>
        <v>1652698</v>
      </c>
      <c r="E574">
        <v>1</v>
      </c>
      <c r="F574" t="s">
        <v>1339</v>
      </c>
    </row>
    <row r="575" spans="1:6" x14ac:dyDescent="0.25">
      <c r="A575" t="s">
        <v>1134</v>
      </c>
      <c r="B575" t="s">
        <v>70</v>
      </c>
      <c r="C575" t="s">
        <v>270</v>
      </c>
      <c r="D575" t="str">
        <f>HYPERLINK("http://service.sap.com/sap/support/notes/1634810","1634810")</f>
        <v>1634810</v>
      </c>
      <c r="E575">
        <v>2</v>
      </c>
      <c r="F575" t="s">
        <v>1340</v>
      </c>
    </row>
    <row r="576" spans="1:6" x14ac:dyDescent="0.25">
      <c r="A576" t="s">
        <v>1134</v>
      </c>
      <c r="B576" t="s">
        <v>70</v>
      </c>
      <c r="C576" t="s">
        <v>270</v>
      </c>
      <c r="D576" t="str">
        <f>HYPERLINK("http://service.sap.com/sap/support/notes/1644752","1644752")</f>
        <v>1644752</v>
      </c>
      <c r="E576">
        <v>1</v>
      </c>
      <c r="F576" t="s">
        <v>1341</v>
      </c>
    </row>
    <row r="577" spans="1:6" x14ac:dyDescent="0.25">
      <c r="A577" t="s">
        <v>1134</v>
      </c>
      <c r="B577" t="s">
        <v>273</v>
      </c>
      <c r="C577" t="s">
        <v>469</v>
      </c>
    </row>
    <row r="578" spans="1:6" x14ac:dyDescent="0.25">
      <c r="A578" t="s">
        <v>1134</v>
      </c>
      <c r="B578" t="s">
        <v>274</v>
      </c>
      <c r="C578" t="s">
        <v>275</v>
      </c>
      <c r="D578" t="str">
        <f>HYPERLINK("http://service.sap.com/sap/support/notes/1606520","1606520")</f>
        <v>1606520</v>
      </c>
      <c r="E578">
        <v>1</v>
      </c>
      <c r="F578" t="s">
        <v>1342</v>
      </c>
    </row>
    <row r="579" spans="1:6" x14ac:dyDescent="0.25">
      <c r="A579" t="s">
        <v>1134</v>
      </c>
      <c r="B579" t="s">
        <v>274</v>
      </c>
      <c r="C579" t="s">
        <v>275</v>
      </c>
      <c r="D579" t="str">
        <f>HYPERLINK("http://service.sap.com/sap/support/notes/1612384","1612384")</f>
        <v>1612384</v>
      </c>
      <c r="E579">
        <v>3</v>
      </c>
      <c r="F579" t="s">
        <v>1343</v>
      </c>
    </row>
    <row r="580" spans="1:6" x14ac:dyDescent="0.25">
      <c r="A580" t="s">
        <v>1134</v>
      </c>
      <c r="B580" t="s">
        <v>274</v>
      </c>
      <c r="C580" t="s">
        <v>275</v>
      </c>
      <c r="D580" t="str">
        <f>HYPERLINK("http://service.sap.com/sap/support/notes/1619116","1619116")</f>
        <v>1619116</v>
      </c>
      <c r="E580">
        <v>5</v>
      </c>
      <c r="F580" t="s">
        <v>1344</v>
      </c>
    </row>
    <row r="581" spans="1:6" x14ac:dyDescent="0.25">
      <c r="A581" t="s">
        <v>1134</v>
      </c>
      <c r="B581" t="s">
        <v>274</v>
      </c>
      <c r="C581" t="s">
        <v>275</v>
      </c>
      <c r="D581" t="str">
        <f>HYPERLINK("http://service.sap.com/sap/support/notes/1619843","1619843")</f>
        <v>1619843</v>
      </c>
      <c r="E581">
        <v>4</v>
      </c>
      <c r="F581" t="s">
        <v>1345</v>
      </c>
    </row>
    <row r="582" spans="1:6" x14ac:dyDescent="0.25">
      <c r="A582" t="s">
        <v>1134</v>
      </c>
      <c r="B582" t="s">
        <v>471</v>
      </c>
      <c r="C582" t="s">
        <v>1346</v>
      </c>
      <c r="D582" t="str">
        <f>HYPERLINK("http://service.sap.com/sap/support/notes/1525497","1525497")</f>
        <v>1525497</v>
      </c>
      <c r="E582">
        <v>3</v>
      </c>
      <c r="F582" t="s">
        <v>1347</v>
      </c>
    </row>
    <row r="583" spans="1:6" x14ac:dyDescent="0.25">
      <c r="A583" t="s">
        <v>1134</v>
      </c>
      <c r="B583" t="s">
        <v>471</v>
      </c>
      <c r="C583" t="s">
        <v>1346</v>
      </c>
      <c r="D583" t="str">
        <f>HYPERLINK("http://service.sap.com/sap/support/notes/1605977","1605977")</f>
        <v>1605977</v>
      </c>
      <c r="E583">
        <v>3</v>
      </c>
      <c r="F583" t="s">
        <v>1348</v>
      </c>
    </row>
    <row r="584" spans="1:6" x14ac:dyDescent="0.25">
      <c r="A584" t="s">
        <v>1134</v>
      </c>
      <c r="B584" t="s">
        <v>471</v>
      </c>
      <c r="C584" t="s">
        <v>1346</v>
      </c>
      <c r="D584" t="str">
        <f>HYPERLINK("http://service.sap.com/sap/support/notes/1625252","1625252")</f>
        <v>1625252</v>
      </c>
      <c r="E584">
        <v>2</v>
      </c>
      <c r="F584" t="s">
        <v>1349</v>
      </c>
    </row>
    <row r="585" spans="1:6" x14ac:dyDescent="0.25">
      <c r="A585" t="s">
        <v>1134</v>
      </c>
      <c r="B585" t="s">
        <v>471</v>
      </c>
      <c r="C585" t="s">
        <v>1346</v>
      </c>
      <c r="D585" t="str">
        <f>HYPERLINK("http://service.sap.com/sap/support/notes/1635689","1635689")</f>
        <v>1635689</v>
      </c>
      <c r="E585">
        <v>2</v>
      </c>
      <c r="F585" t="s">
        <v>1350</v>
      </c>
    </row>
    <row r="586" spans="1:6" x14ac:dyDescent="0.25">
      <c r="A586" t="s">
        <v>1134</v>
      </c>
      <c r="B586" t="s">
        <v>471</v>
      </c>
      <c r="C586" t="s">
        <v>1346</v>
      </c>
      <c r="D586" t="str">
        <f>HYPERLINK("http://service.sap.com/sap/support/notes/1641711","1641711")</f>
        <v>1641711</v>
      </c>
      <c r="E586">
        <v>1</v>
      </c>
      <c r="F586" t="s">
        <v>1351</v>
      </c>
    </row>
    <row r="587" spans="1:6" x14ac:dyDescent="0.25">
      <c r="A587" t="s">
        <v>1134</v>
      </c>
      <c r="B587" t="s">
        <v>276</v>
      </c>
      <c r="C587" t="s">
        <v>277</v>
      </c>
      <c r="D587" t="str">
        <f>HYPERLINK("http://service.sap.com/sap/support/notes/1506399","1506399")</f>
        <v>1506399</v>
      </c>
      <c r="E587">
        <v>7</v>
      </c>
      <c r="F587" t="s">
        <v>278</v>
      </c>
    </row>
    <row r="588" spans="1:6" x14ac:dyDescent="0.25">
      <c r="A588" t="s">
        <v>1134</v>
      </c>
      <c r="B588" t="s">
        <v>276</v>
      </c>
      <c r="C588" t="s">
        <v>277</v>
      </c>
      <c r="D588" t="str">
        <f>HYPERLINK("http://service.sap.com/sap/support/notes/1535218","1535218")</f>
        <v>1535218</v>
      </c>
      <c r="E588">
        <v>4</v>
      </c>
      <c r="F588" t="s">
        <v>1352</v>
      </c>
    </row>
    <row r="589" spans="1:6" x14ac:dyDescent="0.25">
      <c r="A589" t="s">
        <v>1134</v>
      </c>
      <c r="B589" t="s">
        <v>276</v>
      </c>
      <c r="C589" t="s">
        <v>277</v>
      </c>
      <c r="D589" t="str">
        <f>HYPERLINK("http://service.sap.com/sap/support/notes/1600831","1600831")</f>
        <v>1600831</v>
      </c>
      <c r="E589">
        <v>2</v>
      </c>
      <c r="F589" t="s">
        <v>1353</v>
      </c>
    </row>
    <row r="590" spans="1:6" x14ac:dyDescent="0.25">
      <c r="A590" t="s">
        <v>1134</v>
      </c>
      <c r="B590" t="s">
        <v>276</v>
      </c>
      <c r="C590" t="s">
        <v>277</v>
      </c>
      <c r="D590" t="str">
        <f>HYPERLINK("http://service.sap.com/sap/support/notes/1625348","1625348")</f>
        <v>1625348</v>
      </c>
      <c r="E590">
        <v>3</v>
      </c>
      <c r="F590" t="s">
        <v>1354</v>
      </c>
    </row>
    <row r="591" spans="1:6" x14ac:dyDescent="0.25">
      <c r="A591" t="s">
        <v>1134</v>
      </c>
      <c r="B591" t="s">
        <v>276</v>
      </c>
      <c r="C591" t="s">
        <v>277</v>
      </c>
      <c r="D591" t="str">
        <f>HYPERLINK("http://service.sap.com/sap/support/notes/1626998","1626998")</f>
        <v>1626998</v>
      </c>
      <c r="E591">
        <v>2</v>
      </c>
      <c r="F591" t="s">
        <v>1355</v>
      </c>
    </row>
    <row r="592" spans="1:6" x14ac:dyDescent="0.25">
      <c r="A592" t="s">
        <v>1134</v>
      </c>
      <c r="B592" t="s">
        <v>276</v>
      </c>
      <c r="C592" t="s">
        <v>277</v>
      </c>
      <c r="D592" t="str">
        <f>HYPERLINK("http://service.sap.com/sap/support/notes/1627235","1627235")</f>
        <v>1627235</v>
      </c>
      <c r="E592">
        <v>3</v>
      </c>
      <c r="F592" t="s">
        <v>1356</v>
      </c>
    </row>
    <row r="593" spans="1:6" x14ac:dyDescent="0.25">
      <c r="A593" t="s">
        <v>1134</v>
      </c>
      <c r="B593" t="s">
        <v>276</v>
      </c>
      <c r="C593" t="s">
        <v>277</v>
      </c>
      <c r="D593" t="str">
        <f>HYPERLINK("http://service.sap.com/sap/support/notes/1654381","1654381")</f>
        <v>1654381</v>
      </c>
      <c r="E593">
        <v>1</v>
      </c>
      <c r="F593" t="s">
        <v>1357</v>
      </c>
    </row>
    <row r="594" spans="1:6" x14ac:dyDescent="0.25">
      <c r="A594" t="s">
        <v>1134</v>
      </c>
      <c r="B594" t="s">
        <v>279</v>
      </c>
      <c r="C594" t="s">
        <v>280</v>
      </c>
      <c r="D594" t="str">
        <f>HYPERLINK("http://service.sap.com/sap/support/notes/1566788","1566788")</f>
        <v>1566788</v>
      </c>
      <c r="E594">
        <v>1</v>
      </c>
      <c r="F594" t="s">
        <v>1358</v>
      </c>
    </row>
    <row r="595" spans="1:6" x14ac:dyDescent="0.25">
      <c r="A595" t="s">
        <v>1134</v>
      </c>
      <c r="B595" t="s">
        <v>279</v>
      </c>
      <c r="C595" t="s">
        <v>280</v>
      </c>
      <c r="D595" t="str">
        <f>HYPERLINK("http://service.sap.com/sap/support/notes/1583533","1583533")</f>
        <v>1583533</v>
      </c>
      <c r="E595">
        <v>3</v>
      </c>
      <c r="F595" t="s">
        <v>1359</v>
      </c>
    </row>
    <row r="596" spans="1:6" x14ac:dyDescent="0.25">
      <c r="A596" t="s">
        <v>1134</v>
      </c>
      <c r="B596" t="s">
        <v>279</v>
      </c>
      <c r="C596" t="s">
        <v>280</v>
      </c>
      <c r="D596" t="str">
        <f>HYPERLINK("http://service.sap.com/sap/support/notes/1614540","1614540")</f>
        <v>1614540</v>
      </c>
      <c r="E596">
        <v>1</v>
      </c>
      <c r="F596" t="s">
        <v>1360</v>
      </c>
    </row>
    <row r="597" spans="1:6" x14ac:dyDescent="0.25">
      <c r="A597" t="s">
        <v>1134</v>
      </c>
      <c r="B597" t="s">
        <v>279</v>
      </c>
      <c r="C597" t="s">
        <v>280</v>
      </c>
      <c r="D597" t="str">
        <f>HYPERLINK("http://service.sap.com/sap/support/notes/1646600","1646600")</f>
        <v>1646600</v>
      </c>
      <c r="E597">
        <v>1</v>
      </c>
      <c r="F597" t="s">
        <v>1361</v>
      </c>
    </row>
    <row r="598" spans="1:6" x14ac:dyDescent="0.25">
      <c r="A598" t="s">
        <v>1134</v>
      </c>
      <c r="B598" t="s">
        <v>284</v>
      </c>
      <c r="C598" t="s">
        <v>393</v>
      </c>
    </row>
    <row r="599" spans="1:6" x14ac:dyDescent="0.25">
      <c r="A599" t="s">
        <v>1134</v>
      </c>
      <c r="B599" t="s">
        <v>287</v>
      </c>
      <c r="C599" t="s">
        <v>288</v>
      </c>
      <c r="D599" t="str">
        <f>HYPERLINK("http://service.sap.com/sap/support/notes/1599117","1599117")</f>
        <v>1599117</v>
      </c>
      <c r="E599">
        <v>1</v>
      </c>
      <c r="F599" t="s">
        <v>1362</v>
      </c>
    </row>
    <row r="600" spans="1:6" x14ac:dyDescent="0.25">
      <c r="A600" t="s">
        <v>1134</v>
      </c>
      <c r="B600" t="s">
        <v>287</v>
      </c>
      <c r="C600" t="s">
        <v>288</v>
      </c>
      <c r="D600" t="str">
        <f>HYPERLINK("http://service.sap.com/sap/support/notes/1619700","1619700")</f>
        <v>1619700</v>
      </c>
      <c r="E600">
        <v>3</v>
      </c>
      <c r="F600" t="s">
        <v>1363</v>
      </c>
    </row>
    <row r="601" spans="1:6" x14ac:dyDescent="0.25">
      <c r="A601" t="s">
        <v>1134</v>
      </c>
      <c r="B601" t="s">
        <v>287</v>
      </c>
      <c r="C601" t="s">
        <v>288</v>
      </c>
      <c r="D601" t="str">
        <f>HYPERLINK("http://service.sap.com/sap/support/notes/1649908","1649908")</f>
        <v>1649908</v>
      </c>
      <c r="E601">
        <v>1</v>
      </c>
      <c r="F601" t="s">
        <v>1364</v>
      </c>
    </row>
    <row r="602" spans="1:6" x14ac:dyDescent="0.25">
      <c r="A602" t="s">
        <v>1134</v>
      </c>
      <c r="B602" t="s">
        <v>287</v>
      </c>
      <c r="C602" t="s">
        <v>288</v>
      </c>
      <c r="D602" t="str">
        <f>HYPERLINK("http://service.sap.com/sap/support/notes/1651063","1651063")</f>
        <v>1651063</v>
      </c>
      <c r="E602">
        <v>1</v>
      </c>
      <c r="F602" t="s">
        <v>1365</v>
      </c>
    </row>
    <row r="603" spans="1:6" x14ac:dyDescent="0.25">
      <c r="A603" t="s">
        <v>1134</v>
      </c>
      <c r="B603" t="s">
        <v>659</v>
      </c>
      <c r="C603" t="s">
        <v>660</v>
      </c>
      <c r="D603" t="str">
        <f>HYPERLINK("http://service.sap.com/sap/support/notes/1625934","1625934")</f>
        <v>1625934</v>
      </c>
      <c r="E603">
        <v>2</v>
      </c>
      <c r="F603" t="s">
        <v>1366</v>
      </c>
    </row>
    <row r="604" spans="1:6" x14ac:dyDescent="0.25">
      <c r="A604" t="s">
        <v>1134</v>
      </c>
      <c r="B604" t="s">
        <v>289</v>
      </c>
      <c r="C604" t="s">
        <v>290</v>
      </c>
      <c r="D604" t="str">
        <f>HYPERLINK("http://service.sap.com/sap/support/notes/1635187","1635187")</f>
        <v>1635187</v>
      </c>
      <c r="E604">
        <v>2</v>
      </c>
      <c r="F604" t="s">
        <v>1367</v>
      </c>
    </row>
    <row r="605" spans="1:6" x14ac:dyDescent="0.25">
      <c r="A605" t="s">
        <v>1134</v>
      </c>
      <c r="B605" t="s">
        <v>291</v>
      </c>
      <c r="C605" t="s">
        <v>292</v>
      </c>
      <c r="D605" t="str">
        <f>HYPERLINK("http://service.sap.com/sap/support/notes/1623636","1623636")</f>
        <v>1623636</v>
      </c>
      <c r="E605">
        <v>5</v>
      </c>
      <c r="F605" t="s">
        <v>1368</v>
      </c>
    </row>
    <row r="606" spans="1:6" x14ac:dyDescent="0.25">
      <c r="A606" t="s">
        <v>1134</v>
      </c>
      <c r="B606" t="s">
        <v>291</v>
      </c>
      <c r="C606" t="s">
        <v>292</v>
      </c>
      <c r="D606" t="str">
        <f>HYPERLINK("http://service.sap.com/sap/support/notes/1653704","1653704")</f>
        <v>1653704</v>
      </c>
      <c r="E606">
        <v>2</v>
      </c>
      <c r="F606" t="s">
        <v>1369</v>
      </c>
    </row>
    <row r="607" spans="1:6" x14ac:dyDescent="0.25">
      <c r="A607" t="s">
        <v>1134</v>
      </c>
      <c r="B607" t="s">
        <v>293</v>
      </c>
      <c r="C607" t="s">
        <v>294</v>
      </c>
      <c r="D607" t="str">
        <f>HYPERLINK("http://service.sap.com/sap/support/notes/1602500","1602500")</f>
        <v>1602500</v>
      </c>
      <c r="E607">
        <v>3</v>
      </c>
      <c r="F607" t="s">
        <v>599</v>
      </c>
    </row>
    <row r="608" spans="1:6" x14ac:dyDescent="0.25">
      <c r="A608" t="s">
        <v>1134</v>
      </c>
      <c r="B608" t="s">
        <v>293</v>
      </c>
      <c r="C608" t="s">
        <v>294</v>
      </c>
      <c r="D608" t="str">
        <f>HYPERLINK("http://service.sap.com/sap/support/notes/1606474","1606474")</f>
        <v>1606474</v>
      </c>
      <c r="E608">
        <v>2</v>
      </c>
      <c r="F608" t="s">
        <v>1370</v>
      </c>
    </row>
    <row r="609" spans="1:6" x14ac:dyDescent="0.25">
      <c r="A609" t="s">
        <v>1134</v>
      </c>
      <c r="B609" t="s">
        <v>293</v>
      </c>
      <c r="C609" t="s">
        <v>294</v>
      </c>
      <c r="D609" t="str">
        <f>HYPERLINK("http://service.sap.com/sap/support/notes/1613374","1613374")</f>
        <v>1613374</v>
      </c>
      <c r="E609">
        <v>2</v>
      </c>
      <c r="F609" t="s">
        <v>1371</v>
      </c>
    </row>
    <row r="610" spans="1:6" x14ac:dyDescent="0.25">
      <c r="A610" t="s">
        <v>1134</v>
      </c>
      <c r="B610" t="s">
        <v>293</v>
      </c>
      <c r="C610" t="s">
        <v>294</v>
      </c>
      <c r="D610" t="str">
        <f>HYPERLINK("http://service.sap.com/sap/support/notes/1629140","1629140")</f>
        <v>1629140</v>
      </c>
      <c r="E610">
        <v>2</v>
      </c>
      <c r="F610" t="s">
        <v>1372</v>
      </c>
    </row>
    <row r="611" spans="1:6" x14ac:dyDescent="0.25">
      <c r="A611" t="s">
        <v>1134</v>
      </c>
      <c r="B611" t="s">
        <v>293</v>
      </c>
      <c r="C611" t="s">
        <v>294</v>
      </c>
      <c r="D611" t="str">
        <f>HYPERLINK("http://service.sap.com/sap/support/notes/1632155","1632155")</f>
        <v>1632155</v>
      </c>
      <c r="E611">
        <v>3</v>
      </c>
      <c r="F611" t="s">
        <v>1373</v>
      </c>
    </row>
    <row r="612" spans="1:6" x14ac:dyDescent="0.25">
      <c r="A612" t="s">
        <v>1134</v>
      </c>
      <c r="B612" t="s">
        <v>293</v>
      </c>
      <c r="C612" t="s">
        <v>294</v>
      </c>
      <c r="D612" t="str">
        <f>HYPERLINK("http://service.sap.com/sap/support/notes/1634188","1634188")</f>
        <v>1634188</v>
      </c>
      <c r="E612">
        <v>1</v>
      </c>
      <c r="F612" t="s">
        <v>1374</v>
      </c>
    </row>
    <row r="613" spans="1:6" x14ac:dyDescent="0.25">
      <c r="A613" t="s">
        <v>1134</v>
      </c>
      <c r="B613" t="s">
        <v>293</v>
      </c>
      <c r="C613" t="s">
        <v>294</v>
      </c>
      <c r="D613" t="str">
        <f>HYPERLINK("http://service.sap.com/sap/support/notes/1637215","1637215")</f>
        <v>1637215</v>
      </c>
      <c r="E613">
        <v>4</v>
      </c>
      <c r="F613" t="s">
        <v>1375</v>
      </c>
    </row>
    <row r="614" spans="1:6" x14ac:dyDescent="0.25">
      <c r="A614" t="s">
        <v>1134</v>
      </c>
      <c r="B614" t="s">
        <v>293</v>
      </c>
      <c r="C614" t="s">
        <v>294</v>
      </c>
      <c r="D614" t="str">
        <f>HYPERLINK("http://service.sap.com/sap/support/notes/1653818","1653818")</f>
        <v>1653818</v>
      </c>
      <c r="E614">
        <v>2</v>
      </c>
      <c r="F614" t="s">
        <v>1376</v>
      </c>
    </row>
    <row r="615" spans="1:6" x14ac:dyDescent="0.25">
      <c r="A615" t="s">
        <v>1134</v>
      </c>
      <c r="B615" t="s">
        <v>800</v>
      </c>
      <c r="C615" t="s">
        <v>801</v>
      </c>
      <c r="D615" t="str">
        <f>HYPERLINK("http://service.sap.com/sap/support/notes/1625272","1625272")</f>
        <v>1625272</v>
      </c>
      <c r="E615">
        <v>4</v>
      </c>
      <c r="F615" t="s">
        <v>1377</v>
      </c>
    </row>
    <row r="616" spans="1:6" x14ac:dyDescent="0.25">
      <c r="A616" t="s">
        <v>1134</v>
      </c>
      <c r="B616" t="s">
        <v>800</v>
      </c>
      <c r="C616" t="s">
        <v>801</v>
      </c>
      <c r="D616" t="str">
        <f>HYPERLINK("http://service.sap.com/sap/support/notes/1628226","1628226")</f>
        <v>1628226</v>
      </c>
      <c r="E616">
        <v>6</v>
      </c>
      <c r="F616" t="s">
        <v>1378</v>
      </c>
    </row>
    <row r="617" spans="1:6" x14ac:dyDescent="0.25">
      <c r="A617" t="s">
        <v>1134</v>
      </c>
      <c r="B617" t="s">
        <v>296</v>
      </c>
      <c r="C617" t="s">
        <v>297</v>
      </c>
      <c r="D617" t="str">
        <f>HYPERLINK("http://service.sap.com/sap/support/notes/1592791","1592791")</f>
        <v>1592791</v>
      </c>
      <c r="E617">
        <v>1</v>
      </c>
      <c r="F617" t="s">
        <v>1379</v>
      </c>
    </row>
    <row r="618" spans="1:6" x14ac:dyDescent="0.25">
      <c r="A618" t="s">
        <v>1134</v>
      </c>
      <c r="B618" t="s">
        <v>296</v>
      </c>
      <c r="C618" t="s">
        <v>297</v>
      </c>
      <c r="D618" t="str">
        <f>HYPERLINK("http://service.sap.com/sap/support/notes/1599071","1599071")</f>
        <v>1599071</v>
      </c>
      <c r="E618">
        <v>1</v>
      </c>
      <c r="F618" t="s">
        <v>1380</v>
      </c>
    </row>
    <row r="619" spans="1:6" x14ac:dyDescent="0.25">
      <c r="A619" t="s">
        <v>1134</v>
      </c>
      <c r="B619" t="s">
        <v>296</v>
      </c>
      <c r="C619" t="s">
        <v>297</v>
      </c>
      <c r="D619" t="str">
        <f>HYPERLINK("http://service.sap.com/sap/support/notes/1619304","1619304")</f>
        <v>1619304</v>
      </c>
      <c r="E619">
        <v>3</v>
      </c>
      <c r="F619" t="s">
        <v>1381</v>
      </c>
    </row>
    <row r="620" spans="1:6" x14ac:dyDescent="0.25">
      <c r="A620" t="s">
        <v>1134</v>
      </c>
      <c r="B620" t="s">
        <v>298</v>
      </c>
      <c r="C620" t="s">
        <v>588</v>
      </c>
    </row>
    <row r="621" spans="1:6" x14ac:dyDescent="0.25">
      <c r="A621" t="s">
        <v>1134</v>
      </c>
      <c r="B621" t="s">
        <v>299</v>
      </c>
      <c r="C621" t="s">
        <v>300</v>
      </c>
      <c r="D621" t="str">
        <f>HYPERLINK("http://service.sap.com/sap/support/notes/1607095","1607095")</f>
        <v>1607095</v>
      </c>
      <c r="E621">
        <v>3</v>
      </c>
      <c r="F621" t="s">
        <v>1382</v>
      </c>
    </row>
    <row r="622" spans="1:6" x14ac:dyDescent="0.25">
      <c r="A622" t="s">
        <v>1134</v>
      </c>
      <c r="B622" t="s">
        <v>299</v>
      </c>
      <c r="C622" t="s">
        <v>300</v>
      </c>
      <c r="D622" t="str">
        <f>HYPERLINK("http://service.sap.com/sap/support/notes/1645841","1645841")</f>
        <v>1645841</v>
      </c>
      <c r="E622">
        <v>2</v>
      </c>
      <c r="F622" t="s">
        <v>1383</v>
      </c>
    </row>
    <row r="623" spans="1:6" x14ac:dyDescent="0.25">
      <c r="A623" t="s">
        <v>1134</v>
      </c>
      <c r="B623" t="s">
        <v>301</v>
      </c>
      <c r="C623" t="s">
        <v>302</v>
      </c>
      <c r="D623" t="str">
        <f>HYPERLINK("http://service.sap.com/sap/support/notes/1622404","1622404")</f>
        <v>1622404</v>
      </c>
      <c r="E623">
        <v>3</v>
      </c>
      <c r="F623" t="s">
        <v>802</v>
      </c>
    </row>
    <row r="624" spans="1:6" x14ac:dyDescent="0.25">
      <c r="A624" t="s">
        <v>1134</v>
      </c>
      <c r="B624" t="s">
        <v>303</v>
      </c>
      <c r="C624" t="s">
        <v>304</v>
      </c>
      <c r="D624" t="str">
        <f>HYPERLINK("http://service.sap.com/sap/support/notes/1635285","1635285")</f>
        <v>1635285</v>
      </c>
      <c r="E624">
        <v>2</v>
      </c>
      <c r="F624" t="s">
        <v>1384</v>
      </c>
    </row>
    <row r="625" spans="1:6" x14ac:dyDescent="0.25">
      <c r="A625" t="s">
        <v>1134</v>
      </c>
      <c r="B625" t="s">
        <v>76</v>
      </c>
      <c r="C625" t="s">
        <v>77</v>
      </c>
    </row>
    <row r="626" spans="1:6" x14ac:dyDescent="0.25">
      <c r="A626" t="s">
        <v>1134</v>
      </c>
      <c r="B626" t="s">
        <v>78</v>
      </c>
      <c r="C626" t="s">
        <v>79</v>
      </c>
      <c r="D626" t="str">
        <f>HYPERLINK("http://service.sap.com/sap/support/notes/1583128","1583128")</f>
        <v>1583128</v>
      </c>
      <c r="E626">
        <v>3</v>
      </c>
      <c r="F626" t="s">
        <v>1385</v>
      </c>
    </row>
    <row r="627" spans="1:6" x14ac:dyDescent="0.25">
      <c r="A627" t="s">
        <v>1134</v>
      </c>
      <c r="B627" t="s">
        <v>78</v>
      </c>
      <c r="C627" t="s">
        <v>79</v>
      </c>
      <c r="D627" t="str">
        <f>HYPERLINK("http://service.sap.com/sap/support/notes/1631209","1631209")</f>
        <v>1631209</v>
      </c>
      <c r="E627">
        <v>2</v>
      </c>
      <c r="F627" t="s">
        <v>1386</v>
      </c>
    </row>
    <row r="628" spans="1:6" x14ac:dyDescent="0.25">
      <c r="A628" t="s">
        <v>1134</v>
      </c>
      <c r="B628" t="s">
        <v>78</v>
      </c>
      <c r="C628" t="s">
        <v>79</v>
      </c>
      <c r="D628" t="str">
        <f>HYPERLINK("http://service.sap.com/sap/support/notes/1649331","1649331")</f>
        <v>1649331</v>
      </c>
      <c r="E628">
        <v>3</v>
      </c>
      <c r="F628" t="s">
        <v>1387</v>
      </c>
    </row>
    <row r="629" spans="1:6" x14ac:dyDescent="0.25">
      <c r="A629" t="s">
        <v>1134</v>
      </c>
      <c r="B629" t="s">
        <v>78</v>
      </c>
      <c r="C629" t="s">
        <v>79</v>
      </c>
      <c r="D629" t="str">
        <f>HYPERLINK("http://service.sap.com/sap/support/notes/1649558","1649558")</f>
        <v>1649558</v>
      </c>
      <c r="E629">
        <v>2</v>
      </c>
      <c r="F629" t="s">
        <v>1388</v>
      </c>
    </row>
    <row r="630" spans="1:6" x14ac:dyDescent="0.25">
      <c r="A630" t="s">
        <v>1134</v>
      </c>
      <c r="B630" t="s">
        <v>78</v>
      </c>
      <c r="C630" t="s">
        <v>79</v>
      </c>
      <c r="D630" t="str">
        <f>HYPERLINK("http://service.sap.com/sap/support/notes/1652196","1652196")</f>
        <v>1652196</v>
      </c>
      <c r="E630">
        <v>4</v>
      </c>
      <c r="F630" t="s">
        <v>1389</v>
      </c>
    </row>
    <row r="631" spans="1:6" x14ac:dyDescent="0.25">
      <c r="A631" t="s">
        <v>1134</v>
      </c>
      <c r="B631" t="s">
        <v>80</v>
      </c>
      <c r="C631" t="s">
        <v>32</v>
      </c>
      <c r="D631" t="str">
        <f>HYPERLINK("http://service.sap.com/sap/support/notes/1254623","1254623")</f>
        <v>1254623</v>
      </c>
      <c r="E631">
        <v>5</v>
      </c>
      <c r="F631" t="s">
        <v>1390</v>
      </c>
    </row>
    <row r="632" spans="1:6" x14ac:dyDescent="0.25">
      <c r="A632" t="s">
        <v>1134</v>
      </c>
      <c r="B632" t="s">
        <v>80</v>
      </c>
      <c r="C632" t="s">
        <v>32</v>
      </c>
      <c r="D632" t="str">
        <f>HYPERLINK("http://service.sap.com/sap/support/notes/1493165","1493165")</f>
        <v>1493165</v>
      </c>
      <c r="E632">
        <v>2</v>
      </c>
      <c r="F632" t="s">
        <v>1391</v>
      </c>
    </row>
    <row r="633" spans="1:6" x14ac:dyDescent="0.25">
      <c r="A633" t="s">
        <v>1134</v>
      </c>
      <c r="B633" t="s">
        <v>80</v>
      </c>
      <c r="C633" t="s">
        <v>32</v>
      </c>
      <c r="D633" t="str">
        <f>HYPERLINK("http://service.sap.com/sap/support/notes/1616278","1616278")</f>
        <v>1616278</v>
      </c>
      <c r="E633">
        <v>2</v>
      </c>
      <c r="F633" t="s">
        <v>1392</v>
      </c>
    </row>
    <row r="634" spans="1:6" x14ac:dyDescent="0.25">
      <c r="A634" t="s">
        <v>1134</v>
      </c>
      <c r="B634" t="s">
        <v>80</v>
      </c>
      <c r="C634" t="s">
        <v>32</v>
      </c>
      <c r="D634" t="str">
        <f>HYPERLINK("http://service.sap.com/sap/support/notes/1618501","1618501")</f>
        <v>1618501</v>
      </c>
      <c r="E634">
        <v>2</v>
      </c>
      <c r="F634" t="s">
        <v>1393</v>
      </c>
    </row>
    <row r="635" spans="1:6" x14ac:dyDescent="0.25">
      <c r="A635" t="s">
        <v>1134</v>
      </c>
      <c r="B635" t="s">
        <v>80</v>
      </c>
      <c r="C635" t="s">
        <v>32</v>
      </c>
      <c r="D635" t="str">
        <f>HYPERLINK("http://service.sap.com/sap/support/notes/1619744","1619744")</f>
        <v>1619744</v>
      </c>
      <c r="E635">
        <v>1</v>
      </c>
      <c r="F635" t="s">
        <v>1394</v>
      </c>
    </row>
    <row r="636" spans="1:6" x14ac:dyDescent="0.25">
      <c r="A636" t="s">
        <v>1134</v>
      </c>
      <c r="B636" t="s">
        <v>80</v>
      </c>
      <c r="C636" t="s">
        <v>32</v>
      </c>
      <c r="D636" t="str">
        <f>HYPERLINK("http://service.sap.com/sap/support/notes/1635623","1635623")</f>
        <v>1635623</v>
      </c>
      <c r="E636">
        <v>9</v>
      </c>
      <c r="F636" t="s">
        <v>1395</v>
      </c>
    </row>
    <row r="637" spans="1:6" x14ac:dyDescent="0.25">
      <c r="A637" t="s">
        <v>1134</v>
      </c>
      <c r="B637" t="s">
        <v>80</v>
      </c>
      <c r="C637" t="s">
        <v>32</v>
      </c>
      <c r="D637" t="str">
        <f>HYPERLINK("http://service.sap.com/sap/support/notes/1637327","1637327")</f>
        <v>1637327</v>
      </c>
      <c r="E637">
        <v>4</v>
      </c>
      <c r="F637" t="s">
        <v>1396</v>
      </c>
    </row>
    <row r="638" spans="1:6" x14ac:dyDescent="0.25">
      <c r="A638" t="s">
        <v>1134</v>
      </c>
      <c r="B638" t="s">
        <v>80</v>
      </c>
      <c r="C638" t="s">
        <v>32</v>
      </c>
      <c r="D638" t="str">
        <f>HYPERLINK("http://service.sap.com/sap/support/notes/1638571","1638571")</f>
        <v>1638571</v>
      </c>
      <c r="E638">
        <v>4</v>
      </c>
      <c r="F638" t="s">
        <v>1397</v>
      </c>
    </row>
    <row r="639" spans="1:6" x14ac:dyDescent="0.25">
      <c r="A639" t="s">
        <v>1134</v>
      </c>
      <c r="B639" t="s">
        <v>80</v>
      </c>
      <c r="C639" t="s">
        <v>32</v>
      </c>
      <c r="D639" t="str">
        <f>HYPERLINK("http://service.sap.com/sap/support/notes/1639152","1639152")</f>
        <v>1639152</v>
      </c>
      <c r="E639">
        <v>6</v>
      </c>
      <c r="F639" t="s">
        <v>1398</v>
      </c>
    </row>
    <row r="640" spans="1:6" x14ac:dyDescent="0.25">
      <c r="A640" t="s">
        <v>1134</v>
      </c>
      <c r="B640" t="s">
        <v>80</v>
      </c>
      <c r="C640" t="s">
        <v>32</v>
      </c>
      <c r="D640" t="str">
        <f>HYPERLINK("http://service.sap.com/sap/support/notes/1639926","1639926")</f>
        <v>1639926</v>
      </c>
      <c r="E640">
        <v>6</v>
      </c>
      <c r="F640" t="s">
        <v>1399</v>
      </c>
    </row>
    <row r="641" spans="1:6" x14ac:dyDescent="0.25">
      <c r="A641" t="s">
        <v>1134</v>
      </c>
      <c r="B641" t="s">
        <v>80</v>
      </c>
      <c r="C641" t="s">
        <v>32</v>
      </c>
      <c r="D641" t="str">
        <f>HYPERLINK("http://service.sap.com/sap/support/notes/1640591","1640591")</f>
        <v>1640591</v>
      </c>
      <c r="E641">
        <v>4</v>
      </c>
      <c r="F641" t="s">
        <v>1400</v>
      </c>
    </row>
    <row r="642" spans="1:6" x14ac:dyDescent="0.25">
      <c r="A642" t="s">
        <v>1134</v>
      </c>
      <c r="B642" t="s">
        <v>80</v>
      </c>
      <c r="C642" t="s">
        <v>32</v>
      </c>
      <c r="D642" t="str">
        <f>HYPERLINK("http://service.sap.com/sap/support/notes/1641749","1641749")</f>
        <v>1641749</v>
      </c>
      <c r="E642">
        <v>3</v>
      </c>
      <c r="F642" t="s">
        <v>1401</v>
      </c>
    </row>
    <row r="643" spans="1:6" x14ac:dyDescent="0.25">
      <c r="A643" t="s">
        <v>1134</v>
      </c>
      <c r="B643" t="s">
        <v>80</v>
      </c>
      <c r="C643" t="s">
        <v>32</v>
      </c>
      <c r="D643" t="str">
        <f>HYPERLINK("http://service.sap.com/sap/support/notes/1644708","1644708")</f>
        <v>1644708</v>
      </c>
      <c r="E643">
        <v>6</v>
      </c>
      <c r="F643" t="s">
        <v>1402</v>
      </c>
    </row>
    <row r="644" spans="1:6" x14ac:dyDescent="0.25">
      <c r="A644" t="s">
        <v>1134</v>
      </c>
      <c r="B644" t="s">
        <v>80</v>
      </c>
      <c r="C644" t="s">
        <v>32</v>
      </c>
      <c r="D644" t="str">
        <f>HYPERLINK("http://service.sap.com/sap/support/notes/1647631","1647631")</f>
        <v>1647631</v>
      </c>
      <c r="E644">
        <v>3</v>
      </c>
      <c r="F644" t="s">
        <v>1403</v>
      </c>
    </row>
    <row r="645" spans="1:6" x14ac:dyDescent="0.25">
      <c r="A645" t="s">
        <v>1134</v>
      </c>
      <c r="B645" t="s">
        <v>80</v>
      </c>
      <c r="C645" t="s">
        <v>32</v>
      </c>
      <c r="D645" t="str">
        <f>HYPERLINK("http://service.sap.com/sap/support/notes/1649716","1649716")</f>
        <v>1649716</v>
      </c>
      <c r="E645">
        <v>2</v>
      </c>
      <c r="F645" t="s">
        <v>1404</v>
      </c>
    </row>
    <row r="646" spans="1:6" x14ac:dyDescent="0.25">
      <c r="A646" t="s">
        <v>1134</v>
      </c>
      <c r="B646" t="s">
        <v>80</v>
      </c>
      <c r="C646" t="s">
        <v>32</v>
      </c>
      <c r="D646" t="str">
        <f>HYPERLINK("http://service.sap.com/sap/support/notes/1650908","1650908")</f>
        <v>1650908</v>
      </c>
      <c r="E646">
        <v>1</v>
      </c>
      <c r="F646" t="s">
        <v>1405</v>
      </c>
    </row>
    <row r="647" spans="1:6" x14ac:dyDescent="0.25">
      <c r="A647" t="s">
        <v>1134</v>
      </c>
      <c r="B647" t="s">
        <v>80</v>
      </c>
      <c r="C647" t="s">
        <v>32</v>
      </c>
      <c r="D647" t="str">
        <f>HYPERLINK("http://service.sap.com/sap/support/notes/1652187","1652187")</f>
        <v>1652187</v>
      </c>
      <c r="E647">
        <v>1</v>
      </c>
      <c r="F647" t="s">
        <v>1406</v>
      </c>
    </row>
    <row r="648" spans="1:6" x14ac:dyDescent="0.25">
      <c r="A648" t="s">
        <v>1134</v>
      </c>
      <c r="B648" t="s">
        <v>80</v>
      </c>
      <c r="C648" t="s">
        <v>32</v>
      </c>
      <c r="D648" t="str">
        <f>HYPERLINK("http://service.sap.com/sap/support/notes/1652189","1652189")</f>
        <v>1652189</v>
      </c>
      <c r="E648">
        <v>1</v>
      </c>
      <c r="F648" t="s">
        <v>1407</v>
      </c>
    </row>
    <row r="649" spans="1:6" x14ac:dyDescent="0.25">
      <c r="A649" t="s">
        <v>1134</v>
      </c>
      <c r="B649" t="s">
        <v>80</v>
      </c>
      <c r="C649" t="s">
        <v>32</v>
      </c>
      <c r="D649" t="str">
        <f>HYPERLINK("http://service.sap.com/sap/support/notes/1652614","1652614")</f>
        <v>1652614</v>
      </c>
      <c r="E649">
        <v>2</v>
      </c>
      <c r="F649" t="s">
        <v>1408</v>
      </c>
    </row>
    <row r="650" spans="1:6" x14ac:dyDescent="0.25">
      <c r="A650" t="s">
        <v>1134</v>
      </c>
      <c r="B650" t="s">
        <v>80</v>
      </c>
      <c r="C650" t="s">
        <v>32</v>
      </c>
      <c r="D650" t="str">
        <f>HYPERLINK("http://service.sap.com/sap/support/notes/1652683","1652683")</f>
        <v>1652683</v>
      </c>
      <c r="E650">
        <v>1</v>
      </c>
      <c r="F650" t="s">
        <v>1409</v>
      </c>
    </row>
    <row r="651" spans="1:6" x14ac:dyDescent="0.25">
      <c r="A651" t="s">
        <v>1134</v>
      </c>
      <c r="B651" t="s">
        <v>80</v>
      </c>
      <c r="C651" t="s">
        <v>32</v>
      </c>
      <c r="D651" t="str">
        <f>HYPERLINK("http://service.sap.com/sap/support/notes/1655286","1655286")</f>
        <v>1655286</v>
      </c>
      <c r="E651">
        <v>1</v>
      </c>
      <c r="F651" t="s">
        <v>1410</v>
      </c>
    </row>
    <row r="652" spans="1:6" x14ac:dyDescent="0.25">
      <c r="A652" t="s">
        <v>1134</v>
      </c>
      <c r="B652" t="s">
        <v>81</v>
      </c>
      <c r="C652" t="s">
        <v>82</v>
      </c>
      <c r="D652" t="str">
        <f>HYPERLINK("http://service.sap.com/sap/support/notes/1648762","1648762")</f>
        <v>1648762</v>
      </c>
      <c r="E652">
        <v>1</v>
      </c>
      <c r="F652" t="s">
        <v>1411</v>
      </c>
    </row>
    <row r="653" spans="1:6" x14ac:dyDescent="0.25">
      <c r="A653" t="s">
        <v>1134</v>
      </c>
      <c r="B653" t="s">
        <v>81</v>
      </c>
      <c r="C653" t="s">
        <v>82</v>
      </c>
      <c r="D653" t="str">
        <f>HYPERLINK("http://service.sap.com/sap/support/notes/1652188","1652188")</f>
        <v>1652188</v>
      </c>
      <c r="E653">
        <v>1</v>
      </c>
      <c r="F653" t="s">
        <v>1412</v>
      </c>
    </row>
    <row r="654" spans="1:6" x14ac:dyDescent="0.25">
      <c r="A654" t="s">
        <v>1134</v>
      </c>
      <c r="B654" t="s">
        <v>81</v>
      </c>
      <c r="C654" t="s">
        <v>82</v>
      </c>
      <c r="D654" t="str">
        <f>HYPERLINK("http://service.sap.com/sap/support/notes/1652190","1652190")</f>
        <v>1652190</v>
      </c>
      <c r="E654">
        <v>1</v>
      </c>
      <c r="F654" t="s">
        <v>1413</v>
      </c>
    </row>
    <row r="655" spans="1:6" x14ac:dyDescent="0.25">
      <c r="A655" t="s">
        <v>1134</v>
      </c>
      <c r="B655" t="s">
        <v>81</v>
      </c>
      <c r="C655" t="s">
        <v>82</v>
      </c>
      <c r="D655" t="str">
        <f>HYPERLINK("http://service.sap.com/sap/support/notes/1652678","1652678")</f>
        <v>1652678</v>
      </c>
      <c r="E655">
        <v>2</v>
      </c>
      <c r="F655" t="s">
        <v>1414</v>
      </c>
    </row>
    <row r="656" spans="1:6" x14ac:dyDescent="0.25">
      <c r="A656" t="s">
        <v>1134</v>
      </c>
      <c r="B656" t="s">
        <v>83</v>
      </c>
      <c r="C656" t="s">
        <v>84</v>
      </c>
      <c r="D656" t="str">
        <f>HYPERLINK("http://service.sap.com/sap/support/notes/815445","815445")</f>
        <v>815445</v>
      </c>
      <c r="E656">
        <v>1</v>
      </c>
      <c r="F656" t="s">
        <v>85</v>
      </c>
    </row>
    <row r="657" spans="1:6" x14ac:dyDescent="0.25">
      <c r="A657" t="s">
        <v>1134</v>
      </c>
      <c r="B657" t="s">
        <v>83</v>
      </c>
      <c r="C657" t="s">
        <v>84</v>
      </c>
      <c r="D657" t="str">
        <f>HYPERLINK("http://service.sap.com/sap/support/notes/1255582","1255582")</f>
        <v>1255582</v>
      </c>
      <c r="E657">
        <v>1</v>
      </c>
      <c r="F657" t="s">
        <v>1415</v>
      </c>
    </row>
    <row r="658" spans="1:6" x14ac:dyDescent="0.25">
      <c r="A658" t="s">
        <v>1134</v>
      </c>
      <c r="B658" t="s">
        <v>83</v>
      </c>
      <c r="C658" t="s">
        <v>84</v>
      </c>
      <c r="D658" t="str">
        <f>HYPERLINK("http://service.sap.com/sap/support/notes/1631881","1631881")</f>
        <v>1631881</v>
      </c>
      <c r="E658">
        <v>3</v>
      </c>
      <c r="F658" t="s">
        <v>1416</v>
      </c>
    </row>
    <row r="659" spans="1:6" x14ac:dyDescent="0.25">
      <c r="A659" t="s">
        <v>1134</v>
      </c>
      <c r="B659" t="s">
        <v>83</v>
      </c>
      <c r="C659" t="s">
        <v>84</v>
      </c>
      <c r="D659" t="str">
        <f>HYPERLINK("http://service.sap.com/sap/support/notes/1631897","1631897")</f>
        <v>1631897</v>
      </c>
      <c r="E659">
        <v>3</v>
      </c>
      <c r="F659" t="s">
        <v>380</v>
      </c>
    </row>
    <row r="660" spans="1:6" x14ac:dyDescent="0.25">
      <c r="A660" t="s">
        <v>1134</v>
      </c>
      <c r="B660" t="s">
        <v>83</v>
      </c>
      <c r="C660" t="s">
        <v>84</v>
      </c>
      <c r="D660" t="str">
        <f>HYPERLINK("http://service.sap.com/sap/support/notes/1648627","1648627")</f>
        <v>1648627</v>
      </c>
      <c r="E660">
        <v>1</v>
      </c>
      <c r="F660" t="s">
        <v>1417</v>
      </c>
    </row>
    <row r="661" spans="1:6" x14ac:dyDescent="0.25">
      <c r="A661" t="s">
        <v>1134</v>
      </c>
      <c r="B661" t="s">
        <v>83</v>
      </c>
      <c r="C661" t="s">
        <v>84</v>
      </c>
      <c r="D661" t="str">
        <f>HYPERLINK("http://service.sap.com/sap/support/notes/1651217","1651217")</f>
        <v>1651217</v>
      </c>
      <c r="E661">
        <v>1</v>
      </c>
      <c r="F661" t="s">
        <v>1418</v>
      </c>
    </row>
    <row r="662" spans="1:6" x14ac:dyDescent="0.25">
      <c r="A662" t="s">
        <v>1134</v>
      </c>
      <c r="B662" t="s">
        <v>83</v>
      </c>
      <c r="C662" t="s">
        <v>84</v>
      </c>
      <c r="D662" t="str">
        <f>HYPERLINK("http://service.sap.com/sap/support/notes/1655288","1655288")</f>
        <v>1655288</v>
      </c>
      <c r="E662">
        <v>1</v>
      </c>
      <c r="F662" t="s">
        <v>1419</v>
      </c>
    </row>
    <row r="663" spans="1:6" x14ac:dyDescent="0.25">
      <c r="A663" t="s">
        <v>1134</v>
      </c>
      <c r="B663" t="s">
        <v>89</v>
      </c>
      <c r="C663" t="s">
        <v>34</v>
      </c>
      <c r="D663" t="str">
        <f>HYPERLINK("http://service.sap.com/sap/support/notes/1500544","1500544")</f>
        <v>1500544</v>
      </c>
      <c r="E663">
        <v>2</v>
      </c>
      <c r="F663" t="s">
        <v>1420</v>
      </c>
    </row>
    <row r="664" spans="1:6" x14ac:dyDescent="0.25">
      <c r="A664" t="s">
        <v>1134</v>
      </c>
      <c r="B664" t="s">
        <v>89</v>
      </c>
      <c r="C664" t="s">
        <v>34</v>
      </c>
      <c r="D664" t="str">
        <f>HYPERLINK("http://service.sap.com/sap/support/notes/1595748","1595748")</f>
        <v>1595748</v>
      </c>
      <c r="E664">
        <v>4</v>
      </c>
      <c r="F664" t="s">
        <v>1421</v>
      </c>
    </row>
    <row r="665" spans="1:6" x14ac:dyDescent="0.25">
      <c r="A665" t="s">
        <v>1134</v>
      </c>
      <c r="B665" t="s">
        <v>89</v>
      </c>
      <c r="C665" t="s">
        <v>34</v>
      </c>
      <c r="D665" t="str">
        <f>HYPERLINK("http://service.sap.com/sap/support/notes/1634251","1634251")</f>
        <v>1634251</v>
      </c>
      <c r="E665">
        <v>3</v>
      </c>
      <c r="F665" t="s">
        <v>1422</v>
      </c>
    </row>
    <row r="666" spans="1:6" x14ac:dyDescent="0.25">
      <c r="A666" t="s">
        <v>1134</v>
      </c>
      <c r="B666" t="s">
        <v>89</v>
      </c>
      <c r="C666" t="s">
        <v>34</v>
      </c>
      <c r="D666" t="str">
        <f>HYPERLINK("http://service.sap.com/sap/support/notes/1637099","1637099")</f>
        <v>1637099</v>
      </c>
      <c r="E666">
        <v>3</v>
      </c>
      <c r="F666" t="s">
        <v>898</v>
      </c>
    </row>
    <row r="667" spans="1:6" x14ac:dyDescent="0.25">
      <c r="A667" t="s">
        <v>1134</v>
      </c>
      <c r="B667" t="s">
        <v>89</v>
      </c>
      <c r="C667" t="s">
        <v>34</v>
      </c>
      <c r="D667" t="str">
        <f>HYPERLINK("http://service.sap.com/sap/support/notes/1638476","1638476")</f>
        <v>1638476</v>
      </c>
      <c r="E667">
        <v>2</v>
      </c>
      <c r="F667" t="s">
        <v>1423</v>
      </c>
    </row>
    <row r="668" spans="1:6" x14ac:dyDescent="0.25">
      <c r="A668" t="s">
        <v>1134</v>
      </c>
      <c r="B668" t="s">
        <v>89</v>
      </c>
      <c r="C668" t="s">
        <v>34</v>
      </c>
      <c r="D668" t="str">
        <f>HYPERLINK("http://service.sap.com/sap/support/notes/1639306","1639306")</f>
        <v>1639306</v>
      </c>
      <c r="E668">
        <v>2</v>
      </c>
      <c r="F668" t="s">
        <v>1424</v>
      </c>
    </row>
    <row r="669" spans="1:6" x14ac:dyDescent="0.25">
      <c r="A669" t="s">
        <v>1134</v>
      </c>
      <c r="B669" t="s">
        <v>89</v>
      </c>
      <c r="C669" t="s">
        <v>34</v>
      </c>
      <c r="D669" t="str">
        <f>HYPERLINK("http://service.sap.com/sap/support/notes/1641671","1641671")</f>
        <v>1641671</v>
      </c>
      <c r="E669">
        <v>1</v>
      </c>
      <c r="F669" t="s">
        <v>1425</v>
      </c>
    </row>
    <row r="670" spans="1:6" x14ac:dyDescent="0.25">
      <c r="A670" t="s">
        <v>1134</v>
      </c>
      <c r="B670" t="s">
        <v>89</v>
      </c>
      <c r="C670" t="s">
        <v>34</v>
      </c>
      <c r="D670" t="str">
        <f>HYPERLINK("http://service.sap.com/sap/support/notes/1641858","1641858")</f>
        <v>1641858</v>
      </c>
      <c r="E670">
        <v>1</v>
      </c>
      <c r="F670" t="s">
        <v>1426</v>
      </c>
    </row>
    <row r="671" spans="1:6" x14ac:dyDescent="0.25">
      <c r="A671" t="s">
        <v>1134</v>
      </c>
      <c r="B671" t="s">
        <v>89</v>
      </c>
      <c r="C671" t="s">
        <v>34</v>
      </c>
      <c r="D671" t="str">
        <f>HYPERLINK("http://service.sap.com/sap/support/notes/1644657","1644657")</f>
        <v>1644657</v>
      </c>
      <c r="E671">
        <v>3</v>
      </c>
      <c r="F671" t="s">
        <v>1427</v>
      </c>
    </row>
    <row r="672" spans="1:6" x14ac:dyDescent="0.25">
      <c r="A672" t="s">
        <v>1134</v>
      </c>
      <c r="B672" t="s">
        <v>89</v>
      </c>
      <c r="C672" t="s">
        <v>34</v>
      </c>
      <c r="D672" t="str">
        <f>HYPERLINK("http://service.sap.com/sap/support/notes/1645061","1645061")</f>
        <v>1645061</v>
      </c>
      <c r="E672">
        <v>2</v>
      </c>
      <c r="F672" t="s">
        <v>1428</v>
      </c>
    </row>
    <row r="673" spans="1:6" x14ac:dyDescent="0.25">
      <c r="A673" t="s">
        <v>1134</v>
      </c>
      <c r="B673" t="s">
        <v>89</v>
      </c>
      <c r="C673" t="s">
        <v>34</v>
      </c>
      <c r="D673" t="str">
        <f>HYPERLINK("http://service.sap.com/sap/support/notes/1646606","1646606")</f>
        <v>1646606</v>
      </c>
      <c r="E673">
        <v>4</v>
      </c>
      <c r="F673" t="s">
        <v>1429</v>
      </c>
    </row>
    <row r="674" spans="1:6" x14ac:dyDescent="0.25">
      <c r="A674" t="s">
        <v>1134</v>
      </c>
      <c r="B674" t="s">
        <v>89</v>
      </c>
      <c r="C674" t="s">
        <v>34</v>
      </c>
      <c r="D674" t="str">
        <f>HYPERLINK("http://service.sap.com/sap/support/notes/1647677","1647677")</f>
        <v>1647677</v>
      </c>
      <c r="E674">
        <v>7</v>
      </c>
      <c r="F674" t="s">
        <v>1430</v>
      </c>
    </row>
    <row r="675" spans="1:6" x14ac:dyDescent="0.25">
      <c r="A675" t="s">
        <v>1134</v>
      </c>
      <c r="B675" t="s">
        <v>89</v>
      </c>
      <c r="C675" t="s">
        <v>34</v>
      </c>
      <c r="D675" t="str">
        <f>HYPERLINK("http://service.sap.com/sap/support/notes/1648659","1648659")</f>
        <v>1648659</v>
      </c>
      <c r="E675">
        <v>1</v>
      </c>
      <c r="F675" t="s">
        <v>1431</v>
      </c>
    </row>
    <row r="676" spans="1:6" x14ac:dyDescent="0.25">
      <c r="A676" t="s">
        <v>1134</v>
      </c>
      <c r="B676" t="s">
        <v>89</v>
      </c>
      <c r="C676" t="s">
        <v>34</v>
      </c>
      <c r="D676" t="str">
        <f>HYPERLINK("http://service.sap.com/sap/support/notes/1648949","1648949")</f>
        <v>1648949</v>
      </c>
      <c r="E676">
        <v>2</v>
      </c>
      <c r="F676" t="s">
        <v>1432</v>
      </c>
    </row>
    <row r="677" spans="1:6" x14ac:dyDescent="0.25">
      <c r="A677" t="s">
        <v>1134</v>
      </c>
      <c r="B677" t="s">
        <v>89</v>
      </c>
      <c r="C677" t="s">
        <v>34</v>
      </c>
      <c r="D677" t="str">
        <f>HYPERLINK("http://service.sap.com/sap/support/notes/1649302","1649302")</f>
        <v>1649302</v>
      </c>
      <c r="E677">
        <v>1</v>
      </c>
      <c r="F677" t="s">
        <v>1433</v>
      </c>
    </row>
    <row r="678" spans="1:6" x14ac:dyDescent="0.25">
      <c r="A678" t="s">
        <v>1134</v>
      </c>
      <c r="B678" t="s">
        <v>89</v>
      </c>
      <c r="C678" t="s">
        <v>34</v>
      </c>
      <c r="D678" t="str">
        <f>HYPERLINK("http://service.sap.com/sap/support/notes/1649922","1649922")</f>
        <v>1649922</v>
      </c>
      <c r="E678">
        <v>3</v>
      </c>
      <c r="F678" t="s">
        <v>1434</v>
      </c>
    </row>
    <row r="679" spans="1:6" x14ac:dyDescent="0.25">
      <c r="A679" t="s">
        <v>1134</v>
      </c>
      <c r="B679" t="s">
        <v>89</v>
      </c>
      <c r="C679" t="s">
        <v>34</v>
      </c>
      <c r="D679" t="str">
        <f>HYPERLINK("http://service.sap.com/sap/support/notes/1649955","1649955")</f>
        <v>1649955</v>
      </c>
      <c r="E679">
        <v>1</v>
      </c>
      <c r="F679" t="s">
        <v>1435</v>
      </c>
    </row>
    <row r="680" spans="1:6" x14ac:dyDescent="0.25">
      <c r="A680" t="s">
        <v>1134</v>
      </c>
      <c r="B680" t="s">
        <v>89</v>
      </c>
      <c r="C680" t="s">
        <v>34</v>
      </c>
      <c r="D680" t="str">
        <f>HYPERLINK("http://service.sap.com/sap/support/notes/1650351","1650351")</f>
        <v>1650351</v>
      </c>
      <c r="E680">
        <v>1</v>
      </c>
      <c r="F680" t="s">
        <v>1436</v>
      </c>
    </row>
    <row r="681" spans="1:6" x14ac:dyDescent="0.25">
      <c r="A681" t="s">
        <v>1134</v>
      </c>
      <c r="B681" t="s">
        <v>89</v>
      </c>
      <c r="C681" t="s">
        <v>34</v>
      </c>
      <c r="D681" t="str">
        <f>HYPERLINK("http://service.sap.com/sap/support/notes/1652269","1652269")</f>
        <v>1652269</v>
      </c>
      <c r="E681">
        <v>2</v>
      </c>
      <c r="F681" t="s">
        <v>1437</v>
      </c>
    </row>
    <row r="682" spans="1:6" x14ac:dyDescent="0.25">
      <c r="A682" t="s">
        <v>1134</v>
      </c>
      <c r="B682" t="s">
        <v>89</v>
      </c>
      <c r="C682" t="s">
        <v>34</v>
      </c>
      <c r="D682" t="str">
        <f>HYPERLINK("http://service.sap.com/sap/support/notes/1652713","1652713")</f>
        <v>1652713</v>
      </c>
      <c r="E682">
        <v>6</v>
      </c>
      <c r="F682" t="s">
        <v>1438</v>
      </c>
    </row>
    <row r="683" spans="1:6" x14ac:dyDescent="0.25">
      <c r="A683" t="s">
        <v>1134</v>
      </c>
      <c r="B683" t="s">
        <v>89</v>
      </c>
      <c r="C683" t="s">
        <v>34</v>
      </c>
      <c r="D683" t="str">
        <f>HYPERLINK("http://service.sap.com/sap/support/notes/1654796","1654796")</f>
        <v>1654796</v>
      </c>
      <c r="E683">
        <v>3</v>
      </c>
      <c r="F683" t="s">
        <v>1439</v>
      </c>
    </row>
    <row r="684" spans="1:6" x14ac:dyDescent="0.25">
      <c r="A684" t="s">
        <v>1134</v>
      </c>
      <c r="B684" t="s">
        <v>91</v>
      </c>
      <c r="C684" t="s">
        <v>92</v>
      </c>
      <c r="D684" t="str">
        <f>HYPERLINK("http://service.sap.com/sap/support/notes/1060819","1060819")</f>
        <v>1060819</v>
      </c>
      <c r="E684">
        <v>1</v>
      </c>
      <c r="F684" t="s">
        <v>93</v>
      </c>
    </row>
    <row r="685" spans="1:6" x14ac:dyDescent="0.25">
      <c r="A685" t="s">
        <v>1134</v>
      </c>
      <c r="B685" t="s">
        <v>91</v>
      </c>
      <c r="C685" t="s">
        <v>92</v>
      </c>
      <c r="D685" t="str">
        <f>HYPERLINK("http://service.sap.com/sap/support/notes/1610020","1610020")</f>
        <v>1610020</v>
      </c>
      <c r="E685">
        <v>4</v>
      </c>
      <c r="F685" t="s">
        <v>1440</v>
      </c>
    </row>
    <row r="686" spans="1:6" x14ac:dyDescent="0.25">
      <c r="A686" t="s">
        <v>1134</v>
      </c>
      <c r="B686" t="s">
        <v>91</v>
      </c>
      <c r="C686" t="s">
        <v>92</v>
      </c>
      <c r="D686" t="str">
        <f>HYPERLINK("http://service.sap.com/sap/support/notes/1623402","1623402")</f>
        <v>1623402</v>
      </c>
      <c r="E686">
        <v>2</v>
      </c>
      <c r="F686" t="s">
        <v>1441</v>
      </c>
    </row>
    <row r="687" spans="1:6" x14ac:dyDescent="0.25">
      <c r="A687" t="s">
        <v>1134</v>
      </c>
      <c r="B687" t="s">
        <v>91</v>
      </c>
      <c r="C687" t="s">
        <v>92</v>
      </c>
      <c r="D687" t="str">
        <f>HYPERLINK("http://service.sap.com/sap/support/notes/1632251","1632251")</f>
        <v>1632251</v>
      </c>
      <c r="E687">
        <v>2</v>
      </c>
      <c r="F687" t="s">
        <v>1442</v>
      </c>
    </row>
    <row r="688" spans="1:6" x14ac:dyDescent="0.25">
      <c r="A688" t="s">
        <v>1134</v>
      </c>
      <c r="B688" t="s">
        <v>91</v>
      </c>
      <c r="C688" t="s">
        <v>92</v>
      </c>
      <c r="D688" t="str">
        <f>HYPERLINK("http://service.sap.com/sap/support/notes/1634834","1634834")</f>
        <v>1634834</v>
      </c>
      <c r="E688">
        <v>5</v>
      </c>
      <c r="F688" t="s">
        <v>1443</v>
      </c>
    </row>
    <row r="689" spans="1:6" x14ac:dyDescent="0.25">
      <c r="A689" t="s">
        <v>1134</v>
      </c>
      <c r="B689" t="s">
        <v>91</v>
      </c>
      <c r="C689" t="s">
        <v>92</v>
      </c>
      <c r="D689" t="str">
        <f>HYPERLINK("http://service.sap.com/sap/support/notes/1638999","1638999")</f>
        <v>1638999</v>
      </c>
      <c r="E689">
        <v>4</v>
      </c>
      <c r="F689" t="s">
        <v>1444</v>
      </c>
    </row>
    <row r="690" spans="1:6" x14ac:dyDescent="0.25">
      <c r="A690" t="s">
        <v>1134</v>
      </c>
      <c r="B690" t="s">
        <v>91</v>
      </c>
      <c r="C690" t="s">
        <v>92</v>
      </c>
      <c r="D690" t="str">
        <f>HYPERLINK("http://service.sap.com/sap/support/notes/1639864","1639864")</f>
        <v>1639864</v>
      </c>
      <c r="E690">
        <v>2</v>
      </c>
      <c r="F690" t="s">
        <v>1445</v>
      </c>
    </row>
    <row r="691" spans="1:6" x14ac:dyDescent="0.25">
      <c r="A691" t="s">
        <v>1134</v>
      </c>
      <c r="B691" t="s">
        <v>91</v>
      </c>
      <c r="C691" t="s">
        <v>92</v>
      </c>
      <c r="D691" t="str">
        <f>HYPERLINK("http://service.sap.com/sap/support/notes/1643232","1643232")</f>
        <v>1643232</v>
      </c>
      <c r="E691">
        <v>4</v>
      </c>
      <c r="F691" t="s">
        <v>1446</v>
      </c>
    </row>
    <row r="692" spans="1:6" x14ac:dyDescent="0.25">
      <c r="A692" t="s">
        <v>1134</v>
      </c>
      <c r="B692" t="s">
        <v>91</v>
      </c>
      <c r="C692" t="s">
        <v>92</v>
      </c>
      <c r="D692" t="str">
        <f>HYPERLINK("http://service.sap.com/sap/support/notes/1645567","1645567")</f>
        <v>1645567</v>
      </c>
      <c r="E692">
        <v>3</v>
      </c>
      <c r="F692" t="s">
        <v>1447</v>
      </c>
    </row>
    <row r="693" spans="1:6" x14ac:dyDescent="0.25">
      <c r="A693" t="s">
        <v>1134</v>
      </c>
      <c r="B693" t="s">
        <v>91</v>
      </c>
      <c r="C693" t="s">
        <v>92</v>
      </c>
      <c r="D693" t="str">
        <f>HYPERLINK("http://service.sap.com/sap/support/notes/1651704","1651704")</f>
        <v>1651704</v>
      </c>
      <c r="E693">
        <v>2</v>
      </c>
      <c r="F693" t="s">
        <v>1448</v>
      </c>
    </row>
    <row r="694" spans="1:6" x14ac:dyDescent="0.25">
      <c r="A694" t="s">
        <v>1134</v>
      </c>
      <c r="B694" t="s">
        <v>91</v>
      </c>
      <c r="C694" t="s">
        <v>92</v>
      </c>
      <c r="D694" t="str">
        <f>HYPERLINK("http://service.sap.com/sap/support/notes/1655301","1655301")</f>
        <v>1655301</v>
      </c>
      <c r="E694">
        <v>1</v>
      </c>
      <c r="F694" t="s">
        <v>1449</v>
      </c>
    </row>
    <row r="695" spans="1:6" x14ac:dyDescent="0.25">
      <c r="A695" t="s">
        <v>1134</v>
      </c>
      <c r="B695" t="s">
        <v>608</v>
      </c>
      <c r="C695" t="s">
        <v>325</v>
      </c>
      <c r="D695" t="str">
        <f>HYPERLINK("http://service.sap.com/sap/support/notes/1629751","1629751")</f>
        <v>1629751</v>
      </c>
      <c r="E695">
        <v>3</v>
      </c>
      <c r="F695" t="s">
        <v>1450</v>
      </c>
    </row>
    <row r="696" spans="1:6" x14ac:dyDescent="0.25">
      <c r="A696" t="s">
        <v>1134</v>
      </c>
      <c r="B696" t="s">
        <v>94</v>
      </c>
      <c r="C696" t="s">
        <v>95</v>
      </c>
      <c r="D696" t="str">
        <f>HYPERLINK("http://service.sap.com/sap/support/notes/1627412","1627412")</f>
        <v>1627412</v>
      </c>
      <c r="E696">
        <v>2</v>
      </c>
      <c r="F696" t="s">
        <v>1451</v>
      </c>
    </row>
    <row r="697" spans="1:6" x14ac:dyDescent="0.25">
      <c r="A697" t="s">
        <v>1134</v>
      </c>
      <c r="B697" t="s">
        <v>94</v>
      </c>
      <c r="C697" t="s">
        <v>95</v>
      </c>
      <c r="D697" t="str">
        <f>HYPERLINK("http://service.sap.com/sap/support/notes/1652841","1652841")</f>
        <v>1652841</v>
      </c>
      <c r="E697">
        <v>1</v>
      </c>
      <c r="F697" t="s">
        <v>1452</v>
      </c>
    </row>
    <row r="698" spans="1:6" x14ac:dyDescent="0.25">
      <c r="A698" t="s">
        <v>1134</v>
      </c>
      <c r="B698" t="s">
        <v>94</v>
      </c>
      <c r="C698" t="s">
        <v>95</v>
      </c>
      <c r="D698" t="str">
        <f>HYPERLINK("http://service.sap.com/sap/support/notes/1655043","1655043")</f>
        <v>1655043</v>
      </c>
      <c r="E698">
        <v>1</v>
      </c>
      <c r="F698" t="s">
        <v>1453</v>
      </c>
    </row>
    <row r="699" spans="1:6" x14ac:dyDescent="0.25">
      <c r="A699" t="s">
        <v>1134</v>
      </c>
      <c r="B699" t="s">
        <v>306</v>
      </c>
      <c r="C699" t="s">
        <v>132</v>
      </c>
      <c r="D699" t="str">
        <f>HYPERLINK("http://service.sap.com/sap/support/notes/1555795","1555795")</f>
        <v>1555795</v>
      </c>
      <c r="E699">
        <v>2</v>
      </c>
      <c r="F699" t="s">
        <v>1454</v>
      </c>
    </row>
    <row r="700" spans="1:6" x14ac:dyDescent="0.25">
      <c r="A700" t="s">
        <v>1134</v>
      </c>
      <c r="B700" t="s">
        <v>306</v>
      </c>
      <c r="C700" t="s">
        <v>132</v>
      </c>
      <c r="D700" t="str">
        <f>HYPERLINK("http://service.sap.com/sap/support/notes/1623001","1623001")</f>
        <v>1623001</v>
      </c>
      <c r="E700">
        <v>2</v>
      </c>
      <c r="F700" t="s">
        <v>1455</v>
      </c>
    </row>
    <row r="701" spans="1:6" x14ac:dyDescent="0.25">
      <c r="A701" t="s">
        <v>1134</v>
      </c>
      <c r="B701" t="s">
        <v>307</v>
      </c>
      <c r="C701" t="s">
        <v>308</v>
      </c>
      <c r="D701" t="str">
        <f>HYPERLINK("http://service.sap.com/sap/support/notes/1578024","1578024")</f>
        <v>1578024</v>
      </c>
      <c r="E701">
        <v>5</v>
      </c>
      <c r="F701" t="s">
        <v>1456</v>
      </c>
    </row>
    <row r="702" spans="1:6" x14ac:dyDescent="0.25">
      <c r="A702" t="s">
        <v>1134</v>
      </c>
      <c r="B702" t="s">
        <v>96</v>
      </c>
      <c r="C702" t="s">
        <v>97</v>
      </c>
      <c r="D702" t="str">
        <f>HYPERLINK("http://service.sap.com/sap/support/notes/1641488","1641488")</f>
        <v>1641488</v>
      </c>
      <c r="E702">
        <v>2</v>
      </c>
      <c r="F702" t="s">
        <v>1457</v>
      </c>
    </row>
    <row r="703" spans="1:6" x14ac:dyDescent="0.25">
      <c r="A703" t="s">
        <v>1134</v>
      </c>
      <c r="B703" t="s">
        <v>96</v>
      </c>
      <c r="C703" t="s">
        <v>97</v>
      </c>
      <c r="D703" t="str">
        <f>HYPERLINK("http://service.sap.com/sap/support/notes/1648683","1648683")</f>
        <v>1648683</v>
      </c>
      <c r="E703">
        <v>1</v>
      </c>
      <c r="F703" t="s">
        <v>1458</v>
      </c>
    </row>
    <row r="704" spans="1:6" x14ac:dyDescent="0.25">
      <c r="A704" t="s">
        <v>1134</v>
      </c>
      <c r="B704" t="s">
        <v>96</v>
      </c>
      <c r="C704" t="s">
        <v>97</v>
      </c>
      <c r="D704" t="str">
        <f>HYPERLINK("http://service.sap.com/sap/support/notes/1650417","1650417")</f>
        <v>1650417</v>
      </c>
      <c r="E704">
        <v>1</v>
      </c>
      <c r="F704" t="s">
        <v>1459</v>
      </c>
    </row>
    <row r="705" spans="1:6" x14ac:dyDescent="0.25">
      <c r="A705" t="s">
        <v>1134</v>
      </c>
      <c r="B705" t="s">
        <v>96</v>
      </c>
      <c r="C705" t="s">
        <v>97</v>
      </c>
      <c r="D705" t="str">
        <f>HYPERLINK("http://service.sap.com/sap/support/notes/1650918","1650918")</f>
        <v>1650918</v>
      </c>
      <c r="E705">
        <v>2</v>
      </c>
      <c r="F705" t="s">
        <v>1460</v>
      </c>
    </row>
    <row r="706" spans="1:6" x14ac:dyDescent="0.25">
      <c r="A706" t="s">
        <v>1134</v>
      </c>
      <c r="B706" t="s">
        <v>96</v>
      </c>
      <c r="C706" t="s">
        <v>97</v>
      </c>
      <c r="D706" t="str">
        <f>HYPERLINK("http://service.sap.com/sap/support/notes/1653381","1653381")</f>
        <v>1653381</v>
      </c>
      <c r="E706">
        <v>1</v>
      </c>
      <c r="F706" t="s">
        <v>1461</v>
      </c>
    </row>
    <row r="707" spans="1:6" x14ac:dyDescent="0.25">
      <c r="A707" t="s">
        <v>1134</v>
      </c>
      <c r="B707" t="s">
        <v>98</v>
      </c>
      <c r="C707" t="s">
        <v>99</v>
      </c>
      <c r="D707" t="str">
        <f>HYPERLINK("http://service.sap.com/sap/support/notes/1591473","1591473")</f>
        <v>1591473</v>
      </c>
      <c r="E707">
        <v>6</v>
      </c>
      <c r="F707" t="s">
        <v>1462</v>
      </c>
    </row>
    <row r="708" spans="1:6" x14ac:dyDescent="0.25">
      <c r="A708" t="s">
        <v>1134</v>
      </c>
      <c r="B708" t="s">
        <v>98</v>
      </c>
      <c r="C708" t="s">
        <v>99</v>
      </c>
      <c r="D708" t="str">
        <f>HYPERLINK("http://service.sap.com/sap/support/notes/1596552","1596552")</f>
        <v>1596552</v>
      </c>
      <c r="E708">
        <v>2</v>
      </c>
      <c r="F708" t="s">
        <v>1463</v>
      </c>
    </row>
    <row r="709" spans="1:6" x14ac:dyDescent="0.25">
      <c r="A709" t="s">
        <v>1134</v>
      </c>
      <c r="B709" t="s">
        <v>98</v>
      </c>
      <c r="C709" t="s">
        <v>99</v>
      </c>
      <c r="D709" t="str">
        <f>HYPERLINK("http://service.sap.com/sap/support/notes/1615907","1615907")</f>
        <v>1615907</v>
      </c>
      <c r="E709">
        <v>5</v>
      </c>
      <c r="F709" t="s">
        <v>1464</v>
      </c>
    </row>
    <row r="710" spans="1:6" x14ac:dyDescent="0.25">
      <c r="A710" t="s">
        <v>1134</v>
      </c>
      <c r="B710" t="s">
        <v>98</v>
      </c>
      <c r="C710" t="s">
        <v>99</v>
      </c>
      <c r="D710" t="str">
        <f>HYPERLINK("http://service.sap.com/sap/support/notes/1622459","1622459")</f>
        <v>1622459</v>
      </c>
      <c r="E710">
        <v>7</v>
      </c>
      <c r="F710" t="s">
        <v>1465</v>
      </c>
    </row>
    <row r="711" spans="1:6" x14ac:dyDescent="0.25">
      <c r="A711" t="s">
        <v>1134</v>
      </c>
      <c r="B711" t="s">
        <v>98</v>
      </c>
      <c r="C711" t="s">
        <v>99</v>
      </c>
      <c r="D711" t="str">
        <f>HYPERLINK("http://service.sap.com/sap/support/notes/1622927","1622927")</f>
        <v>1622927</v>
      </c>
      <c r="E711">
        <v>8</v>
      </c>
      <c r="F711" t="s">
        <v>1466</v>
      </c>
    </row>
    <row r="712" spans="1:6" x14ac:dyDescent="0.25">
      <c r="A712" t="s">
        <v>1134</v>
      </c>
      <c r="B712" t="s">
        <v>98</v>
      </c>
      <c r="C712" t="s">
        <v>99</v>
      </c>
      <c r="D712" t="str">
        <f>HYPERLINK("http://service.sap.com/sap/support/notes/1623950","1623950")</f>
        <v>1623950</v>
      </c>
      <c r="E712">
        <v>11</v>
      </c>
      <c r="F712" t="s">
        <v>1467</v>
      </c>
    </row>
    <row r="713" spans="1:6" x14ac:dyDescent="0.25">
      <c r="A713" t="s">
        <v>1134</v>
      </c>
      <c r="B713" t="s">
        <v>98</v>
      </c>
      <c r="C713" t="s">
        <v>99</v>
      </c>
      <c r="D713" t="str">
        <f>HYPERLINK("http://service.sap.com/sap/support/notes/1626383","1626383")</f>
        <v>1626383</v>
      </c>
      <c r="E713">
        <v>2</v>
      </c>
      <c r="F713" t="s">
        <v>1468</v>
      </c>
    </row>
    <row r="714" spans="1:6" x14ac:dyDescent="0.25">
      <c r="A714" t="s">
        <v>1134</v>
      </c>
      <c r="B714" t="s">
        <v>98</v>
      </c>
      <c r="C714" t="s">
        <v>99</v>
      </c>
      <c r="D714" t="str">
        <f>HYPERLINK("http://service.sap.com/sap/support/notes/1626721","1626721")</f>
        <v>1626721</v>
      </c>
      <c r="E714">
        <v>12</v>
      </c>
      <c r="F714" t="s">
        <v>1469</v>
      </c>
    </row>
    <row r="715" spans="1:6" x14ac:dyDescent="0.25">
      <c r="A715" t="s">
        <v>1134</v>
      </c>
      <c r="B715" t="s">
        <v>98</v>
      </c>
      <c r="C715" t="s">
        <v>99</v>
      </c>
      <c r="D715" t="str">
        <f>HYPERLINK("http://service.sap.com/sap/support/notes/1632295","1632295")</f>
        <v>1632295</v>
      </c>
      <c r="E715">
        <v>2</v>
      </c>
      <c r="F715" t="s">
        <v>1470</v>
      </c>
    </row>
    <row r="716" spans="1:6" x14ac:dyDescent="0.25">
      <c r="A716" t="s">
        <v>1134</v>
      </c>
      <c r="B716" t="s">
        <v>98</v>
      </c>
      <c r="C716" t="s">
        <v>99</v>
      </c>
      <c r="D716" t="str">
        <f>HYPERLINK("http://service.sap.com/sap/support/notes/1640297","1640297")</f>
        <v>1640297</v>
      </c>
      <c r="E716">
        <v>10</v>
      </c>
      <c r="F716" t="s">
        <v>1471</v>
      </c>
    </row>
    <row r="717" spans="1:6" x14ac:dyDescent="0.25">
      <c r="A717" t="s">
        <v>1134</v>
      </c>
      <c r="B717" t="s">
        <v>98</v>
      </c>
      <c r="C717" t="s">
        <v>99</v>
      </c>
      <c r="D717" t="str">
        <f>HYPERLINK("http://service.sap.com/sap/support/notes/1641910","1641910")</f>
        <v>1641910</v>
      </c>
      <c r="E717">
        <v>1</v>
      </c>
      <c r="F717" t="s">
        <v>1472</v>
      </c>
    </row>
    <row r="718" spans="1:6" x14ac:dyDescent="0.25">
      <c r="A718" t="s">
        <v>1134</v>
      </c>
      <c r="B718" t="s">
        <v>98</v>
      </c>
      <c r="C718" t="s">
        <v>99</v>
      </c>
      <c r="D718" t="str">
        <f>HYPERLINK("http://service.sap.com/sap/support/notes/1642983","1642983")</f>
        <v>1642983</v>
      </c>
      <c r="E718">
        <v>3</v>
      </c>
      <c r="F718" t="s">
        <v>1473</v>
      </c>
    </row>
    <row r="719" spans="1:6" x14ac:dyDescent="0.25">
      <c r="A719" t="s">
        <v>1134</v>
      </c>
      <c r="B719" t="s">
        <v>98</v>
      </c>
      <c r="C719" t="s">
        <v>99</v>
      </c>
      <c r="D719" t="str">
        <f>HYPERLINK("http://service.sap.com/sap/support/notes/1646029","1646029")</f>
        <v>1646029</v>
      </c>
      <c r="E719">
        <v>2</v>
      </c>
      <c r="F719" t="s">
        <v>1474</v>
      </c>
    </row>
    <row r="720" spans="1:6" x14ac:dyDescent="0.25">
      <c r="A720" t="s">
        <v>1134</v>
      </c>
      <c r="B720" t="s">
        <v>98</v>
      </c>
      <c r="C720" t="s">
        <v>99</v>
      </c>
      <c r="D720" t="str">
        <f>HYPERLINK("http://service.sap.com/sap/support/notes/1647413","1647413")</f>
        <v>1647413</v>
      </c>
      <c r="E720">
        <v>5</v>
      </c>
      <c r="F720" t="s">
        <v>1475</v>
      </c>
    </row>
    <row r="721" spans="1:6" x14ac:dyDescent="0.25">
      <c r="A721" t="s">
        <v>1134</v>
      </c>
      <c r="B721" t="s">
        <v>98</v>
      </c>
      <c r="C721" t="s">
        <v>99</v>
      </c>
      <c r="D721" t="str">
        <f>HYPERLINK("http://service.sap.com/sap/support/notes/1648997","1648997")</f>
        <v>1648997</v>
      </c>
      <c r="E721">
        <v>3</v>
      </c>
      <c r="F721" t="s">
        <v>1476</v>
      </c>
    </row>
    <row r="722" spans="1:6" x14ac:dyDescent="0.25">
      <c r="A722" t="s">
        <v>1134</v>
      </c>
      <c r="B722" t="s">
        <v>100</v>
      </c>
      <c r="C722" t="s">
        <v>36</v>
      </c>
      <c r="D722" t="str">
        <f>HYPERLINK("http://service.sap.com/sap/support/notes/1641478","1641478")</f>
        <v>1641478</v>
      </c>
      <c r="E722">
        <v>1</v>
      </c>
      <c r="F722" t="s">
        <v>1477</v>
      </c>
    </row>
    <row r="723" spans="1:6" x14ac:dyDescent="0.25">
      <c r="A723" t="s">
        <v>1134</v>
      </c>
      <c r="B723" t="s">
        <v>100</v>
      </c>
      <c r="C723" t="s">
        <v>36</v>
      </c>
      <c r="D723" t="str">
        <f>HYPERLINK("http://service.sap.com/sap/support/notes/1643504","1643504")</f>
        <v>1643504</v>
      </c>
      <c r="E723">
        <v>1</v>
      </c>
      <c r="F723" t="s">
        <v>1478</v>
      </c>
    </row>
    <row r="724" spans="1:6" x14ac:dyDescent="0.25">
      <c r="A724" t="s">
        <v>1134</v>
      </c>
      <c r="B724" t="s">
        <v>100</v>
      </c>
      <c r="C724" t="s">
        <v>36</v>
      </c>
      <c r="D724" t="str">
        <f>HYPERLINK("http://service.sap.com/sap/support/notes/1645602","1645602")</f>
        <v>1645602</v>
      </c>
      <c r="E724">
        <v>2</v>
      </c>
      <c r="F724" t="s">
        <v>1479</v>
      </c>
    </row>
    <row r="725" spans="1:6" x14ac:dyDescent="0.25">
      <c r="A725" t="s">
        <v>1134</v>
      </c>
      <c r="B725" t="s">
        <v>100</v>
      </c>
      <c r="C725" t="s">
        <v>36</v>
      </c>
      <c r="D725" t="str">
        <f>HYPERLINK("http://service.sap.com/sap/support/notes/1646603","1646603")</f>
        <v>1646603</v>
      </c>
      <c r="E725">
        <v>1</v>
      </c>
      <c r="F725" t="s">
        <v>1480</v>
      </c>
    </row>
    <row r="726" spans="1:6" x14ac:dyDescent="0.25">
      <c r="A726" t="s">
        <v>1134</v>
      </c>
      <c r="B726" t="s">
        <v>100</v>
      </c>
      <c r="C726" t="s">
        <v>36</v>
      </c>
      <c r="D726" t="str">
        <f>HYPERLINK("http://service.sap.com/sap/support/notes/1647565","1647565")</f>
        <v>1647565</v>
      </c>
      <c r="E726">
        <v>2</v>
      </c>
      <c r="F726" t="s">
        <v>1481</v>
      </c>
    </row>
    <row r="727" spans="1:6" x14ac:dyDescent="0.25">
      <c r="A727" t="s">
        <v>1134</v>
      </c>
      <c r="B727" t="s">
        <v>100</v>
      </c>
      <c r="C727" t="s">
        <v>36</v>
      </c>
      <c r="D727" t="str">
        <f>HYPERLINK("http://service.sap.com/sap/support/notes/1651689","1651689")</f>
        <v>1651689</v>
      </c>
      <c r="E727">
        <v>1</v>
      </c>
      <c r="F727" t="s">
        <v>1482</v>
      </c>
    </row>
    <row r="728" spans="1:6" x14ac:dyDescent="0.25">
      <c r="A728" t="s">
        <v>1134</v>
      </c>
      <c r="B728" t="s">
        <v>101</v>
      </c>
      <c r="C728" t="s">
        <v>38</v>
      </c>
      <c r="D728" t="str">
        <f>HYPERLINK("http://service.sap.com/sap/support/notes/1647092","1647092")</f>
        <v>1647092</v>
      </c>
      <c r="E728">
        <v>1</v>
      </c>
      <c r="F728" t="s">
        <v>1483</v>
      </c>
    </row>
    <row r="729" spans="1:6" x14ac:dyDescent="0.25">
      <c r="A729" t="s">
        <v>1134</v>
      </c>
      <c r="B729" t="s">
        <v>102</v>
      </c>
      <c r="C729" t="s">
        <v>310</v>
      </c>
      <c r="D729" t="str">
        <f>HYPERLINK("http://service.sap.com/sap/support/notes/1561090","1561090")</f>
        <v>1561090</v>
      </c>
      <c r="E729">
        <v>1</v>
      </c>
      <c r="F729" t="s">
        <v>1484</v>
      </c>
    </row>
    <row r="730" spans="1:6" x14ac:dyDescent="0.25">
      <c r="A730" t="s">
        <v>1134</v>
      </c>
      <c r="B730" t="s">
        <v>102</v>
      </c>
      <c r="C730" t="s">
        <v>310</v>
      </c>
      <c r="D730" t="str">
        <f>HYPERLINK("http://service.sap.com/sap/support/notes/1616719","1616719")</f>
        <v>1616719</v>
      </c>
      <c r="E730">
        <v>2</v>
      </c>
      <c r="F730" t="s">
        <v>1485</v>
      </c>
    </row>
    <row r="731" spans="1:6" x14ac:dyDescent="0.25">
      <c r="A731" t="s">
        <v>1134</v>
      </c>
      <c r="B731" t="s">
        <v>102</v>
      </c>
      <c r="C731" t="s">
        <v>310</v>
      </c>
      <c r="D731" t="str">
        <f>HYPERLINK("http://service.sap.com/sap/support/notes/1645394","1645394")</f>
        <v>1645394</v>
      </c>
      <c r="E731">
        <v>1</v>
      </c>
      <c r="F731" t="s">
        <v>1486</v>
      </c>
    </row>
    <row r="732" spans="1:6" x14ac:dyDescent="0.25">
      <c r="A732" t="s">
        <v>1134</v>
      </c>
      <c r="B732" t="s">
        <v>102</v>
      </c>
      <c r="C732" t="s">
        <v>310</v>
      </c>
      <c r="D732" t="str">
        <f>HYPERLINK("http://service.sap.com/sap/support/notes/1649260","1649260")</f>
        <v>1649260</v>
      </c>
      <c r="E732">
        <v>1</v>
      </c>
      <c r="F732" t="s">
        <v>1487</v>
      </c>
    </row>
    <row r="733" spans="1:6" x14ac:dyDescent="0.25">
      <c r="A733" t="s">
        <v>1134</v>
      </c>
      <c r="B733" t="s">
        <v>102</v>
      </c>
      <c r="C733" t="s">
        <v>310</v>
      </c>
      <c r="D733" t="str">
        <f>HYPERLINK("http://service.sap.com/sap/support/notes/1649739","1649739")</f>
        <v>1649739</v>
      </c>
      <c r="E733">
        <v>1</v>
      </c>
      <c r="F733" t="s">
        <v>1488</v>
      </c>
    </row>
    <row r="734" spans="1:6" x14ac:dyDescent="0.25">
      <c r="A734" t="s">
        <v>1134</v>
      </c>
      <c r="B734" t="s">
        <v>102</v>
      </c>
      <c r="C734" t="s">
        <v>310</v>
      </c>
      <c r="D734" t="str">
        <f>HYPERLINK("http://service.sap.com/sap/support/notes/1651775","1651775")</f>
        <v>1651775</v>
      </c>
      <c r="E734">
        <v>2</v>
      </c>
      <c r="F734" t="s">
        <v>1489</v>
      </c>
    </row>
    <row r="735" spans="1:6" x14ac:dyDescent="0.25">
      <c r="A735" t="s">
        <v>1134</v>
      </c>
      <c r="B735" t="s">
        <v>104</v>
      </c>
      <c r="C735" t="s">
        <v>426</v>
      </c>
      <c r="D735" t="str">
        <f>HYPERLINK("http://service.sap.com/sap/support/notes/1654342","1654342")</f>
        <v>1654342</v>
      </c>
      <c r="E735">
        <v>1</v>
      </c>
      <c r="F735" t="s">
        <v>1490</v>
      </c>
    </row>
    <row r="736" spans="1:6" x14ac:dyDescent="0.25">
      <c r="A736" t="s">
        <v>1134</v>
      </c>
      <c r="B736" t="s">
        <v>104</v>
      </c>
      <c r="C736" t="s">
        <v>426</v>
      </c>
      <c r="D736" t="str">
        <f>HYPERLINK("http://service.sap.com/sap/support/notes/1655123","1655123")</f>
        <v>1655123</v>
      </c>
      <c r="E736">
        <v>2</v>
      </c>
      <c r="F736" t="s">
        <v>1491</v>
      </c>
    </row>
    <row r="737" spans="1:6" x14ac:dyDescent="0.25">
      <c r="A737" t="s">
        <v>1134</v>
      </c>
      <c r="B737" t="s">
        <v>106</v>
      </c>
      <c r="C737" t="s">
        <v>107</v>
      </c>
    </row>
    <row r="738" spans="1:6" x14ac:dyDescent="0.25">
      <c r="A738" t="s">
        <v>1134</v>
      </c>
      <c r="B738" t="s">
        <v>108</v>
      </c>
      <c r="C738" t="s">
        <v>109</v>
      </c>
      <c r="D738" t="str">
        <f>HYPERLINK("http://service.sap.com/sap/support/notes/1644801","1644801")</f>
        <v>1644801</v>
      </c>
      <c r="E738">
        <v>2</v>
      </c>
      <c r="F738" t="s">
        <v>1492</v>
      </c>
    </row>
    <row r="739" spans="1:6" x14ac:dyDescent="0.25">
      <c r="A739" t="s">
        <v>1134</v>
      </c>
      <c r="B739" t="s">
        <v>108</v>
      </c>
      <c r="C739" t="s">
        <v>109</v>
      </c>
      <c r="D739" t="str">
        <f>HYPERLINK("http://service.sap.com/sap/support/notes/1645973","1645973")</f>
        <v>1645973</v>
      </c>
      <c r="E739">
        <v>1</v>
      </c>
      <c r="F739" t="s">
        <v>1493</v>
      </c>
    </row>
    <row r="740" spans="1:6" x14ac:dyDescent="0.25">
      <c r="A740" t="s">
        <v>1134</v>
      </c>
      <c r="B740" t="s">
        <v>108</v>
      </c>
      <c r="C740" t="s">
        <v>109</v>
      </c>
      <c r="D740" t="str">
        <f>HYPERLINK("http://service.sap.com/sap/support/notes/1651853","1651853")</f>
        <v>1651853</v>
      </c>
      <c r="E740">
        <v>1</v>
      </c>
      <c r="F740" t="s">
        <v>1494</v>
      </c>
    </row>
    <row r="741" spans="1:6" x14ac:dyDescent="0.25">
      <c r="A741" t="s">
        <v>1134</v>
      </c>
      <c r="B741" t="s">
        <v>110</v>
      </c>
      <c r="C741" t="s">
        <v>111</v>
      </c>
      <c r="D741" t="str">
        <f>HYPERLINK("http://service.sap.com/sap/support/notes/1647274","1647274")</f>
        <v>1647274</v>
      </c>
      <c r="E741">
        <v>1</v>
      </c>
      <c r="F741" t="s">
        <v>1495</v>
      </c>
    </row>
    <row r="742" spans="1:6" x14ac:dyDescent="0.25">
      <c r="A742" t="s">
        <v>1134</v>
      </c>
      <c r="B742" t="s">
        <v>609</v>
      </c>
      <c r="C742" t="s">
        <v>610</v>
      </c>
      <c r="D742" t="str">
        <f>HYPERLINK("http://service.sap.com/sap/support/notes/1630453","1630453")</f>
        <v>1630453</v>
      </c>
      <c r="E742">
        <v>2</v>
      </c>
      <c r="F742" t="s">
        <v>1496</v>
      </c>
    </row>
    <row r="743" spans="1:6" x14ac:dyDescent="0.25">
      <c r="A743" t="s">
        <v>1134</v>
      </c>
      <c r="B743" t="s">
        <v>609</v>
      </c>
      <c r="C743" t="s">
        <v>610</v>
      </c>
      <c r="D743" t="str">
        <f>HYPERLINK("http://service.sap.com/sap/support/notes/1639959","1639959")</f>
        <v>1639959</v>
      </c>
      <c r="E743">
        <v>2</v>
      </c>
      <c r="F743" t="s">
        <v>1497</v>
      </c>
    </row>
    <row r="744" spans="1:6" x14ac:dyDescent="0.25">
      <c r="A744" t="s">
        <v>1134</v>
      </c>
      <c r="B744" t="s">
        <v>609</v>
      </c>
      <c r="C744" t="s">
        <v>610</v>
      </c>
      <c r="D744" t="str">
        <f>HYPERLINK("http://service.sap.com/sap/support/notes/1642276","1642276")</f>
        <v>1642276</v>
      </c>
      <c r="E744">
        <v>2</v>
      </c>
      <c r="F744" t="s">
        <v>1498</v>
      </c>
    </row>
    <row r="745" spans="1:6" x14ac:dyDescent="0.25">
      <c r="A745" t="s">
        <v>1134</v>
      </c>
      <c r="B745" t="s">
        <v>609</v>
      </c>
      <c r="C745" t="s">
        <v>610</v>
      </c>
      <c r="D745" t="str">
        <f>HYPERLINK("http://service.sap.com/sap/support/notes/1649940","1649940")</f>
        <v>1649940</v>
      </c>
      <c r="E745">
        <v>2</v>
      </c>
      <c r="F745" t="s">
        <v>1499</v>
      </c>
    </row>
    <row r="746" spans="1:6" x14ac:dyDescent="0.25">
      <c r="A746" t="s">
        <v>1134</v>
      </c>
      <c r="B746" t="s">
        <v>112</v>
      </c>
      <c r="C746" t="s">
        <v>311</v>
      </c>
      <c r="D746" t="str">
        <f>HYPERLINK("http://service.sap.com/sap/support/notes/1635314","1635314")</f>
        <v>1635314</v>
      </c>
      <c r="E746">
        <v>1</v>
      </c>
      <c r="F746" t="s">
        <v>1500</v>
      </c>
    </row>
    <row r="747" spans="1:6" x14ac:dyDescent="0.25">
      <c r="A747" t="s">
        <v>1134</v>
      </c>
      <c r="B747" t="s">
        <v>112</v>
      </c>
      <c r="C747" t="s">
        <v>311</v>
      </c>
      <c r="D747" t="str">
        <f>HYPERLINK("http://service.sap.com/sap/support/notes/1645213","1645213")</f>
        <v>1645213</v>
      </c>
      <c r="E747">
        <v>1</v>
      </c>
      <c r="F747" t="s">
        <v>1501</v>
      </c>
    </row>
    <row r="748" spans="1:6" x14ac:dyDescent="0.25">
      <c r="A748" t="s">
        <v>1134</v>
      </c>
      <c r="B748" t="s">
        <v>312</v>
      </c>
      <c r="C748" t="s">
        <v>313</v>
      </c>
      <c r="D748" t="str">
        <f>HYPERLINK("http://service.sap.com/sap/support/notes/1643273","1643273")</f>
        <v>1643273</v>
      </c>
      <c r="E748">
        <v>2</v>
      </c>
      <c r="F748" t="s">
        <v>1502</v>
      </c>
    </row>
    <row r="749" spans="1:6" x14ac:dyDescent="0.25">
      <c r="A749" t="s">
        <v>1134</v>
      </c>
      <c r="B749" t="s">
        <v>312</v>
      </c>
      <c r="C749" t="s">
        <v>313</v>
      </c>
      <c r="D749" t="str">
        <f>HYPERLINK("http://service.sap.com/sap/support/notes/1644101","1644101")</f>
        <v>1644101</v>
      </c>
      <c r="E749">
        <v>2</v>
      </c>
      <c r="F749" t="s">
        <v>1503</v>
      </c>
    </row>
    <row r="750" spans="1:6" x14ac:dyDescent="0.25">
      <c r="A750" t="s">
        <v>1134</v>
      </c>
      <c r="B750" t="s">
        <v>312</v>
      </c>
      <c r="C750" t="s">
        <v>313</v>
      </c>
      <c r="D750" t="str">
        <f>HYPERLINK("http://service.sap.com/sap/support/notes/1645873","1645873")</f>
        <v>1645873</v>
      </c>
      <c r="E750">
        <v>2</v>
      </c>
      <c r="F750" t="s">
        <v>1504</v>
      </c>
    </row>
    <row r="751" spans="1:6" x14ac:dyDescent="0.25">
      <c r="A751" t="s">
        <v>1134</v>
      </c>
      <c r="B751" t="s">
        <v>312</v>
      </c>
      <c r="C751" t="s">
        <v>313</v>
      </c>
      <c r="D751" t="str">
        <f>HYPERLINK("http://service.sap.com/sap/support/notes/1647550","1647550")</f>
        <v>1647550</v>
      </c>
      <c r="E751">
        <v>1</v>
      </c>
      <c r="F751" t="s">
        <v>1505</v>
      </c>
    </row>
    <row r="752" spans="1:6" x14ac:dyDescent="0.25">
      <c r="A752" t="s">
        <v>1134</v>
      </c>
      <c r="B752" t="s">
        <v>312</v>
      </c>
      <c r="C752" t="s">
        <v>313</v>
      </c>
      <c r="D752" t="str">
        <f>HYPERLINK("http://service.sap.com/sap/support/notes/1649211","1649211")</f>
        <v>1649211</v>
      </c>
      <c r="E752">
        <v>2</v>
      </c>
      <c r="F752" t="s">
        <v>1506</v>
      </c>
    </row>
    <row r="753" spans="1:6" x14ac:dyDescent="0.25">
      <c r="A753" t="s">
        <v>1134</v>
      </c>
      <c r="B753" t="s">
        <v>312</v>
      </c>
      <c r="C753" t="s">
        <v>313</v>
      </c>
      <c r="D753" t="str">
        <f>HYPERLINK("http://service.sap.com/sap/support/notes/1656396","1656396")</f>
        <v>1656396</v>
      </c>
      <c r="E753">
        <v>3</v>
      </c>
      <c r="F753" t="s">
        <v>1507</v>
      </c>
    </row>
    <row r="754" spans="1:6" x14ac:dyDescent="0.25">
      <c r="A754" t="s">
        <v>1134</v>
      </c>
      <c r="B754" t="s">
        <v>600</v>
      </c>
      <c r="C754" t="s">
        <v>325</v>
      </c>
      <c r="D754" t="str">
        <f>HYPERLINK("http://service.sap.com/sap/support/notes/1616859","1616859")</f>
        <v>1616859</v>
      </c>
      <c r="E754">
        <v>3</v>
      </c>
      <c r="F754" t="s">
        <v>1508</v>
      </c>
    </row>
    <row r="755" spans="1:6" x14ac:dyDescent="0.25">
      <c r="A755" t="s">
        <v>1134</v>
      </c>
      <c r="B755" t="s">
        <v>114</v>
      </c>
      <c r="C755" t="s">
        <v>115</v>
      </c>
    </row>
    <row r="756" spans="1:6" x14ac:dyDescent="0.25">
      <c r="A756" t="s">
        <v>1134</v>
      </c>
      <c r="B756" t="s">
        <v>120</v>
      </c>
      <c r="C756" t="s">
        <v>121</v>
      </c>
      <c r="D756" t="str">
        <f>HYPERLINK("http://service.sap.com/sap/support/notes/1634735","1634735")</f>
        <v>1634735</v>
      </c>
      <c r="E756">
        <v>1</v>
      </c>
      <c r="F756" t="s">
        <v>963</v>
      </c>
    </row>
    <row r="757" spans="1:6" x14ac:dyDescent="0.25">
      <c r="A757" t="s">
        <v>1134</v>
      </c>
      <c r="B757" t="s">
        <v>120</v>
      </c>
      <c r="C757" t="s">
        <v>121</v>
      </c>
      <c r="D757" t="str">
        <f>HYPERLINK("http://service.sap.com/sap/support/notes/1648689","1648689")</f>
        <v>1648689</v>
      </c>
      <c r="E757">
        <v>1</v>
      </c>
      <c r="F757" t="s">
        <v>1509</v>
      </c>
    </row>
    <row r="758" spans="1:6" x14ac:dyDescent="0.25">
      <c r="A758" t="s">
        <v>1134</v>
      </c>
      <c r="B758" t="s">
        <v>120</v>
      </c>
      <c r="C758" t="s">
        <v>121</v>
      </c>
      <c r="D758" t="str">
        <f>HYPERLINK("http://service.sap.com/sap/support/notes/1648788","1648788")</f>
        <v>1648788</v>
      </c>
      <c r="E758">
        <v>1</v>
      </c>
      <c r="F758" t="s">
        <v>1510</v>
      </c>
    </row>
    <row r="759" spans="1:6" x14ac:dyDescent="0.25">
      <c r="A759" t="s">
        <v>1134</v>
      </c>
      <c r="B759" t="s">
        <v>314</v>
      </c>
      <c r="C759" t="s">
        <v>315</v>
      </c>
      <c r="D759" t="str">
        <f>HYPERLINK("http://service.sap.com/sap/support/notes/1647681","1647681")</f>
        <v>1647681</v>
      </c>
      <c r="E759">
        <v>4</v>
      </c>
      <c r="F759" t="s">
        <v>1511</v>
      </c>
    </row>
    <row r="760" spans="1:6" x14ac:dyDescent="0.25">
      <c r="A760" t="s">
        <v>1134</v>
      </c>
      <c r="B760" t="s">
        <v>316</v>
      </c>
      <c r="C760" t="s">
        <v>317</v>
      </c>
      <c r="D760" t="str">
        <f>HYPERLINK("http://service.sap.com/sap/support/notes/1546962","1546962")</f>
        <v>1546962</v>
      </c>
      <c r="E760">
        <v>1</v>
      </c>
      <c r="F760" t="s">
        <v>1512</v>
      </c>
    </row>
    <row r="761" spans="1:6" x14ac:dyDescent="0.25">
      <c r="A761" t="s">
        <v>1134</v>
      </c>
      <c r="B761" t="s">
        <v>316</v>
      </c>
      <c r="C761" t="s">
        <v>317</v>
      </c>
      <c r="D761" t="str">
        <f>HYPERLINK("http://service.sap.com/sap/support/notes/1645858","1645858")</f>
        <v>1645858</v>
      </c>
      <c r="E761">
        <v>1</v>
      </c>
      <c r="F761" t="s">
        <v>1513</v>
      </c>
    </row>
    <row r="762" spans="1:6" x14ac:dyDescent="0.25">
      <c r="A762" t="s">
        <v>1134</v>
      </c>
      <c r="B762" t="s">
        <v>122</v>
      </c>
      <c r="C762" t="s">
        <v>123</v>
      </c>
      <c r="D762" t="str">
        <f>HYPERLINK("http://service.sap.com/sap/support/notes/1628026","1628026")</f>
        <v>1628026</v>
      </c>
      <c r="E762">
        <v>3</v>
      </c>
      <c r="F762" t="s">
        <v>1514</v>
      </c>
    </row>
    <row r="763" spans="1:6" x14ac:dyDescent="0.25">
      <c r="A763" t="s">
        <v>1134</v>
      </c>
      <c r="B763" t="s">
        <v>122</v>
      </c>
      <c r="C763" t="s">
        <v>123</v>
      </c>
      <c r="D763" t="str">
        <f>HYPERLINK("http://service.sap.com/sap/support/notes/1645785","1645785")</f>
        <v>1645785</v>
      </c>
      <c r="E763">
        <v>2</v>
      </c>
      <c r="F763" t="s">
        <v>1515</v>
      </c>
    </row>
    <row r="764" spans="1:6" x14ac:dyDescent="0.25">
      <c r="A764" t="s">
        <v>1134</v>
      </c>
      <c r="B764" t="s">
        <v>122</v>
      </c>
      <c r="C764" t="s">
        <v>123</v>
      </c>
      <c r="D764" t="str">
        <f>HYPERLINK("http://service.sap.com/sap/support/notes/1656559","1656559")</f>
        <v>1656559</v>
      </c>
      <c r="E764">
        <v>1</v>
      </c>
      <c r="F764" t="s">
        <v>1516</v>
      </c>
    </row>
    <row r="765" spans="1:6" x14ac:dyDescent="0.25">
      <c r="A765" t="s">
        <v>1134</v>
      </c>
      <c r="B765" t="s">
        <v>124</v>
      </c>
      <c r="C765" t="s">
        <v>82</v>
      </c>
      <c r="D765" t="str">
        <f>HYPERLINK("http://service.sap.com/sap/support/notes/1365125","1365125")</f>
        <v>1365125</v>
      </c>
      <c r="E765">
        <v>1</v>
      </c>
      <c r="F765" t="s">
        <v>318</v>
      </c>
    </row>
    <row r="766" spans="1:6" x14ac:dyDescent="0.25">
      <c r="A766" t="s">
        <v>1134</v>
      </c>
      <c r="B766" t="s">
        <v>124</v>
      </c>
      <c r="C766" t="s">
        <v>82</v>
      </c>
      <c r="D766" t="str">
        <f>HYPERLINK("http://service.sap.com/sap/support/notes/1637263","1637263")</f>
        <v>1637263</v>
      </c>
      <c r="E766">
        <v>1</v>
      </c>
      <c r="F766" t="s">
        <v>1517</v>
      </c>
    </row>
    <row r="767" spans="1:6" x14ac:dyDescent="0.25">
      <c r="A767" t="s">
        <v>1134</v>
      </c>
      <c r="B767" t="s">
        <v>124</v>
      </c>
      <c r="C767" t="s">
        <v>82</v>
      </c>
      <c r="D767" t="str">
        <f>HYPERLINK("http://service.sap.com/sap/support/notes/1645344","1645344")</f>
        <v>1645344</v>
      </c>
      <c r="E767">
        <v>1</v>
      </c>
      <c r="F767" t="s">
        <v>1518</v>
      </c>
    </row>
    <row r="768" spans="1:6" x14ac:dyDescent="0.25">
      <c r="A768" t="s">
        <v>1134</v>
      </c>
      <c r="B768" t="s">
        <v>124</v>
      </c>
      <c r="C768" t="s">
        <v>82</v>
      </c>
      <c r="D768" t="str">
        <f>HYPERLINK("http://service.sap.com/sap/support/notes/1645391","1645391")</f>
        <v>1645391</v>
      </c>
      <c r="E768">
        <v>2</v>
      </c>
      <c r="F768" t="s">
        <v>1519</v>
      </c>
    </row>
    <row r="769" spans="1:6" x14ac:dyDescent="0.25">
      <c r="A769" t="s">
        <v>1134</v>
      </c>
      <c r="B769" t="s">
        <v>124</v>
      </c>
      <c r="C769" t="s">
        <v>82</v>
      </c>
      <c r="D769" t="str">
        <f>HYPERLINK("http://service.sap.com/sap/support/notes/1645627","1645627")</f>
        <v>1645627</v>
      </c>
      <c r="E769">
        <v>4</v>
      </c>
      <c r="F769" t="s">
        <v>1520</v>
      </c>
    </row>
    <row r="770" spans="1:6" x14ac:dyDescent="0.25">
      <c r="A770" t="s">
        <v>1134</v>
      </c>
      <c r="B770" t="s">
        <v>124</v>
      </c>
      <c r="C770" t="s">
        <v>82</v>
      </c>
      <c r="D770" t="str">
        <f>HYPERLINK("http://service.sap.com/sap/support/notes/1645655","1645655")</f>
        <v>1645655</v>
      </c>
      <c r="E770">
        <v>3</v>
      </c>
      <c r="F770" t="s">
        <v>1521</v>
      </c>
    </row>
    <row r="771" spans="1:6" x14ac:dyDescent="0.25">
      <c r="A771" t="s">
        <v>1134</v>
      </c>
      <c r="B771" t="s">
        <v>124</v>
      </c>
      <c r="C771" t="s">
        <v>82</v>
      </c>
      <c r="D771" t="str">
        <f>HYPERLINK("http://service.sap.com/sap/support/notes/1646328","1646328")</f>
        <v>1646328</v>
      </c>
      <c r="E771">
        <v>2</v>
      </c>
      <c r="F771" t="s">
        <v>1522</v>
      </c>
    </row>
    <row r="772" spans="1:6" x14ac:dyDescent="0.25">
      <c r="A772" t="s">
        <v>1134</v>
      </c>
      <c r="B772" t="s">
        <v>124</v>
      </c>
      <c r="C772" t="s">
        <v>82</v>
      </c>
      <c r="D772" t="str">
        <f>HYPERLINK("http://service.sap.com/sap/support/notes/1647729","1647729")</f>
        <v>1647729</v>
      </c>
      <c r="E772">
        <v>1</v>
      </c>
      <c r="F772" t="s">
        <v>1523</v>
      </c>
    </row>
    <row r="773" spans="1:6" x14ac:dyDescent="0.25">
      <c r="A773" t="s">
        <v>1134</v>
      </c>
      <c r="B773" t="s">
        <v>124</v>
      </c>
      <c r="C773" t="s">
        <v>82</v>
      </c>
      <c r="D773" t="str">
        <f>HYPERLINK("http://service.sap.com/sap/support/notes/1650427","1650427")</f>
        <v>1650427</v>
      </c>
      <c r="E773">
        <v>1</v>
      </c>
      <c r="F773" t="s">
        <v>1524</v>
      </c>
    </row>
    <row r="774" spans="1:6" x14ac:dyDescent="0.25">
      <c r="A774" t="s">
        <v>1134</v>
      </c>
      <c r="B774" t="s">
        <v>124</v>
      </c>
      <c r="C774" t="s">
        <v>82</v>
      </c>
      <c r="D774" t="str">
        <f>HYPERLINK("http://service.sap.com/sap/support/notes/1653838","1653838")</f>
        <v>1653838</v>
      </c>
      <c r="E774">
        <v>2</v>
      </c>
      <c r="F774" t="s">
        <v>1525</v>
      </c>
    </row>
    <row r="775" spans="1:6" x14ac:dyDescent="0.25">
      <c r="A775" t="s">
        <v>1134</v>
      </c>
      <c r="B775" t="s">
        <v>124</v>
      </c>
      <c r="C775" t="s">
        <v>82</v>
      </c>
      <c r="D775" t="str">
        <f>HYPERLINK("http://service.sap.com/sap/support/notes/1655310","1655310")</f>
        <v>1655310</v>
      </c>
      <c r="E775">
        <v>1</v>
      </c>
      <c r="F775" t="s">
        <v>1526</v>
      </c>
    </row>
    <row r="776" spans="1:6" x14ac:dyDescent="0.25">
      <c r="A776" t="s">
        <v>1134</v>
      </c>
      <c r="B776" t="s">
        <v>125</v>
      </c>
      <c r="C776" t="s">
        <v>1527</v>
      </c>
      <c r="D776" t="str">
        <f>HYPERLINK("http://service.sap.com/sap/support/notes/1655984","1655984")</f>
        <v>1655984</v>
      </c>
      <c r="E776">
        <v>1</v>
      </c>
      <c r="F776" t="s">
        <v>1528</v>
      </c>
    </row>
    <row r="777" spans="1:6" x14ac:dyDescent="0.25">
      <c r="A777" t="s">
        <v>1134</v>
      </c>
      <c r="B777" t="s">
        <v>127</v>
      </c>
      <c r="C777" t="s">
        <v>319</v>
      </c>
      <c r="D777" t="str">
        <f>HYPERLINK("http://service.sap.com/sap/support/notes/1644158","1644158")</f>
        <v>1644158</v>
      </c>
      <c r="E777">
        <v>1</v>
      </c>
      <c r="F777" t="s">
        <v>1529</v>
      </c>
    </row>
    <row r="778" spans="1:6" x14ac:dyDescent="0.25">
      <c r="A778" t="s">
        <v>1134</v>
      </c>
      <c r="B778" t="s">
        <v>127</v>
      </c>
      <c r="C778" t="s">
        <v>319</v>
      </c>
      <c r="D778" t="str">
        <f>HYPERLINK("http://service.sap.com/sap/support/notes/1644655","1644655")</f>
        <v>1644655</v>
      </c>
      <c r="E778">
        <v>1</v>
      </c>
      <c r="F778" t="s">
        <v>1530</v>
      </c>
    </row>
    <row r="779" spans="1:6" x14ac:dyDescent="0.25">
      <c r="A779" t="s">
        <v>1134</v>
      </c>
      <c r="B779" t="s">
        <v>127</v>
      </c>
      <c r="C779" t="s">
        <v>319</v>
      </c>
      <c r="D779" t="str">
        <f>HYPERLINK("http://service.sap.com/sap/support/notes/1645326","1645326")</f>
        <v>1645326</v>
      </c>
      <c r="E779">
        <v>1</v>
      </c>
      <c r="F779" t="s">
        <v>1531</v>
      </c>
    </row>
    <row r="780" spans="1:6" x14ac:dyDescent="0.25">
      <c r="A780" t="s">
        <v>1134</v>
      </c>
      <c r="B780" t="s">
        <v>127</v>
      </c>
      <c r="C780" t="s">
        <v>319</v>
      </c>
      <c r="D780" t="str">
        <f>HYPERLINK("http://service.sap.com/sap/support/notes/1645829","1645829")</f>
        <v>1645829</v>
      </c>
      <c r="E780">
        <v>4</v>
      </c>
      <c r="F780" t="s">
        <v>1532</v>
      </c>
    </row>
    <row r="781" spans="1:6" x14ac:dyDescent="0.25">
      <c r="A781" t="s">
        <v>1134</v>
      </c>
      <c r="B781" t="s">
        <v>127</v>
      </c>
      <c r="C781" t="s">
        <v>319</v>
      </c>
      <c r="D781" t="str">
        <f>HYPERLINK("http://service.sap.com/sap/support/notes/1647728","1647728")</f>
        <v>1647728</v>
      </c>
      <c r="E781">
        <v>1</v>
      </c>
      <c r="F781" t="s">
        <v>1533</v>
      </c>
    </row>
    <row r="782" spans="1:6" x14ac:dyDescent="0.25">
      <c r="A782" t="s">
        <v>1134</v>
      </c>
      <c r="B782" t="s">
        <v>127</v>
      </c>
      <c r="C782" t="s">
        <v>319</v>
      </c>
      <c r="D782" t="str">
        <f>HYPERLINK("http://service.sap.com/sap/support/notes/1647730","1647730")</f>
        <v>1647730</v>
      </c>
      <c r="E782">
        <v>1</v>
      </c>
      <c r="F782" t="s">
        <v>1534</v>
      </c>
    </row>
    <row r="783" spans="1:6" x14ac:dyDescent="0.25">
      <c r="A783" t="s">
        <v>1134</v>
      </c>
      <c r="B783" t="s">
        <v>127</v>
      </c>
      <c r="C783" t="s">
        <v>319</v>
      </c>
      <c r="D783" t="str">
        <f>HYPERLINK("http://service.sap.com/sap/support/notes/1648453","1648453")</f>
        <v>1648453</v>
      </c>
      <c r="E783">
        <v>1</v>
      </c>
      <c r="F783" t="s">
        <v>1535</v>
      </c>
    </row>
    <row r="784" spans="1:6" x14ac:dyDescent="0.25">
      <c r="A784" t="s">
        <v>1134</v>
      </c>
      <c r="B784" t="s">
        <v>127</v>
      </c>
      <c r="C784" t="s">
        <v>319</v>
      </c>
      <c r="D784" t="str">
        <f>HYPERLINK("http://service.sap.com/sap/support/notes/1650034","1650034")</f>
        <v>1650034</v>
      </c>
      <c r="E784">
        <v>1</v>
      </c>
      <c r="F784" t="s">
        <v>1536</v>
      </c>
    </row>
    <row r="785" spans="1:6" x14ac:dyDescent="0.25">
      <c r="A785" t="s">
        <v>1134</v>
      </c>
      <c r="B785" t="s">
        <v>127</v>
      </c>
      <c r="C785" t="s">
        <v>319</v>
      </c>
      <c r="D785" t="str">
        <f>HYPERLINK("http://service.sap.com/sap/support/notes/1651339","1651339")</f>
        <v>1651339</v>
      </c>
      <c r="E785">
        <v>1</v>
      </c>
      <c r="F785" t="s">
        <v>1537</v>
      </c>
    </row>
    <row r="786" spans="1:6" x14ac:dyDescent="0.25">
      <c r="A786" t="s">
        <v>1134</v>
      </c>
      <c r="B786" t="s">
        <v>127</v>
      </c>
      <c r="C786" t="s">
        <v>319</v>
      </c>
      <c r="D786" t="str">
        <f>HYPERLINK("http://service.sap.com/sap/support/notes/1652551","1652551")</f>
        <v>1652551</v>
      </c>
      <c r="E786">
        <v>1</v>
      </c>
      <c r="F786" t="s">
        <v>1538</v>
      </c>
    </row>
    <row r="787" spans="1:6" x14ac:dyDescent="0.25">
      <c r="A787" t="s">
        <v>1134</v>
      </c>
      <c r="B787" t="s">
        <v>127</v>
      </c>
      <c r="C787" t="s">
        <v>319</v>
      </c>
      <c r="D787" t="str">
        <f>HYPERLINK("http://service.sap.com/sap/support/notes/1652574","1652574")</f>
        <v>1652574</v>
      </c>
      <c r="E787">
        <v>1</v>
      </c>
      <c r="F787" t="s">
        <v>1539</v>
      </c>
    </row>
    <row r="788" spans="1:6" x14ac:dyDescent="0.25">
      <c r="A788" t="s">
        <v>1134</v>
      </c>
      <c r="B788" t="s">
        <v>127</v>
      </c>
      <c r="C788" t="s">
        <v>319</v>
      </c>
      <c r="D788" t="str">
        <f>HYPERLINK("http://service.sap.com/sap/support/notes/1652988","1652988")</f>
        <v>1652988</v>
      </c>
      <c r="E788">
        <v>1</v>
      </c>
      <c r="F788" t="s">
        <v>1540</v>
      </c>
    </row>
    <row r="789" spans="1:6" x14ac:dyDescent="0.25">
      <c r="A789" t="s">
        <v>1134</v>
      </c>
      <c r="B789" t="s">
        <v>127</v>
      </c>
      <c r="C789" t="s">
        <v>319</v>
      </c>
      <c r="D789" t="str">
        <f>HYPERLINK("http://service.sap.com/sap/support/notes/1653874","1653874")</f>
        <v>1653874</v>
      </c>
      <c r="E789">
        <v>1</v>
      </c>
      <c r="F789" t="s">
        <v>1541</v>
      </c>
    </row>
    <row r="790" spans="1:6" x14ac:dyDescent="0.25">
      <c r="A790" t="s">
        <v>1134</v>
      </c>
      <c r="B790" t="s">
        <v>127</v>
      </c>
      <c r="C790" t="s">
        <v>319</v>
      </c>
      <c r="D790" t="str">
        <f>HYPERLINK("http://service.sap.com/sap/support/notes/1657812","1657812")</f>
        <v>1657812</v>
      </c>
      <c r="E790">
        <v>1</v>
      </c>
      <c r="F790" t="s">
        <v>1542</v>
      </c>
    </row>
    <row r="791" spans="1:6" x14ac:dyDescent="0.25">
      <c r="A791" t="s">
        <v>1134</v>
      </c>
      <c r="B791" t="s">
        <v>129</v>
      </c>
      <c r="C791" t="s">
        <v>130</v>
      </c>
      <c r="D791" t="str">
        <f>HYPERLINK("http://service.sap.com/sap/support/notes/1647699","1647699")</f>
        <v>1647699</v>
      </c>
      <c r="E791">
        <v>2</v>
      </c>
      <c r="F791" t="s">
        <v>1543</v>
      </c>
    </row>
    <row r="792" spans="1:6" x14ac:dyDescent="0.25">
      <c r="A792" t="s">
        <v>1134</v>
      </c>
      <c r="B792" t="s">
        <v>129</v>
      </c>
      <c r="C792" t="s">
        <v>130</v>
      </c>
      <c r="D792" t="str">
        <f>HYPERLINK("http://service.sap.com/sap/support/notes/1648932","1648932")</f>
        <v>1648932</v>
      </c>
      <c r="E792">
        <v>2</v>
      </c>
      <c r="F792" t="s">
        <v>1544</v>
      </c>
    </row>
    <row r="793" spans="1:6" x14ac:dyDescent="0.25">
      <c r="A793" t="s">
        <v>1134</v>
      </c>
      <c r="B793" t="s">
        <v>131</v>
      </c>
      <c r="C793" t="s">
        <v>132</v>
      </c>
    </row>
    <row r="794" spans="1:6" x14ac:dyDescent="0.25">
      <c r="A794" t="s">
        <v>1134</v>
      </c>
      <c r="B794" t="s">
        <v>320</v>
      </c>
      <c r="C794" t="s">
        <v>321</v>
      </c>
      <c r="D794" t="str">
        <f>HYPERLINK("http://service.sap.com/sap/support/notes/1631888","1631888")</f>
        <v>1631888</v>
      </c>
      <c r="E794">
        <v>1</v>
      </c>
      <c r="F794" t="s">
        <v>1545</v>
      </c>
    </row>
    <row r="795" spans="1:6" x14ac:dyDescent="0.25">
      <c r="A795" t="s">
        <v>1134</v>
      </c>
      <c r="B795" t="s">
        <v>133</v>
      </c>
      <c r="C795" t="s">
        <v>134</v>
      </c>
      <c r="D795" t="str">
        <f>HYPERLINK("http://service.sap.com/sap/support/notes/1640512","1640512")</f>
        <v>1640512</v>
      </c>
      <c r="E795">
        <v>3</v>
      </c>
      <c r="F795" t="s">
        <v>1546</v>
      </c>
    </row>
    <row r="796" spans="1:6" x14ac:dyDescent="0.25">
      <c r="A796" t="s">
        <v>1134</v>
      </c>
      <c r="B796" t="s">
        <v>133</v>
      </c>
      <c r="C796" t="s">
        <v>134</v>
      </c>
      <c r="D796" t="str">
        <f>HYPERLINK("http://service.sap.com/sap/support/notes/1652102","1652102")</f>
        <v>1652102</v>
      </c>
      <c r="E796">
        <v>1</v>
      </c>
      <c r="F796" t="s">
        <v>1547</v>
      </c>
    </row>
    <row r="797" spans="1:6" x14ac:dyDescent="0.25">
      <c r="A797" t="s">
        <v>1134</v>
      </c>
      <c r="B797" t="s">
        <v>133</v>
      </c>
      <c r="C797" t="s">
        <v>134</v>
      </c>
      <c r="D797" t="str">
        <f>HYPERLINK("http://service.sap.com/sap/support/notes/1652756","1652756")</f>
        <v>1652756</v>
      </c>
      <c r="E797">
        <v>1</v>
      </c>
      <c r="F797" t="s">
        <v>1548</v>
      </c>
    </row>
    <row r="798" spans="1:6" x14ac:dyDescent="0.25">
      <c r="A798" t="s">
        <v>1134</v>
      </c>
      <c r="B798" t="s">
        <v>133</v>
      </c>
      <c r="C798" t="s">
        <v>134</v>
      </c>
      <c r="D798" t="str">
        <f>HYPERLINK("http://service.sap.com/sap/support/notes/1652759","1652759")</f>
        <v>1652759</v>
      </c>
      <c r="E798">
        <v>1</v>
      </c>
      <c r="F798" t="s">
        <v>1549</v>
      </c>
    </row>
    <row r="799" spans="1:6" x14ac:dyDescent="0.25">
      <c r="A799" t="s">
        <v>1134</v>
      </c>
      <c r="B799" t="s">
        <v>135</v>
      </c>
      <c r="C799" t="s">
        <v>136</v>
      </c>
      <c r="D799" t="str">
        <f>HYPERLINK("http://service.sap.com/sap/support/notes/1370031","1370031")</f>
        <v>1370031</v>
      </c>
      <c r="E799">
        <v>2</v>
      </c>
      <c r="F799" t="s">
        <v>1550</v>
      </c>
    </row>
    <row r="800" spans="1:6" x14ac:dyDescent="0.25">
      <c r="A800" t="s">
        <v>1134</v>
      </c>
      <c r="B800" t="s">
        <v>135</v>
      </c>
      <c r="C800" t="s">
        <v>136</v>
      </c>
      <c r="D800" t="str">
        <f>HYPERLINK("http://service.sap.com/sap/support/notes/1592580","1592580")</f>
        <v>1592580</v>
      </c>
      <c r="E800">
        <v>2</v>
      </c>
      <c r="F800" t="s">
        <v>1551</v>
      </c>
    </row>
    <row r="801" spans="1:6" x14ac:dyDescent="0.25">
      <c r="A801" t="s">
        <v>1134</v>
      </c>
      <c r="B801" t="s">
        <v>135</v>
      </c>
      <c r="C801" t="s">
        <v>136</v>
      </c>
      <c r="D801" t="str">
        <f>HYPERLINK("http://service.sap.com/sap/support/notes/1613075","1613075")</f>
        <v>1613075</v>
      </c>
      <c r="E801">
        <v>2</v>
      </c>
      <c r="F801" t="s">
        <v>1552</v>
      </c>
    </row>
    <row r="802" spans="1:6" x14ac:dyDescent="0.25">
      <c r="A802" t="s">
        <v>1134</v>
      </c>
      <c r="B802" t="s">
        <v>135</v>
      </c>
      <c r="C802" t="s">
        <v>136</v>
      </c>
      <c r="D802" t="str">
        <f>HYPERLINK("http://service.sap.com/sap/support/notes/1619298","1619298")</f>
        <v>1619298</v>
      </c>
      <c r="E802">
        <v>3</v>
      </c>
      <c r="F802" t="s">
        <v>1553</v>
      </c>
    </row>
    <row r="803" spans="1:6" x14ac:dyDescent="0.25">
      <c r="A803" t="s">
        <v>1134</v>
      </c>
      <c r="B803" t="s">
        <v>135</v>
      </c>
      <c r="C803" t="s">
        <v>136</v>
      </c>
      <c r="D803" t="str">
        <f>HYPERLINK("http://service.sap.com/sap/support/notes/1621166","1621166")</f>
        <v>1621166</v>
      </c>
      <c r="E803">
        <v>4</v>
      </c>
      <c r="F803" t="s">
        <v>1554</v>
      </c>
    </row>
    <row r="804" spans="1:6" x14ac:dyDescent="0.25">
      <c r="A804" t="s">
        <v>1134</v>
      </c>
      <c r="B804" t="s">
        <v>135</v>
      </c>
      <c r="C804" t="s">
        <v>136</v>
      </c>
      <c r="D804" t="str">
        <f>HYPERLINK("http://service.sap.com/sap/support/notes/1628845","1628845")</f>
        <v>1628845</v>
      </c>
      <c r="E804">
        <v>2</v>
      </c>
      <c r="F804" t="s">
        <v>1555</v>
      </c>
    </row>
    <row r="805" spans="1:6" x14ac:dyDescent="0.25">
      <c r="A805" t="s">
        <v>1134</v>
      </c>
      <c r="B805" t="s">
        <v>135</v>
      </c>
      <c r="C805" t="s">
        <v>136</v>
      </c>
      <c r="D805" t="str">
        <f>HYPERLINK("http://service.sap.com/sap/support/notes/1630179","1630179")</f>
        <v>1630179</v>
      </c>
      <c r="E805">
        <v>6</v>
      </c>
      <c r="F805" t="s">
        <v>1556</v>
      </c>
    </row>
    <row r="806" spans="1:6" x14ac:dyDescent="0.25">
      <c r="A806" t="s">
        <v>1134</v>
      </c>
      <c r="B806" t="s">
        <v>135</v>
      </c>
      <c r="C806" t="s">
        <v>136</v>
      </c>
      <c r="D806" t="str">
        <f>HYPERLINK("http://service.sap.com/sap/support/notes/1634861","1634861")</f>
        <v>1634861</v>
      </c>
      <c r="E806">
        <v>3</v>
      </c>
      <c r="F806" t="s">
        <v>1557</v>
      </c>
    </row>
    <row r="807" spans="1:6" x14ac:dyDescent="0.25">
      <c r="A807" t="s">
        <v>1134</v>
      </c>
      <c r="B807" t="s">
        <v>135</v>
      </c>
      <c r="C807" t="s">
        <v>136</v>
      </c>
      <c r="D807" t="str">
        <f>HYPERLINK("http://service.sap.com/sap/support/notes/1637908","1637908")</f>
        <v>1637908</v>
      </c>
      <c r="E807">
        <v>1</v>
      </c>
      <c r="F807" t="s">
        <v>1558</v>
      </c>
    </row>
    <row r="808" spans="1:6" x14ac:dyDescent="0.25">
      <c r="A808" t="s">
        <v>1134</v>
      </c>
      <c r="B808" t="s">
        <v>135</v>
      </c>
      <c r="C808" t="s">
        <v>136</v>
      </c>
      <c r="D808" t="str">
        <f>HYPERLINK("http://service.sap.com/sap/support/notes/1638576","1638576")</f>
        <v>1638576</v>
      </c>
      <c r="E808">
        <v>3</v>
      </c>
      <c r="F808" t="s">
        <v>1559</v>
      </c>
    </row>
    <row r="809" spans="1:6" x14ac:dyDescent="0.25">
      <c r="A809" t="s">
        <v>1134</v>
      </c>
      <c r="B809" t="s">
        <v>135</v>
      </c>
      <c r="C809" t="s">
        <v>136</v>
      </c>
      <c r="D809" t="str">
        <f>HYPERLINK("http://service.sap.com/sap/support/notes/1638987","1638987")</f>
        <v>1638987</v>
      </c>
      <c r="E809">
        <v>4</v>
      </c>
      <c r="F809" t="s">
        <v>1560</v>
      </c>
    </row>
    <row r="810" spans="1:6" x14ac:dyDescent="0.25">
      <c r="A810" t="s">
        <v>1134</v>
      </c>
      <c r="B810" t="s">
        <v>135</v>
      </c>
      <c r="C810" t="s">
        <v>136</v>
      </c>
      <c r="D810" t="str">
        <f>HYPERLINK("http://service.sap.com/sap/support/notes/1640375","1640375")</f>
        <v>1640375</v>
      </c>
      <c r="E810">
        <v>1</v>
      </c>
      <c r="F810" t="s">
        <v>1561</v>
      </c>
    </row>
    <row r="811" spans="1:6" x14ac:dyDescent="0.25">
      <c r="A811" t="s">
        <v>1134</v>
      </c>
      <c r="B811" t="s">
        <v>135</v>
      </c>
      <c r="C811" t="s">
        <v>136</v>
      </c>
      <c r="D811" t="str">
        <f>HYPERLINK("http://service.sap.com/sap/support/notes/1642324","1642324")</f>
        <v>1642324</v>
      </c>
      <c r="E811">
        <v>1</v>
      </c>
      <c r="F811" t="s">
        <v>1562</v>
      </c>
    </row>
    <row r="812" spans="1:6" x14ac:dyDescent="0.25">
      <c r="A812" t="s">
        <v>1134</v>
      </c>
      <c r="B812" t="s">
        <v>135</v>
      </c>
      <c r="C812" t="s">
        <v>136</v>
      </c>
      <c r="D812" t="str">
        <f>HYPERLINK("http://service.sap.com/sap/support/notes/1643317","1643317")</f>
        <v>1643317</v>
      </c>
      <c r="E812">
        <v>2</v>
      </c>
      <c r="F812" t="s">
        <v>1563</v>
      </c>
    </row>
    <row r="813" spans="1:6" x14ac:dyDescent="0.25">
      <c r="A813" t="s">
        <v>1134</v>
      </c>
      <c r="B813" t="s">
        <v>135</v>
      </c>
      <c r="C813" t="s">
        <v>136</v>
      </c>
      <c r="D813" t="str">
        <f>HYPERLINK("http://service.sap.com/sap/support/notes/1644988","1644988")</f>
        <v>1644988</v>
      </c>
      <c r="E813">
        <v>3</v>
      </c>
      <c r="F813" t="s">
        <v>1564</v>
      </c>
    </row>
    <row r="814" spans="1:6" x14ac:dyDescent="0.25">
      <c r="A814" t="s">
        <v>1134</v>
      </c>
      <c r="B814" t="s">
        <v>135</v>
      </c>
      <c r="C814" t="s">
        <v>136</v>
      </c>
      <c r="D814" t="str">
        <f>HYPERLINK("http://service.sap.com/sap/support/notes/1645994","1645994")</f>
        <v>1645994</v>
      </c>
      <c r="E814">
        <v>4</v>
      </c>
      <c r="F814" t="s">
        <v>1565</v>
      </c>
    </row>
    <row r="815" spans="1:6" x14ac:dyDescent="0.25">
      <c r="A815" t="s">
        <v>1134</v>
      </c>
      <c r="B815" t="s">
        <v>135</v>
      </c>
      <c r="C815" t="s">
        <v>136</v>
      </c>
      <c r="D815" t="str">
        <f>HYPERLINK("http://service.sap.com/sap/support/notes/1646411","1646411")</f>
        <v>1646411</v>
      </c>
      <c r="E815">
        <v>3</v>
      </c>
      <c r="F815" t="s">
        <v>1566</v>
      </c>
    </row>
    <row r="816" spans="1:6" x14ac:dyDescent="0.25">
      <c r="A816" t="s">
        <v>1134</v>
      </c>
      <c r="B816" t="s">
        <v>135</v>
      </c>
      <c r="C816" t="s">
        <v>136</v>
      </c>
      <c r="D816" t="str">
        <f>HYPERLINK("http://service.sap.com/sap/support/notes/1646438","1646438")</f>
        <v>1646438</v>
      </c>
      <c r="E816">
        <v>2</v>
      </c>
      <c r="F816" t="s">
        <v>1567</v>
      </c>
    </row>
    <row r="817" spans="1:6" x14ac:dyDescent="0.25">
      <c r="A817" t="s">
        <v>1134</v>
      </c>
      <c r="B817" t="s">
        <v>135</v>
      </c>
      <c r="C817" t="s">
        <v>136</v>
      </c>
      <c r="D817" t="str">
        <f>HYPERLINK("http://service.sap.com/sap/support/notes/1646757","1646757")</f>
        <v>1646757</v>
      </c>
      <c r="E817">
        <v>3</v>
      </c>
      <c r="F817" t="s">
        <v>1568</v>
      </c>
    </row>
    <row r="818" spans="1:6" x14ac:dyDescent="0.25">
      <c r="A818" t="s">
        <v>1134</v>
      </c>
      <c r="B818" t="s">
        <v>135</v>
      </c>
      <c r="C818" t="s">
        <v>136</v>
      </c>
      <c r="D818" t="str">
        <f>HYPERLINK("http://service.sap.com/sap/support/notes/1646859","1646859")</f>
        <v>1646859</v>
      </c>
      <c r="E818">
        <v>6</v>
      </c>
      <c r="F818" t="s">
        <v>1569</v>
      </c>
    </row>
    <row r="819" spans="1:6" x14ac:dyDescent="0.25">
      <c r="A819" t="s">
        <v>1134</v>
      </c>
      <c r="B819" t="s">
        <v>135</v>
      </c>
      <c r="C819" t="s">
        <v>136</v>
      </c>
      <c r="D819" t="str">
        <f>HYPERLINK("http://service.sap.com/sap/support/notes/1647226","1647226")</f>
        <v>1647226</v>
      </c>
      <c r="E819">
        <v>1</v>
      </c>
      <c r="F819" t="s">
        <v>1570</v>
      </c>
    </row>
    <row r="820" spans="1:6" x14ac:dyDescent="0.25">
      <c r="A820" t="s">
        <v>1134</v>
      </c>
      <c r="B820" t="s">
        <v>135</v>
      </c>
      <c r="C820" t="s">
        <v>136</v>
      </c>
      <c r="D820" t="str">
        <f>HYPERLINK("http://service.sap.com/sap/support/notes/1647284","1647284")</f>
        <v>1647284</v>
      </c>
      <c r="E820">
        <v>2</v>
      </c>
      <c r="F820" t="s">
        <v>1571</v>
      </c>
    </row>
    <row r="821" spans="1:6" x14ac:dyDescent="0.25">
      <c r="A821" t="s">
        <v>1134</v>
      </c>
      <c r="B821" t="s">
        <v>135</v>
      </c>
      <c r="C821" t="s">
        <v>136</v>
      </c>
      <c r="D821" t="str">
        <f>HYPERLINK("http://service.sap.com/sap/support/notes/1649594","1649594")</f>
        <v>1649594</v>
      </c>
      <c r="E821">
        <v>1</v>
      </c>
      <c r="F821" t="s">
        <v>1572</v>
      </c>
    </row>
    <row r="822" spans="1:6" x14ac:dyDescent="0.25">
      <c r="A822" t="s">
        <v>1134</v>
      </c>
      <c r="B822" t="s">
        <v>135</v>
      </c>
      <c r="C822" t="s">
        <v>136</v>
      </c>
      <c r="D822" t="str">
        <f>HYPERLINK("http://service.sap.com/sap/support/notes/1649888","1649888")</f>
        <v>1649888</v>
      </c>
      <c r="E822">
        <v>4</v>
      </c>
      <c r="F822" t="s">
        <v>1573</v>
      </c>
    </row>
    <row r="823" spans="1:6" x14ac:dyDescent="0.25">
      <c r="A823" t="s">
        <v>1134</v>
      </c>
      <c r="B823" t="s">
        <v>135</v>
      </c>
      <c r="C823" t="s">
        <v>136</v>
      </c>
      <c r="D823" t="str">
        <f>HYPERLINK("http://service.sap.com/sap/support/notes/1650461","1650461")</f>
        <v>1650461</v>
      </c>
      <c r="E823">
        <v>2</v>
      </c>
      <c r="F823" t="s">
        <v>1574</v>
      </c>
    </row>
    <row r="824" spans="1:6" x14ac:dyDescent="0.25">
      <c r="A824" t="s">
        <v>1134</v>
      </c>
      <c r="B824" t="s">
        <v>135</v>
      </c>
      <c r="C824" t="s">
        <v>136</v>
      </c>
      <c r="D824" t="str">
        <f>HYPERLINK("http://service.sap.com/sap/support/notes/1652787","1652787")</f>
        <v>1652787</v>
      </c>
      <c r="E824">
        <v>1</v>
      </c>
      <c r="F824" t="s">
        <v>1575</v>
      </c>
    </row>
    <row r="825" spans="1:6" x14ac:dyDescent="0.25">
      <c r="A825" t="s">
        <v>1134</v>
      </c>
      <c r="B825" t="s">
        <v>135</v>
      </c>
      <c r="C825" t="s">
        <v>136</v>
      </c>
      <c r="D825" t="str">
        <f>HYPERLINK("http://service.sap.com/sap/support/notes/1652826","1652826")</f>
        <v>1652826</v>
      </c>
      <c r="E825">
        <v>1</v>
      </c>
      <c r="F825" t="s">
        <v>1576</v>
      </c>
    </row>
    <row r="826" spans="1:6" x14ac:dyDescent="0.25">
      <c r="A826" t="s">
        <v>1134</v>
      </c>
      <c r="B826" t="s">
        <v>135</v>
      </c>
      <c r="C826" t="s">
        <v>136</v>
      </c>
      <c r="D826" t="str">
        <f>HYPERLINK("http://service.sap.com/sap/support/notes/1654198","1654198")</f>
        <v>1654198</v>
      </c>
      <c r="E826">
        <v>3</v>
      </c>
      <c r="F826" t="s">
        <v>1577</v>
      </c>
    </row>
    <row r="827" spans="1:6" x14ac:dyDescent="0.25">
      <c r="A827" t="s">
        <v>1134</v>
      </c>
      <c r="B827" t="s">
        <v>137</v>
      </c>
      <c r="C827" t="s">
        <v>40</v>
      </c>
      <c r="D827" t="str">
        <f>HYPERLINK("http://service.sap.com/sap/support/notes/1644168","1644168")</f>
        <v>1644168</v>
      </c>
      <c r="E827">
        <v>1</v>
      </c>
      <c r="F827" t="s">
        <v>1578</v>
      </c>
    </row>
    <row r="828" spans="1:6" x14ac:dyDescent="0.25">
      <c r="A828" t="s">
        <v>1134</v>
      </c>
      <c r="B828" t="s">
        <v>137</v>
      </c>
      <c r="C828" t="s">
        <v>40</v>
      </c>
      <c r="D828" t="str">
        <f>HYPERLINK("http://service.sap.com/sap/support/notes/1647612","1647612")</f>
        <v>1647612</v>
      </c>
      <c r="E828">
        <v>2</v>
      </c>
      <c r="F828" t="s">
        <v>1579</v>
      </c>
    </row>
    <row r="829" spans="1:6" x14ac:dyDescent="0.25">
      <c r="A829" t="s">
        <v>1134</v>
      </c>
      <c r="B829" t="s">
        <v>137</v>
      </c>
      <c r="C829" t="s">
        <v>40</v>
      </c>
      <c r="D829" t="str">
        <f>HYPERLINK("http://service.sap.com/sap/support/notes/1650135","1650135")</f>
        <v>1650135</v>
      </c>
      <c r="E829">
        <v>1</v>
      </c>
      <c r="F829" t="s">
        <v>1580</v>
      </c>
    </row>
    <row r="830" spans="1:6" x14ac:dyDescent="0.25">
      <c r="A830" t="s">
        <v>1134</v>
      </c>
      <c r="B830" t="s">
        <v>137</v>
      </c>
      <c r="C830" t="s">
        <v>40</v>
      </c>
      <c r="D830" t="str">
        <f>HYPERLINK("http://service.sap.com/sap/support/notes/1650503","1650503")</f>
        <v>1650503</v>
      </c>
      <c r="E830">
        <v>1</v>
      </c>
      <c r="F830" t="s">
        <v>1581</v>
      </c>
    </row>
    <row r="831" spans="1:6" x14ac:dyDescent="0.25">
      <c r="A831" t="s">
        <v>1134</v>
      </c>
      <c r="B831" t="s">
        <v>137</v>
      </c>
      <c r="C831" t="s">
        <v>40</v>
      </c>
      <c r="D831" t="str">
        <f>HYPERLINK("http://service.sap.com/sap/support/notes/1653438","1653438")</f>
        <v>1653438</v>
      </c>
      <c r="E831">
        <v>2</v>
      </c>
      <c r="F831" t="s">
        <v>1582</v>
      </c>
    </row>
    <row r="832" spans="1:6" x14ac:dyDescent="0.25">
      <c r="A832" t="s">
        <v>1134</v>
      </c>
      <c r="B832" t="s">
        <v>138</v>
      </c>
      <c r="C832" t="s">
        <v>42</v>
      </c>
      <c r="D832" t="str">
        <f>HYPERLINK("http://service.sap.com/sap/support/notes/1634306","1634306")</f>
        <v>1634306</v>
      </c>
      <c r="E832">
        <v>2</v>
      </c>
      <c r="F832" t="s">
        <v>1583</v>
      </c>
    </row>
    <row r="833" spans="1:6" x14ac:dyDescent="0.25">
      <c r="A833" t="s">
        <v>1134</v>
      </c>
      <c r="B833" t="s">
        <v>138</v>
      </c>
      <c r="C833" t="s">
        <v>42</v>
      </c>
      <c r="D833" t="str">
        <f>HYPERLINK("http://service.sap.com/sap/support/notes/1636789","1636789")</f>
        <v>1636789</v>
      </c>
      <c r="E833">
        <v>4</v>
      </c>
      <c r="F833" t="s">
        <v>1584</v>
      </c>
    </row>
    <row r="834" spans="1:6" x14ac:dyDescent="0.25">
      <c r="A834" t="s">
        <v>1134</v>
      </c>
      <c r="B834" t="s">
        <v>138</v>
      </c>
      <c r="C834" t="s">
        <v>42</v>
      </c>
      <c r="D834" t="str">
        <f>HYPERLINK("http://service.sap.com/sap/support/notes/1644961","1644961")</f>
        <v>1644961</v>
      </c>
      <c r="E834">
        <v>4</v>
      </c>
      <c r="F834" t="s">
        <v>1585</v>
      </c>
    </row>
    <row r="835" spans="1:6" x14ac:dyDescent="0.25">
      <c r="A835" t="s">
        <v>1134</v>
      </c>
      <c r="B835" t="s">
        <v>138</v>
      </c>
      <c r="C835" t="s">
        <v>42</v>
      </c>
      <c r="D835" t="str">
        <f>HYPERLINK("http://service.sap.com/sap/support/notes/1647211","1647211")</f>
        <v>1647211</v>
      </c>
      <c r="E835">
        <v>4</v>
      </c>
      <c r="F835" t="s">
        <v>1586</v>
      </c>
    </row>
    <row r="836" spans="1:6" x14ac:dyDescent="0.25">
      <c r="A836" t="s">
        <v>1134</v>
      </c>
      <c r="B836" t="s">
        <v>138</v>
      </c>
      <c r="C836" t="s">
        <v>42</v>
      </c>
      <c r="D836" t="str">
        <f>HYPERLINK("http://service.sap.com/sap/support/notes/1649324","1649324")</f>
        <v>1649324</v>
      </c>
      <c r="E836">
        <v>7</v>
      </c>
      <c r="F836" t="s">
        <v>1587</v>
      </c>
    </row>
    <row r="837" spans="1:6" x14ac:dyDescent="0.25">
      <c r="A837" t="s">
        <v>1134</v>
      </c>
      <c r="B837" t="s">
        <v>138</v>
      </c>
      <c r="C837" t="s">
        <v>42</v>
      </c>
      <c r="D837" t="str">
        <f>HYPERLINK("http://service.sap.com/sap/support/notes/1651991","1651991")</f>
        <v>1651991</v>
      </c>
      <c r="E837">
        <v>1</v>
      </c>
      <c r="F837" t="s">
        <v>1588</v>
      </c>
    </row>
    <row r="838" spans="1:6" x14ac:dyDescent="0.25">
      <c r="A838" t="s">
        <v>1134</v>
      </c>
      <c r="B838" t="s">
        <v>138</v>
      </c>
      <c r="C838" t="s">
        <v>42</v>
      </c>
      <c r="D838" t="str">
        <f>HYPERLINK("http://service.sap.com/sap/support/notes/1652017","1652017")</f>
        <v>1652017</v>
      </c>
      <c r="E838">
        <v>5</v>
      </c>
      <c r="F838" t="s">
        <v>1589</v>
      </c>
    </row>
    <row r="839" spans="1:6" x14ac:dyDescent="0.25">
      <c r="A839" t="s">
        <v>1134</v>
      </c>
      <c r="B839" t="s">
        <v>138</v>
      </c>
      <c r="C839" t="s">
        <v>42</v>
      </c>
      <c r="D839" t="str">
        <f>HYPERLINK("http://service.sap.com/sap/support/notes/1654886","1654886")</f>
        <v>1654886</v>
      </c>
      <c r="E839">
        <v>7</v>
      </c>
      <c r="F839" t="s">
        <v>1590</v>
      </c>
    </row>
    <row r="840" spans="1:6" x14ac:dyDescent="0.25">
      <c r="A840" t="s">
        <v>1134</v>
      </c>
      <c r="B840" t="s">
        <v>139</v>
      </c>
      <c r="C840" t="s">
        <v>140</v>
      </c>
      <c r="D840" t="str">
        <f>HYPERLINK("http://service.sap.com/sap/support/notes/1129168","1129168")</f>
        <v>1129168</v>
      </c>
      <c r="E840">
        <v>1</v>
      </c>
      <c r="F840" t="s">
        <v>141</v>
      </c>
    </row>
    <row r="841" spans="1:6" x14ac:dyDescent="0.25">
      <c r="A841" t="s">
        <v>1134</v>
      </c>
      <c r="B841" t="s">
        <v>139</v>
      </c>
      <c r="C841" t="s">
        <v>140</v>
      </c>
      <c r="D841" t="str">
        <f>HYPERLINK("http://service.sap.com/sap/support/notes/1617097","1617097")</f>
        <v>1617097</v>
      </c>
      <c r="E841">
        <v>2</v>
      </c>
      <c r="F841" t="s">
        <v>1591</v>
      </c>
    </row>
    <row r="842" spans="1:6" x14ac:dyDescent="0.25">
      <c r="A842" t="s">
        <v>1134</v>
      </c>
      <c r="B842" t="s">
        <v>139</v>
      </c>
      <c r="C842" t="s">
        <v>140</v>
      </c>
      <c r="D842" t="str">
        <f>HYPERLINK("http://service.sap.com/sap/support/notes/1617119","1617119")</f>
        <v>1617119</v>
      </c>
      <c r="E842">
        <v>1</v>
      </c>
      <c r="F842" t="s">
        <v>1592</v>
      </c>
    </row>
    <row r="843" spans="1:6" x14ac:dyDescent="0.25">
      <c r="A843" t="s">
        <v>1134</v>
      </c>
      <c r="B843" t="s">
        <v>322</v>
      </c>
      <c r="C843" t="s">
        <v>115</v>
      </c>
    </row>
    <row r="844" spans="1:6" x14ac:dyDescent="0.25">
      <c r="A844" t="s">
        <v>1134</v>
      </c>
      <c r="B844" t="s">
        <v>323</v>
      </c>
      <c r="C844" t="s">
        <v>324</v>
      </c>
      <c r="D844" t="str">
        <f>HYPERLINK("http://service.sap.com/sap/support/notes/1588803","1588803")</f>
        <v>1588803</v>
      </c>
      <c r="E844">
        <v>2</v>
      </c>
      <c r="F844" t="s">
        <v>1593</v>
      </c>
    </row>
    <row r="845" spans="1:6" x14ac:dyDescent="0.25">
      <c r="A845" t="s">
        <v>1134</v>
      </c>
      <c r="B845" t="s">
        <v>398</v>
      </c>
      <c r="C845" t="s">
        <v>123</v>
      </c>
      <c r="D845" t="str">
        <f>HYPERLINK("http://service.sap.com/sap/support/notes/1635954","1635954")</f>
        <v>1635954</v>
      </c>
      <c r="E845">
        <v>3</v>
      </c>
      <c r="F845" t="s">
        <v>1594</v>
      </c>
    </row>
    <row r="846" spans="1:6" x14ac:dyDescent="0.25">
      <c r="A846" t="s">
        <v>1134</v>
      </c>
      <c r="B846" t="s">
        <v>142</v>
      </c>
      <c r="C846" t="s">
        <v>82</v>
      </c>
      <c r="D846" t="str">
        <f>HYPERLINK("http://service.sap.com/sap/support/notes/1641109","1641109")</f>
        <v>1641109</v>
      </c>
      <c r="E846">
        <v>3</v>
      </c>
      <c r="F846" t="s">
        <v>1032</v>
      </c>
    </row>
    <row r="847" spans="1:6" x14ac:dyDescent="0.25">
      <c r="A847" t="s">
        <v>1134</v>
      </c>
      <c r="B847" t="s">
        <v>142</v>
      </c>
      <c r="C847" t="s">
        <v>82</v>
      </c>
      <c r="D847" t="str">
        <f>HYPERLINK("http://service.sap.com/sap/support/notes/1644692","1644692")</f>
        <v>1644692</v>
      </c>
      <c r="E847">
        <v>2</v>
      </c>
      <c r="F847" t="s">
        <v>1595</v>
      </c>
    </row>
    <row r="848" spans="1:6" x14ac:dyDescent="0.25">
      <c r="A848" t="s">
        <v>1134</v>
      </c>
      <c r="B848" t="s">
        <v>142</v>
      </c>
      <c r="C848" t="s">
        <v>82</v>
      </c>
      <c r="D848" t="str">
        <f>HYPERLINK("http://service.sap.com/sap/support/notes/1645992","1645992")</f>
        <v>1645992</v>
      </c>
      <c r="E848">
        <v>2</v>
      </c>
      <c r="F848" t="s">
        <v>1596</v>
      </c>
    </row>
    <row r="849" spans="1:6" x14ac:dyDescent="0.25">
      <c r="A849" t="s">
        <v>1134</v>
      </c>
      <c r="B849" t="s">
        <v>142</v>
      </c>
      <c r="C849" t="s">
        <v>82</v>
      </c>
      <c r="D849" t="str">
        <f>HYPERLINK("http://service.sap.com/sap/support/notes/1647265","1647265")</f>
        <v>1647265</v>
      </c>
      <c r="E849">
        <v>1</v>
      </c>
      <c r="F849" t="s">
        <v>1597</v>
      </c>
    </row>
    <row r="850" spans="1:6" x14ac:dyDescent="0.25">
      <c r="A850" t="s">
        <v>1134</v>
      </c>
      <c r="B850" t="s">
        <v>142</v>
      </c>
      <c r="C850" t="s">
        <v>82</v>
      </c>
      <c r="D850" t="str">
        <f>HYPERLINK("http://service.sap.com/sap/support/notes/1648335","1648335")</f>
        <v>1648335</v>
      </c>
      <c r="E850">
        <v>3</v>
      </c>
      <c r="F850" t="s">
        <v>1598</v>
      </c>
    </row>
    <row r="851" spans="1:6" x14ac:dyDescent="0.25">
      <c r="A851" t="s">
        <v>1134</v>
      </c>
      <c r="B851" t="s">
        <v>142</v>
      </c>
      <c r="C851" t="s">
        <v>82</v>
      </c>
      <c r="D851" t="str">
        <f>HYPERLINK("http://service.sap.com/sap/support/notes/1651286","1651286")</f>
        <v>1651286</v>
      </c>
      <c r="E851">
        <v>1</v>
      </c>
      <c r="F851" t="s">
        <v>1599</v>
      </c>
    </row>
    <row r="852" spans="1:6" x14ac:dyDescent="0.25">
      <c r="A852" t="s">
        <v>1134</v>
      </c>
      <c r="B852" t="s">
        <v>143</v>
      </c>
      <c r="C852" t="s">
        <v>132</v>
      </c>
    </row>
    <row r="853" spans="1:6" x14ac:dyDescent="0.25">
      <c r="A853" t="s">
        <v>1134</v>
      </c>
      <c r="B853" t="s">
        <v>144</v>
      </c>
      <c r="C853" t="s">
        <v>145</v>
      </c>
      <c r="D853" t="str">
        <f>HYPERLINK("http://service.sap.com/sap/support/notes/1603872","1603872")</f>
        <v>1603872</v>
      </c>
      <c r="E853">
        <v>1</v>
      </c>
      <c r="F853" t="s">
        <v>1600</v>
      </c>
    </row>
    <row r="854" spans="1:6" x14ac:dyDescent="0.25">
      <c r="A854" t="s">
        <v>1134</v>
      </c>
      <c r="B854" t="s">
        <v>144</v>
      </c>
      <c r="C854" t="s">
        <v>145</v>
      </c>
      <c r="D854" t="str">
        <f>HYPERLINK("http://service.sap.com/sap/support/notes/1625545","1625545")</f>
        <v>1625545</v>
      </c>
      <c r="E854">
        <v>2</v>
      </c>
      <c r="F854" t="s">
        <v>1601</v>
      </c>
    </row>
    <row r="855" spans="1:6" x14ac:dyDescent="0.25">
      <c r="A855" t="s">
        <v>1134</v>
      </c>
      <c r="B855" t="s">
        <v>144</v>
      </c>
      <c r="C855" t="s">
        <v>145</v>
      </c>
      <c r="D855" t="str">
        <f>HYPERLINK("http://service.sap.com/sap/support/notes/1659227","1659227")</f>
        <v>1659227</v>
      </c>
      <c r="E855">
        <v>1</v>
      </c>
      <c r="F855" t="s">
        <v>1602</v>
      </c>
    </row>
    <row r="856" spans="1:6" x14ac:dyDescent="0.25">
      <c r="A856" t="s">
        <v>1134</v>
      </c>
      <c r="B856" t="s">
        <v>146</v>
      </c>
      <c r="C856" t="s">
        <v>147</v>
      </c>
      <c r="D856" t="str">
        <f>HYPERLINK("http://service.sap.com/sap/support/notes/1643467","1643467")</f>
        <v>1643467</v>
      </c>
      <c r="E856">
        <v>1</v>
      </c>
      <c r="F856" t="s">
        <v>1603</v>
      </c>
    </row>
    <row r="857" spans="1:6" x14ac:dyDescent="0.25">
      <c r="A857" t="s">
        <v>1134</v>
      </c>
      <c r="B857" t="s">
        <v>146</v>
      </c>
      <c r="C857" t="s">
        <v>147</v>
      </c>
      <c r="D857" t="str">
        <f>HYPERLINK("http://service.sap.com/sap/support/notes/1646103","1646103")</f>
        <v>1646103</v>
      </c>
      <c r="E857">
        <v>1</v>
      </c>
      <c r="F857" t="s">
        <v>1604</v>
      </c>
    </row>
    <row r="858" spans="1:6" x14ac:dyDescent="0.25">
      <c r="A858" t="s">
        <v>1134</v>
      </c>
      <c r="B858" t="s">
        <v>148</v>
      </c>
      <c r="C858" t="s">
        <v>45</v>
      </c>
      <c r="D858" t="str">
        <f>HYPERLINK("http://service.sap.com/sap/support/notes/1645101","1645101")</f>
        <v>1645101</v>
      </c>
      <c r="E858">
        <v>2</v>
      </c>
      <c r="F858" t="s">
        <v>1605</v>
      </c>
    </row>
    <row r="859" spans="1:6" x14ac:dyDescent="0.25">
      <c r="A859" t="s">
        <v>1134</v>
      </c>
      <c r="B859" t="s">
        <v>148</v>
      </c>
      <c r="C859" t="s">
        <v>45</v>
      </c>
      <c r="D859" t="str">
        <f>HYPERLINK("http://service.sap.com/sap/support/notes/1651699","1651699")</f>
        <v>1651699</v>
      </c>
      <c r="E859">
        <v>1</v>
      </c>
      <c r="F859" t="s">
        <v>1606</v>
      </c>
    </row>
    <row r="860" spans="1:6" x14ac:dyDescent="0.25">
      <c r="A860" t="s">
        <v>1134</v>
      </c>
      <c r="B860" t="s">
        <v>149</v>
      </c>
      <c r="C860" t="s">
        <v>150</v>
      </c>
      <c r="D860" t="str">
        <f>HYPERLINK("http://service.sap.com/sap/support/notes/1147798","1147798")</f>
        <v>1147798</v>
      </c>
      <c r="E860">
        <v>1</v>
      </c>
      <c r="F860" t="s">
        <v>151</v>
      </c>
    </row>
    <row r="861" spans="1:6" x14ac:dyDescent="0.25">
      <c r="A861" t="s">
        <v>1134</v>
      </c>
      <c r="B861" t="s">
        <v>149</v>
      </c>
      <c r="C861" t="s">
        <v>150</v>
      </c>
      <c r="D861" t="str">
        <f>HYPERLINK("http://service.sap.com/sap/support/notes/1617553","1617553")</f>
        <v>1617553</v>
      </c>
      <c r="E861">
        <v>4</v>
      </c>
      <c r="F861" t="s">
        <v>1607</v>
      </c>
    </row>
    <row r="862" spans="1:6" x14ac:dyDescent="0.25">
      <c r="A862" t="s">
        <v>1134</v>
      </c>
      <c r="B862" t="s">
        <v>149</v>
      </c>
      <c r="C862" t="s">
        <v>150</v>
      </c>
      <c r="D862" t="str">
        <f>HYPERLINK("http://service.sap.com/sap/support/notes/1639704","1639704")</f>
        <v>1639704</v>
      </c>
      <c r="E862">
        <v>1</v>
      </c>
      <c r="F862" t="s">
        <v>1608</v>
      </c>
    </row>
    <row r="863" spans="1:6" x14ac:dyDescent="0.25">
      <c r="A863" t="s">
        <v>1134</v>
      </c>
      <c r="B863" t="s">
        <v>149</v>
      </c>
      <c r="C863" t="s">
        <v>150</v>
      </c>
      <c r="D863" t="str">
        <f>HYPERLINK("http://service.sap.com/sap/support/notes/1646914","1646914")</f>
        <v>1646914</v>
      </c>
      <c r="E863">
        <v>3</v>
      </c>
      <c r="F863" t="s">
        <v>1609</v>
      </c>
    </row>
    <row r="864" spans="1:6" x14ac:dyDescent="0.25">
      <c r="A864" t="s">
        <v>1134</v>
      </c>
      <c r="B864" t="s">
        <v>149</v>
      </c>
      <c r="C864" t="s">
        <v>150</v>
      </c>
      <c r="D864" t="str">
        <f>HYPERLINK("http://service.sap.com/sap/support/notes/1653200","1653200")</f>
        <v>1653200</v>
      </c>
      <c r="E864">
        <v>1</v>
      </c>
      <c r="F864" t="s">
        <v>1610</v>
      </c>
    </row>
    <row r="865" spans="1:6" x14ac:dyDescent="0.25">
      <c r="A865" t="s">
        <v>1134</v>
      </c>
      <c r="B865" t="s">
        <v>152</v>
      </c>
      <c r="C865" t="s">
        <v>47</v>
      </c>
      <c r="D865" t="str">
        <f>HYPERLINK("http://service.sap.com/sap/support/notes/1540044","1540044")</f>
        <v>1540044</v>
      </c>
      <c r="E865">
        <v>3</v>
      </c>
      <c r="F865" t="s">
        <v>1611</v>
      </c>
    </row>
    <row r="866" spans="1:6" x14ac:dyDescent="0.25">
      <c r="A866" t="s">
        <v>1134</v>
      </c>
      <c r="B866" t="s">
        <v>152</v>
      </c>
      <c r="C866" t="s">
        <v>47</v>
      </c>
      <c r="D866" t="str">
        <f>HYPERLINK("http://service.sap.com/sap/support/notes/1638325","1638325")</f>
        <v>1638325</v>
      </c>
      <c r="E866">
        <v>2</v>
      </c>
      <c r="F866" t="s">
        <v>1612</v>
      </c>
    </row>
    <row r="867" spans="1:6" x14ac:dyDescent="0.25">
      <c r="A867" t="s">
        <v>1134</v>
      </c>
      <c r="B867" t="s">
        <v>152</v>
      </c>
      <c r="C867" t="s">
        <v>47</v>
      </c>
      <c r="D867" t="str">
        <f>HYPERLINK("http://service.sap.com/sap/support/notes/1642640","1642640")</f>
        <v>1642640</v>
      </c>
      <c r="E867">
        <v>3</v>
      </c>
      <c r="F867" t="s">
        <v>1613</v>
      </c>
    </row>
    <row r="868" spans="1:6" x14ac:dyDescent="0.25">
      <c r="A868" t="s">
        <v>1134</v>
      </c>
      <c r="B868" t="s">
        <v>155</v>
      </c>
      <c r="C868" t="s">
        <v>49</v>
      </c>
      <c r="D868" t="str">
        <f>HYPERLINK("http://service.sap.com/sap/support/notes/1619831","1619831")</f>
        <v>1619831</v>
      </c>
      <c r="E868">
        <v>3</v>
      </c>
      <c r="F868" t="s">
        <v>1614</v>
      </c>
    </row>
    <row r="869" spans="1:6" x14ac:dyDescent="0.25">
      <c r="A869" t="s">
        <v>1134</v>
      </c>
      <c r="B869" t="s">
        <v>155</v>
      </c>
      <c r="C869" t="s">
        <v>49</v>
      </c>
      <c r="D869" t="str">
        <f>HYPERLINK("http://service.sap.com/sap/support/notes/1637898","1637898")</f>
        <v>1637898</v>
      </c>
      <c r="E869">
        <v>2</v>
      </c>
      <c r="F869" t="s">
        <v>1615</v>
      </c>
    </row>
    <row r="870" spans="1:6" x14ac:dyDescent="0.25">
      <c r="A870" t="s">
        <v>1134</v>
      </c>
      <c r="B870" t="s">
        <v>155</v>
      </c>
      <c r="C870" t="s">
        <v>49</v>
      </c>
      <c r="D870" t="str">
        <f>HYPERLINK("http://service.sap.com/sap/support/notes/1642963","1642963")</f>
        <v>1642963</v>
      </c>
      <c r="E870">
        <v>2</v>
      </c>
      <c r="F870" t="s">
        <v>1616</v>
      </c>
    </row>
    <row r="871" spans="1:6" x14ac:dyDescent="0.25">
      <c r="A871" t="s">
        <v>1134</v>
      </c>
      <c r="B871" t="s">
        <v>155</v>
      </c>
      <c r="C871" t="s">
        <v>49</v>
      </c>
      <c r="D871" t="str">
        <f>HYPERLINK("http://service.sap.com/sap/support/notes/1645318","1645318")</f>
        <v>1645318</v>
      </c>
      <c r="E871">
        <v>3</v>
      </c>
      <c r="F871" t="s">
        <v>1617</v>
      </c>
    </row>
    <row r="872" spans="1:6" x14ac:dyDescent="0.25">
      <c r="A872" t="s">
        <v>1134</v>
      </c>
      <c r="B872" t="s">
        <v>155</v>
      </c>
      <c r="C872" t="s">
        <v>49</v>
      </c>
      <c r="D872" t="str">
        <f>HYPERLINK("http://service.sap.com/sap/support/notes/1649570","1649570")</f>
        <v>1649570</v>
      </c>
      <c r="E872">
        <v>3</v>
      </c>
      <c r="F872" t="s">
        <v>1618</v>
      </c>
    </row>
    <row r="873" spans="1:6" x14ac:dyDescent="0.25">
      <c r="A873" t="s">
        <v>1134</v>
      </c>
      <c r="B873" t="s">
        <v>811</v>
      </c>
      <c r="C873" t="s">
        <v>82</v>
      </c>
      <c r="D873" t="str">
        <f>HYPERLINK("http://service.sap.com/sap/support/notes/1492141","1492141")</f>
        <v>1492141</v>
      </c>
      <c r="E873">
        <v>1</v>
      </c>
      <c r="F873" t="s">
        <v>1050</v>
      </c>
    </row>
    <row r="874" spans="1:6" x14ac:dyDescent="0.25">
      <c r="A874" t="s">
        <v>1134</v>
      </c>
      <c r="B874" t="s">
        <v>811</v>
      </c>
      <c r="C874" t="s">
        <v>82</v>
      </c>
      <c r="D874" t="str">
        <f>HYPERLINK("http://service.sap.com/sap/support/notes/1646918","1646918")</f>
        <v>1646918</v>
      </c>
      <c r="E874">
        <v>1</v>
      </c>
      <c r="F874" t="s">
        <v>1619</v>
      </c>
    </row>
    <row r="875" spans="1:6" x14ac:dyDescent="0.25">
      <c r="A875" t="s">
        <v>1134</v>
      </c>
      <c r="B875" t="s">
        <v>156</v>
      </c>
      <c r="C875" t="s">
        <v>52</v>
      </c>
      <c r="D875" t="str">
        <f>HYPERLINK("http://service.sap.com/sap/support/notes/1641370","1641370")</f>
        <v>1641370</v>
      </c>
      <c r="E875">
        <v>1</v>
      </c>
      <c r="F875" t="s">
        <v>1620</v>
      </c>
    </row>
    <row r="876" spans="1:6" x14ac:dyDescent="0.25">
      <c r="A876" t="s">
        <v>1134</v>
      </c>
      <c r="B876" t="s">
        <v>156</v>
      </c>
      <c r="C876" t="s">
        <v>52</v>
      </c>
      <c r="D876" t="str">
        <f>HYPERLINK("http://service.sap.com/sap/support/notes/1645256","1645256")</f>
        <v>1645256</v>
      </c>
      <c r="E876">
        <v>1</v>
      </c>
      <c r="F876" t="s">
        <v>1621</v>
      </c>
    </row>
    <row r="877" spans="1:6" x14ac:dyDescent="0.25">
      <c r="A877" t="s">
        <v>1134</v>
      </c>
      <c r="B877" t="s">
        <v>156</v>
      </c>
      <c r="C877" t="s">
        <v>52</v>
      </c>
      <c r="D877" t="str">
        <f>HYPERLINK("http://service.sap.com/sap/support/notes/1646185","1646185")</f>
        <v>1646185</v>
      </c>
      <c r="E877">
        <v>1</v>
      </c>
      <c r="F877" t="s">
        <v>1622</v>
      </c>
    </row>
    <row r="878" spans="1:6" x14ac:dyDescent="0.25">
      <c r="A878" t="s">
        <v>1134</v>
      </c>
      <c r="B878" t="s">
        <v>156</v>
      </c>
      <c r="C878" t="s">
        <v>52</v>
      </c>
      <c r="D878" t="str">
        <f>HYPERLINK("http://service.sap.com/sap/support/notes/1647642","1647642")</f>
        <v>1647642</v>
      </c>
      <c r="E878">
        <v>1</v>
      </c>
      <c r="F878" t="s">
        <v>1623</v>
      </c>
    </row>
    <row r="879" spans="1:6" x14ac:dyDescent="0.25">
      <c r="A879" t="s">
        <v>1134</v>
      </c>
      <c r="B879" t="s">
        <v>156</v>
      </c>
      <c r="C879" t="s">
        <v>52</v>
      </c>
      <c r="D879" t="str">
        <f>HYPERLINK("http://service.sap.com/sap/support/notes/1648605","1648605")</f>
        <v>1648605</v>
      </c>
      <c r="E879">
        <v>1</v>
      </c>
      <c r="F879" t="s">
        <v>1624</v>
      </c>
    </row>
    <row r="880" spans="1:6" x14ac:dyDescent="0.25">
      <c r="A880" t="s">
        <v>1134</v>
      </c>
      <c r="B880" t="s">
        <v>156</v>
      </c>
      <c r="C880" t="s">
        <v>52</v>
      </c>
      <c r="D880" t="str">
        <f>HYPERLINK("http://service.sap.com/sap/support/notes/1648751","1648751")</f>
        <v>1648751</v>
      </c>
      <c r="E880">
        <v>1</v>
      </c>
      <c r="F880" t="s">
        <v>1625</v>
      </c>
    </row>
    <row r="881" spans="1:6" x14ac:dyDescent="0.25">
      <c r="A881" t="s">
        <v>1134</v>
      </c>
      <c r="B881" t="s">
        <v>156</v>
      </c>
      <c r="C881" t="s">
        <v>52</v>
      </c>
      <c r="D881" t="str">
        <f>HYPERLINK("http://service.sap.com/sap/support/notes/1649155","1649155")</f>
        <v>1649155</v>
      </c>
      <c r="E881">
        <v>1</v>
      </c>
      <c r="F881" t="s">
        <v>1626</v>
      </c>
    </row>
    <row r="882" spans="1:6" x14ac:dyDescent="0.25">
      <c r="A882" t="s">
        <v>1134</v>
      </c>
      <c r="B882" t="s">
        <v>158</v>
      </c>
      <c r="C882" t="s">
        <v>54</v>
      </c>
      <c r="D882" t="str">
        <f>HYPERLINK("http://service.sap.com/sap/support/notes/1624560","1624560")</f>
        <v>1624560</v>
      </c>
      <c r="E882">
        <v>1</v>
      </c>
      <c r="F882" t="s">
        <v>1627</v>
      </c>
    </row>
    <row r="883" spans="1:6" x14ac:dyDescent="0.25">
      <c r="A883" t="s">
        <v>1134</v>
      </c>
      <c r="B883" t="s">
        <v>158</v>
      </c>
      <c r="C883" t="s">
        <v>54</v>
      </c>
      <c r="D883" t="str">
        <f>HYPERLINK("http://service.sap.com/sap/support/notes/1639911","1639911")</f>
        <v>1639911</v>
      </c>
      <c r="E883">
        <v>2</v>
      </c>
      <c r="F883" t="s">
        <v>1628</v>
      </c>
    </row>
    <row r="884" spans="1:6" x14ac:dyDescent="0.25">
      <c r="A884" t="s">
        <v>1134</v>
      </c>
      <c r="B884" t="s">
        <v>158</v>
      </c>
      <c r="C884" t="s">
        <v>54</v>
      </c>
      <c r="D884" t="str">
        <f>HYPERLINK("http://service.sap.com/sap/support/notes/1645767","1645767")</f>
        <v>1645767</v>
      </c>
      <c r="E884">
        <v>2</v>
      </c>
      <c r="F884" t="s">
        <v>1629</v>
      </c>
    </row>
    <row r="885" spans="1:6" x14ac:dyDescent="0.25">
      <c r="A885" t="s">
        <v>1134</v>
      </c>
      <c r="B885" t="s">
        <v>158</v>
      </c>
      <c r="C885" t="s">
        <v>54</v>
      </c>
      <c r="D885" t="str">
        <f>HYPERLINK("http://service.sap.com/sap/support/notes/1650691","1650691")</f>
        <v>1650691</v>
      </c>
      <c r="E885">
        <v>2</v>
      </c>
      <c r="F885" t="s">
        <v>1630</v>
      </c>
    </row>
    <row r="886" spans="1:6" x14ac:dyDescent="0.25">
      <c r="A886" t="s">
        <v>1134</v>
      </c>
      <c r="B886" t="s">
        <v>159</v>
      </c>
      <c r="C886" t="s">
        <v>160</v>
      </c>
      <c r="D886" t="str">
        <f>HYPERLINK("http://service.sap.com/sap/support/notes/1636793","1636793")</f>
        <v>1636793</v>
      </c>
      <c r="E886">
        <v>3</v>
      </c>
      <c r="F886" t="s">
        <v>1631</v>
      </c>
    </row>
    <row r="887" spans="1:6" x14ac:dyDescent="0.25">
      <c r="A887" t="s">
        <v>1134</v>
      </c>
      <c r="B887" t="s">
        <v>159</v>
      </c>
      <c r="C887" t="s">
        <v>160</v>
      </c>
      <c r="D887" t="str">
        <f>HYPERLINK("http://service.sap.com/sap/support/notes/1641813","1641813")</f>
        <v>1641813</v>
      </c>
      <c r="E887">
        <v>2</v>
      </c>
      <c r="F887" t="s">
        <v>1632</v>
      </c>
    </row>
    <row r="888" spans="1:6" x14ac:dyDescent="0.25">
      <c r="A888" t="s">
        <v>1134</v>
      </c>
      <c r="B888" t="s">
        <v>159</v>
      </c>
      <c r="C888" t="s">
        <v>160</v>
      </c>
      <c r="D888" t="str">
        <f>HYPERLINK("http://service.sap.com/sap/support/notes/1649891","1649891")</f>
        <v>1649891</v>
      </c>
      <c r="E888">
        <v>1</v>
      </c>
      <c r="F888" t="s">
        <v>1633</v>
      </c>
    </row>
    <row r="889" spans="1:6" x14ac:dyDescent="0.25">
      <c r="A889" t="s">
        <v>1134</v>
      </c>
      <c r="B889" t="s">
        <v>163</v>
      </c>
      <c r="C889" t="s">
        <v>56</v>
      </c>
      <c r="D889" t="str">
        <f>HYPERLINK("http://service.sap.com/sap/support/notes/1600808","1600808")</f>
        <v>1600808</v>
      </c>
      <c r="E889">
        <v>2</v>
      </c>
      <c r="F889" t="s">
        <v>1634</v>
      </c>
    </row>
    <row r="890" spans="1:6" x14ac:dyDescent="0.25">
      <c r="A890" t="s">
        <v>1134</v>
      </c>
      <c r="B890" t="s">
        <v>163</v>
      </c>
      <c r="C890" t="s">
        <v>56</v>
      </c>
      <c r="D890" t="str">
        <f>HYPERLINK("http://service.sap.com/sap/support/notes/1621160","1621160")</f>
        <v>1621160</v>
      </c>
      <c r="E890">
        <v>2</v>
      </c>
      <c r="F890" t="s">
        <v>812</v>
      </c>
    </row>
    <row r="891" spans="1:6" x14ac:dyDescent="0.25">
      <c r="A891" t="s">
        <v>1134</v>
      </c>
      <c r="B891" t="s">
        <v>163</v>
      </c>
      <c r="C891" t="s">
        <v>56</v>
      </c>
      <c r="D891" t="str">
        <f>HYPERLINK("http://service.sap.com/sap/support/notes/1630054","1630054")</f>
        <v>1630054</v>
      </c>
      <c r="E891">
        <v>1</v>
      </c>
      <c r="F891" t="s">
        <v>1635</v>
      </c>
    </row>
    <row r="892" spans="1:6" x14ac:dyDescent="0.25">
      <c r="A892" t="s">
        <v>1134</v>
      </c>
      <c r="B892" t="s">
        <v>163</v>
      </c>
      <c r="C892" t="s">
        <v>56</v>
      </c>
      <c r="D892" t="str">
        <f>HYPERLINK("http://service.sap.com/sap/support/notes/1640370","1640370")</f>
        <v>1640370</v>
      </c>
      <c r="E892">
        <v>1</v>
      </c>
      <c r="F892" t="s">
        <v>1636</v>
      </c>
    </row>
    <row r="893" spans="1:6" x14ac:dyDescent="0.25">
      <c r="A893" t="s">
        <v>1134</v>
      </c>
      <c r="B893" t="s">
        <v>163</v>
      </c>
      <c r="C893" t="s">
        <v>56</v>
      </c>
      <c r="D893" t="str">
        <f>HYPERLINK("http://service.sap.com/sap/support/notes/1645116","1645116")</f>
        <v>1645116</v>
      </c>
      <c r="E893">
        <v>1</v>
      </c>
      <c r="F893" t="s">
        <v>1637</v>
      </c>
    </row>
    <row r="894" spans="1:6" x14ac:dyDescent="0.25">
      <c r="A894" t="s">
        <v>1134</v>
      </c>
      <c r="B894" t="s">
        <v>163</v>
      </c>
      <c r="C894" t="s">
        <v>56</v>
      </c>
      <c r="D894" t="str">
        <f>HYPERLINK("http://service.sap.com/sap/support/notes/1648052","1648052")</f>
        <v>1648052</v>
      </c>
      <c r="E894">
        <v>1</v>
      </c>
      <c r="F894" t="s">
        <v>1638</v>
      </c>
    </row>
    <row r="895" spans="1:6" x14ac:dyDescent="0.25">
      <c r="A895" t="s">
        <v>1134</v>
      </c>
      <c r="B895" t="s">
        <v>163</v>
      </c>
      <c r="C895" t="s">
        <v>56</v>
      </c>
      <c r="D895" t="str">
        <f>HYPERLINK("http://service.sap.com/sap/support/notes/1650256","1650256")</f>
        <v>1650256</v>
      </c>
      <c r="E895">
        <v>1</v>
      </c>
      <c r="F895" t="s">
        <v>1639</v>
      </c>
    </row>
    <row r="896" spans="1:6" x14ac:dyDescent="0.25">
      <c r="A896" t="s">
        <v>1134</v>
      </c>
      <c r="B896" t="s">
        <v>163</v>
      </c>
      <c r="C896" t="s">
        <v>56</v>
      </c>
      <c r="D896" t="str">
        <f>HYPERLINK("http://service.sap.com/sap/support/notes/1651698","1651698")</f>
        <v>1651698</v>
      </c>
      <c r="E896">
        <v>1</v>
      </c>
      <c r="F896" t="s">
        <v>1640</v>
      </c>
    </row>
    <row r="897" spans="1:6" x14ac:dyDescent="0.25">
      <c r="A897" t="s">
        <v>1134</v>
      </c>
      <c r="B897" t="s">
        <v>164</v>
      </c>
      <c r="C897" t="s">
        <v>165</v>
      </c>
      <c r="D897" t="str">
        <f>HYPERLINK("http://service.sap.com/sap/support/notes/1638700","1638700")</f>
        <v>1638700</v>
      </c>
      <c r="E897">
        <v>1</v>
      </c>
      <c r="F897" t="s">
        <v>1641</v>
      </c>
    </row>
    <row r="898" spans="1:6" x14ac:dyDescent="0.25">
      <c r="A898" t="s">
        <v>1134</v>
      </c>
      <c r="B898" t="s">
        <v>164</v>
      </c>
      <c r="C898" t="s">
        <v>165</v>
      </c>
      <c r="D898" t="str">
        <f>HYPERLINK("http://service.sap.com/sap/support/notes/1640574","1640574")</f>
        <v>1640574</v>
      </c>
      <c r="E898">
        <v>2</v>
      </c>
      <c r="F898" t="s">
        <v>1642</v>
      </c>
    </row>
    <row r="899" spans="1:6" x14ac:dyDescent="0.25">
      <c r="A899" t="s">
        <v>1134</v>
      </c>
      <c r="B899" t="s">
        <v>164</v>
      </c>
      <c r="C899" t="s">
        <v>165</v>
      </c>
      <c r="D899" t="str">
        <f>HYPERLINK("http://service.sap.com/sap/support/notes/1642595","1642595")</f>
        <v>1642595</v>
      </c>
      <c r="E899">
        <v>1</v>
      </c>
      <c r="F899" t="s">
        <v>1643</v>
      </c>
    </row>
    <row r="900" spans="1:6" x14ac:dyDescent="0.25">
      <c r="A900" t="s">
        <v>1134</v>
      </c>
      <c r="B900" t="s">
        <v>164</v>
      </c>
      <c r="C900" t="s">
        <v>165</v>
      </c>
      <c r="D900" t="str">
        <f>HYPERLINK("http://service.sap.com/sap/support/notes/1648675","1648675")</f>
        <v>1648675</v>
      </c>
      <c r="E900">
        <v>2</v>
      </c>
      <c r="F900" t="s">
        <v>1644</v>
      </c>
    </row>
    <row r="901" spans="1:6" x14ac:dyDescent="0.25">
      <c r="A901" t="s">
        <v>1134</v>
      </c>
      <c r="B901" t="s">
        <v>164</v>
      </c>
      <c r="C901" t="s">
        <v>165</v>
      </c>
      <c r="D901" t="str">
        <f>HYPERLINK("http://service.sap.com/sap/support/notes/1650776","1650776")</f>
        <v>1650776</v>
      </c>
      <c r="E901">
        <v>2</v>
      </c>
      <c r="F901" t="s">
        <v>1645</v>
      </c>
    </row>
    <row r="902" spans="1:6" x14ac:dyDescent="0.25">
      <c r="A902" t="s">
        <v>1134</v>
      </c>
      <c r="B902" t="s">
        <v>164</v>
      </c>
      <c r="C902" t="s">
        <v>165</v>
      </c>
      <c r="D902" t="str">
        <f>HYPERLINK("http://service.sap.com/sap/support/notes/1650816","1650816")</f>
        <v>1650816</v>
      </c>
      <c r="E902">
        <v>2</v>
      </c>
      <c r="F902" t="s">
        <v>1646</v>
      </c>
    </row>
    <row r="903" spans="1:6" x14ac:dyDescent="0.25">
      <c r="A903" t="s">
        <v>1134</v>
      </c>
      <c r="B903" t="s">
        <v>164</v>
      </c>
      <c r="C903" t="s">
        <v>165</v>
      </c>
      <c r="D903" t="str">
        <f>HYPERLINK("http://service.sap.com/sap/support/notes/1651007","1651007")</f>
        <v>1651007</v>
      </c>
      <c r="E903">
        <v>1</v>
      </c>
      <c r="F903" t="s">
        <v>1647</v>
      </c>
    </row>
    <row r="904" spans="1:6" x14ac:dyDescent="0.25">
      <c r="A904" t="s">
        <v>1134</v>
      </c>
      <c r="B904" t="s">
        <v>164</v>
      </c>
      <c r="C904" t="s">
        <v>165</v>
      </c>
      <c r="D904" t="str">
        <f>HYPERLINK("http://service.sap.com/sap/support/notes/1651276","1651276")</f>
        <v>1651276</v>
      </c>
      <c r="E904">
        <v>1</v>
      </c>
      <c r="F904" t="s">
        <v>1648</v>
      </c>
    </row>
    <row r="905" spans="1:6" x14ac:dyDescent="0.25">
      <c r="A905" t="s">
        <v>1134</v>
      </c>
      <c r="B905" t="s">
        <v>164</v>
      </c>
      <c r="C905" t="s">
        <v>165</v>
      </c>
      <c r="D905" t="str">
        <f>HYPERLINK("http://service.sap.com/sap/support/notes/1652120","1652120")</f>
        <v>1652120</v>
      </c>
      <c r="E905">
        <v>2</v>
      </c>
      <c r="F905" t="s">
        <v>1649</v>
      </c>
    </row>
    <row r="906" spans="1:6" x14ac:dyDescent="0.25">
      <c r="A906" t="s">
        <v>1134</v>
      </c>
      <c r="B906" t="s">
        <v>166</v>
      </c>
      <c r="C906" t="s">
        <v>167</v>
      </c>
      <c r="D906" t="str">
        <f>HYPERLINK("http://service.sap.com/sap/support/notes/1642850","1642850")</f>
        <v>1642850</v>
      </c>
      <c r="E906">
        <v>4</v>
      </c>
      <c r="F906" t="s">
        <v>1650</v>
      </c>
    </row>
    <row r="907" spans="1:6" x14ac:dyDescent="0.25">
      <c r="A907" t="s">
        <v>1134</v>
      </c>
      <c r="B907" t="s">
        <v>166</v>
      </c>
      <c r="C907" t="s">
        <v>167</v>
      </c>
      <c r="D907" t="str">
        <f>HYPERLINK("http://service.sap.com/sap/support/notes/1643753","1643753")</f>
        <v>1643753</v>
      </c>
      <c r="E907">
        <v>4</v>
      </c>
      <c r="F907" t="s">
        <v>1651</v>
      </c>
    </row>
    <row r="908" spans="1:6" x14ac:dyDescent="0.25">
      <c r="A908" t="s">
        <v>1134</v>
      </c>
      <c r="B908" t="s">
        <v>166</v>
      </c>
      <c r="C908" t="s">
        <v>167</v>
      </c>
      <c r="D908" t="str">
        <f>HYPERLINK("http://service.sap.com/sap/support/notes/1644561","1644561")</f>
        <v>1644561</v>
      </c>
      <c r="E908">
        <v>1</v>
      </c>
      <c r="F908" t="s">
        <v>1652</v>
      </c>
    </row>
    <row r="909" spans="1:6" x14ac:dyDescent="0.25">
      <c r="A909" t="s">
        <v>1134</v>
      </c>
      <c r="B909" t="s">
        <v>166</v>
      </c>
      <c r="C909" t="s">
        <v>167</v>
      </c>
      <c r="D909" t="str">
        <f>HYPERLINK("http://service.sap.com/sap/support/notes/1644783","1644783")</f>
        <v>1644783</v>
      </c>
      <c r="E909">
        <v>2</v>
      </c>
      <c r="F909" t="s">
        <v>1653</v>
      </c>
    </row>
    <row r="910" spans="1:6" x14ac:dyDescent="0.25">
      <c r="A910" t="s">
        <v>1134</v>
      </c>
      <c r="B910" t="s">
        <v>166</v>
      </c>
      <c r="C910" t="s">
        <v>167</v>
      </c>
      <c r="D910" t="str">
        <f>HYPERLINK("http://service.sap.com/sap/support/notes/1646824","1646824")</f>
        <v>1646824</v>
      </c>
      <c r="E910">
        <v>1</v>
      </c>
      <c r="F910" t="s">
        <v>1654</v>
      </c>
    </row>
    <row r="911" spans="1:6" x14ac:dyDescent="0.25">
      <c r="A911" t="s">
        <v>1134</v>
      </c>
      <c r="B911" t="s">
        <v>166</v>
      </c>
      <c r="C911" t="s">
        <v>167</v>
      </c>
      <c r="D911" t="str">
        <f>HYPERLINK("http://service.sap.com/sap/support/notes/1652441","1652441")</f>
        <v>1652441</v>
      </c>
      <c r="E911">
        <v>2</v>
      </c>
      <c r="F911" t="s">
        <v>1655</v>
      </c>
    </row>
    <row r="912" spans="1:6" x14ac:dyDescent="0.25">
      <c r="A912" t="s">
        <v>1134</v>
      </c>
      <c r="B912" t="s">
        <v>166</v>
      </c>
      <c r="C912" t="s">
        <v>167</v>
      </c>
      <c r="D912" t="str">
        <f>HYPERLINK("http://service.sap.com/sap/support/notes/1654948","1654948")</f>
        <v>1654948</v>
      </c>
      <c r="E912">
        <v>7</v>
      </c>
      <c r="F912" t="s">
        <v>1656</v>
      </c>
    </row>
    <row r="913" spans="1:6" x14ac:dyDescent="0.25">
      <c r="A913" t="s">
        <v>1134</v>
      </c>
      <c r="B913" t="s">
        <v>168</v>
      </c>
      <c r="C913" t="s">
        <v>328</v>
      </c>
      <c r="D913" t="str">
        <f>HYPERLINK("http://service.sap.com/sap/support/notes/1488474","1488474")</f>
        <v>1488474</v>
      </c>
      <c r="E913">
        <v>1</v>
      </c>
      <c r="F913" t="s">
        <v>170</v>
      </c>
    </row>
    <row r="914" spans="1:6" x14ac:dyDescent="0.25">
      <c r="A914" t="s">
        <v>1134</v>
      </c>
      <c r="B914" t="s">
        <v>168</v>
      </c>
      <c r="C914" t="s">
        <v>328</v>
      </c>
      <c r="D914" t="str">
        <f>HYPERLINK("http://service.sap.com/sap/support/notes/1596430","1596430")</f>
        <v>1596430</v>
      </c>
      <c r="E914">
        <v>1</v>
      </c>
      <c r="F914" t="s">
        <v>1657</v>
      </c>
    </row>
    <row r="915" spans="1:6" x14ac:dyDescent="0.25">
      <c r="A915" t="s">
        <v>1134</v>
      </c>
      <c r="B915" t="s">
        <v>168</v>
      </c>
      <c r="C915" t="s">
        <v>328</v>
      </c>
      <c r="D915" t="str">
        <f>HYPERLINK("http://service.sap.com/sap/support/notes/1647693","1647693")</f>
        <v>1647693</v>
      </c>
      <c r="E915">
        <v>3</v>
      </c>
      <c r="F915" t="s">
        <v>1658</v>
      </c>
    </row>
    <row r="916" spans="1:6" x14ac:dyDescent="0.25">
      <c r="A916" t="s">
        <v>1134</v>
      </c>
      <c r="B916" t="s">
        <v>168</v>
      </c>
      <c r="C916" t="s">
        <v>328</v>
      </c>
      <c r="D916" t="str">
        <f>HYPERLINK("http://service.sap.com/sap/support/notes/1648813","1648813")</f>
        <v>1648813</v>
      </c>
      <c r="E916">
        <v>1</v>
      </c>
      <c r="F916" t="s">
        <v>1659</v>
      </c>
    </row>
    <row r="917" spans="1:6" x14ac:dyDescent="0.25">
      <c r="A917" t="s">
        <v>1134</v>
      </c>
      <c r="B917" t="s">
        <v>168</v>
      </c>
      <c r="C917" t="s">
        <v>328</v>
      </c>
      <c r="D917" t="str">
        <f>HYPERLINK("http://service.sap.com/sap/support/notes/1649344","1649344")</f>
        <v>1649344</v>
      </c>
      <c r="E917">
        <v>1</v>
      </c>
      <c r="F917" t="s">
        <v>1660</v>
      </c>
    </row>
    <row r="918" spans="1:6" x14ac:dyDescent="0.25">
      <c r="A918" t="s">
        <v>1134</v>
      </c>
      <c r="B918" t="s">
        <v>168</v>
      </c>
      <c r="C918" t="s">
        <v>328</v>
      </c>
      <c r="D918" t="str">
        <f>HYPERLINK("http://service.sap.com/sap/support/notes/1650917","1650917")</f>
        <v>1650917</v>
      </c>
      <c r="E918">
        <v>1</v>
      </c>
      <c r="F918" t="s">
        <v>1661</v>
      </c>
    </row>
    <row r="919" spans="1:6" x14ac:dyDescent="0.25">
      <c r="A919" t="s">
        <v>1134</v>
      </c>
      <c r="B919" t="s">
        <v>168</v>
      </c>
      <c r="C919" t="s">
        <v>328</v>
      </c>
      <c r="D919" t="str">
        <f>HYPERLINK("http://service.sap.com/sap/support/notes/1655124","1655124")</f>
        <v>1655124</v>
      </c>
      <c r="E919">
        <v>1</v>
      </c>
      <c r="F919" t="s">
        <v>1662</v>
      </c>
    </row>
    <row r="920" spans="1:6" x14ac:dyDescent="0.25">
      <c r="A920" t="s">
        <v>1134</v>
      </c>
      <c r="B920" t="s">
        <v>171</v>
      </c>
      <c r="C920" t="s">
        <v>172</v>
      </c>
      <c r="D920" t="str">
        <f>HYPERLINK("http://service.sap.com/sap/support/notes/1251119","1251119")</f>
        <v>1251119</v>
      </c>
      <c r="E920">
        <v>1</v>
      </c>
      <c r="F920" t="s">
        <v>1663</v>
      </c>
    </row>
    <row r="921" spans="1:6" x14ac:dyDescent="0.25">
      <c r="A921" t="s">
        <v>1134</v>
      </c>
      <c r="B921" t="s">
        <v>171</v>
      </c>
      <c r="C921" t="s">
        <v>172</v>
      </c>
      <c r="D921" t="str">
        <f>HYPERLINK("http://service.sap.com/sap/support/notes/1596996","1596996")</f>
        <v>1596996</v>
      </c>
      <c r="E921">
        <v>1</v>
      </c>
      <c r="F921" t="s">
        <v>598</v>
      </c>
    </row>
    <row r="922" spans="1:6" x14ac:dyDescent="0.25">
      <c r="A922" t="s">
        <v>1134</v>
      </c>
      <c r="B922" t="s">
        <v>171</v>
      </c>
      <c r="C922" t="s">
        <v>172</v>
      </c>
      <c r="D922" t="str">
        <f>HYPERLINK("http://service.sap.com/sap/support/notes/1636628","1636628")</f>
        <v>1636628</v>
      </c>
      <c r="E922">
        <v>1</v>
      </c>
      <c r="F922" t="s">
        <v>1664</v>
      </c>
    </row>
    <row r="923" spans="1:6" x14ac:dyDescent="0.25">
      <c r="A923" t="s">
        <v>1134</v>
      </c>
      <c r="B923" t="s">
        <v>171</v>
      </c>
      <c r="C923" t="s">
        <v>172</v>
      </c>
      <c r="D923" t="str">
        <f>HYPERLINK("http://service.sap.com/sap/support/notes/1644099","1644099")</f>
        <v>1644099</v>
      </c>
      <c r="E923">
        <v>2</v>
      </c>
      <c r="F923" t="s">
        <v>1665</v>
      </c>
    </row>
    <row r="924" spans="1:6" x14ac:dyDescent="0.25">
      <c r="A924" t="s">
        <v>1134</v>
      </c>
      <c r="B924" t="s">
        <v>171</v>
      </c>
      <c r="C924" t="s">
        <v>172</v>
      </c>
      <c r="D924" t="str">
        <f>HYPERLINK("http://service.sap.com/sap/support/notes/1644570","1644570")</f>
        <v>1644570</v>
      </c>
      <c r="E924">
        <v>1</v>
      </c>
      <c r="F924" t="s">
        <v>1666</v>
      </c>
    </row>
    <row r="925" spans="1:6" x14ac:dyDescent="0.25">
      <c r="A925" t="s">
        <v>1134</v>
      </c>
      <c r="B925" t="s">
        <v>171</v>
      </c>
      <c r="C925" t="s">
        <v>172</v>
      </c>
      <c r="D925" t="str">
        <f>HYPERLINK("http://service.sap.com/sap/support/notes/1645325","1645325")</f>
        <v>1645325</v>
      </c>
      <c r="E925">
        <v>2</v>
      </c>
      <c r="F925" t="s">
        <v>1667</v>
      </c>
    </row>
    <row r="926" spans="1:6" x14ac:dyDescent="0.25">
      <c r="A926" t="s">
        <v>1134</v>
      </c>
      <c r="B926" t="s">
        <v>171</v>
      </c>
      <c r="C926" t="s">
        <v>172</v>
      </c>
      <c r="D926" t="str">
        <f>HYPERLINK("http://service.sap.com/sap/support/notes/1648561","1648561")</f>
        <v>1648561</v>
      </c>
      <c r="E926">
        <v>1</v>
      </c>
      <c r="F926" t="s">
        <v>1668</v>
      </c>
    </row>
    <row r="927" spans="1:6" x14ac:dyDescent="0.25">
      <c r="A927" t="s">
        <v>1134</v>
      </c>
      <c r="B927" t="s">
        <v>171</v>
      </c>
      <c r="C927" t="s">
        <v>172</v>
      </c>
      <c r="D927" t="str">
        <f>HYPERLINK("http://service.sap.com/sap/support/notes/1651193","1651193")</f>
        <v>1651193</v>
      </c>
      <c r="E927">
        <v>1</v>
      </c>
      <c r="F927" t="s">
        <v>1669</v>
      </c>
    </row>
    <row r="928" spans="1:6" x14ac:dyDescent="0.25">
      <c r="A928" t="s">
        <v>1134</v>
      </c>
      <c r="B928" t="s">
        <v>171</v>
      </c>
      <c r="C928" t="s">
        <v>172</v>
      </c>
      <c r="D928" t="str">
        <f>HYPERLINK("http://service.sap.com/sap/support/notes/1652347","1652347")</f>
        <v>1652347</v>
      </c>
      <c r="E928">
        <v>2</v>
      </c>
      <c r="F928" t="s">
        <v>1670</v>
      </c>
    </row>
    <row r="929" spans="1:6" x14ac:dyDescent="0.25">
      <c r="A929" t="s">
        <v>1134</v>
      </c>
      <c r="B929" t="s">
        <v>173</v>
      </c>
      <c r="C929" t="s">
        <v>174</v>
      </c>
      <c r="D929" t="str">
        <f>HYPERLINK("http://service.sap.com/sap/support/notes/1639880","1639880")</f>
        <v>1639880</v>
      </c>
      <c r="E929">
        <v>1</v>
      </c>
      <c r="F929" t="s">
        <v>1671</v>
      </c>
    </row>
    <row r="930" spans="1:6" x14ac:dyDescent="0.25">
      <c r="A930" t="s">
        <v>1134</v>
      </c>
      <c r="B930" t="s">
        <v>175</v>
      </c>
      <c r="C930" t="s">
        <v>176</v>
      </c>
      <c r="D930" t="str">
        <f>HYPERLINK("http://service.sap.com/sap/support/notes/1060820","1060820")</f>
        <v>1060820</v>
      </c>
      <c r="E930">
        <v>1</v>
      </c>
      <c r="F930" t="s">
        <v>377</v>
      </c>
    </row>
    <row r="931" spans="1:6" x14ac:dyDescent="0.25">
      <c r="A931" t="s">
        <v>1134</v>
      </c>
      <c r="B931" t="s">
        <v>175</v>
      </c>
      <c r="C931" t="s">
        <v>176</v>
      </c>
      <c r="D931" t="str">
        <f>HYPERLINK("http://service.sap.com/sap/support/notes/1367820","1367820")</f>
        <v>1367820</v>
      </c>
      <c r="E931">
        <v>12</v>
      </c>
      <c r="F931" t="s">
        <v>1672</v>
      </c>
    </row>
    <row r="932" spans="1:6" x14ac:dyDescent="0.25">
      <c r="A932" t="s">
        <v>1134</v>
      </c>
      <c r="B932" t="s">
        <v>175</v>
      </c>
      <c r="C932" t="s">
        <v>176</v>
      </c>
      <c r="D932" t="str">
        <f>HYPERLINK("http://service.sap.com/sap/support/notes/1630128","1630128")</f>
        <v>1630128</v>
      </c>
      <c r="E932">
        <v>3</v>
      </c>
      <c r="F932" t="s">
        <v>1673</v>
      </c>
    </row>
    <row r="933" spans="1:6" x14ac:dyDescent="0.25">
      <c r="A933" t="s">
        <v>1134</v>
      </c>
      <c r="B933" t="s">
        <v>175</v>
      </c>
      <c r="C933" t="s">
        <v>176</v>
      </c>
      <c r="D933" t="str">
        <f>HYPERLINK("http://service.sap.com/sap/support/notes/1638628","1638628")</f>
        <v>1638628</v>
      </c>
      <c r="E933">
        <v>4</v>
      </c>
      <c r="F933" t="s">
        <v>1674</v>
      </c>
    </row>
    <row r="934" spans="1:6" x14ac:dyDescent="0.25">
      <c r="A934" t="s">
        <v>1134</v>
      </c>
      <c r="B934" t="s">
        <v>175</v>
      </c>
      <c r="C934" t="s">
        <v>176</v>
      </c>
      <c r="D934" t="str">
        <f>HYPERLINK("http://service.sap.com/sap/support/notes/1642351","1642351")</f>
        <v>1642351</v>
      </c>
      <c r="E934">
        <v>8</v>
      </c>
      <c r="F934" t="s">
        <v>1675</v>
      </c>
    </row>
    <row r="935" spans="1:6" x14ac:dyDescent="0.25">
      <c r="A935" t="s">
        <v>1134</v>
      </c>
      <c r="B935" t="s">
        <v>175</v>
      </c>
      <c r="C935" t="s">
        <v>176</v>
      </c>
      <c r="D935" t="str">
        <f>HYPERLINK("http://service.sap.com/sap/support/notes/1644508","1644508")</f>
        <v>1644508</v>
      </c>
      <c r="E935">
        <v>2</v>
      </c>
      <c r="F935" t="s">
        <v>1676</v>
      </c>
    </row>
    <row r="936" spans="1:6" x14ac:dyDescent="0.25">
      <c r="A936" t="s">
        <v>1134</v>
      </c>
      <c r="B936" t="s">
        <v>175</v>
      </c>
      <c r="C936" t="s">
        <v>176</v>
      </c>
      <c r="D936" t="str">
        <f>HYPERLINK("http://service.sap.com/sap/support/notes/1646506","1646506")</f>
        <v>1646506</v>
      </c>
      <c r="E936">
        <v>5</v>
      </c>
      <c r="F936" t="s">
        <v>1677</v>
      </c>
    </row>
    <row r="937" spans="1:6" x14ac:dyDescent="0.25">
      <c r="A937" t="s">
        <v>1134</v>
      </c>
      <c r="B937" t="s">
        <v>175</v>
      </c>
      <c r="C937" t="s">
        <v>176</v>
      </c>
      <c r="D937" t="str">
        <f>HYPERLINK("http://service.sap.com/sap/support/notes/1646993","1646993")</f>
        <v>1646993</v>
      </c>
      <c r="E937">
        <v>4</v>
      </c>
      <c r="F937" t="s">
        <v>1678</v>
      </c>
    </row>
    <row r="938" spans="1:6" x14ac:dyDescent="0.25">
      <c r="A938" t="s">
        <v>1134</v>
      </c>
      <c r="B938" t="s">
        <v>177</v>
      </c>
      <c r="C938" t="s">
        <v>330</v>
      </c>
      <c r="D938" t="str">
        <f>HYPERLINK("http://service.sap.com/sap/support/notes/1652604","1652604")</f>
        <v>1652604</v>
      </c>
      <c r="E938">
        <v>2</v>
      </c>
      <c r="F938" t="s">
        <v>1679</v>
      </c>
    </row>
    <row r="939" spans="1:6" x14ac:dyDescent="0.25">
      <c r="A939" t="s">
        <v>1134</v>
      </c>
      <c r="B939" t="s">
        <v>179</v>
      </c>
      <c r="C939" t="s">
        <v>331</v>
      </c>
      <c r="D939" t="str">
        <f>HYPERLINK("http://service.sap.com/sap/support/notes/1620534","1620534")</f>
        <v>1620534</v>
      </c>
      <c r="E939">
        <v>1</v>
      </c>
      <c r="F939" t="s">
        <v>1680</v>
      </c>
    </row>
    <row r="940" spans="1:6" x14ac:dyDescent="0.25">
      <c r="A940" t="s">
        <v>1134</v>
      </c>
      <c r="B940" t="s">
        <v>179</v>
      </c>
      <c r="C940" t="s">
        <v>331</v>
      </c>
      <c r="D940" t="str">
        <f>HYPERLINK("http://service.sap.com/sap/support/notes/1637258","1637258")</f>
        <v>1637258</v>
      </c>
      <c r="E940">
        <v>2</v>
      </c>
      <c r="F940" t="s">
        <v>1100</v>
      </c>
    </row>
    <row r="941" spans="1:6" x14ac:dyDescent="0.25">
      <c r="A941" t="s">
        <v>1134</v>
      </c>
      <c r="B941" t="s">
        <v>179</v>
      </c>
      <c r="C941" t="s">
        <v>331</v>
      </c>
      <c r="D941" t="str">
        <f>HYPERLINK("http://service.sap.com/sap/support/notes/1641464","1641464")</f>
        <v>1641464</v>
      </c>
      <c r="E941">
        <v>1</v>
      </c>
      <c r="F941" t="s">
        <v>1681</v>
      </c>
    </row>
    <row r="942" spans="1:6" x14ac:dyDescent="0.25">
      <c r="A942" t="s">
        <v>1134</v>
      </c>
      <c r="B942" t="s">
        <v>179</v>
      </c>
      <c r="C942" t="s">
        <v>331</v>
      </c>
      <c r="D942" t="str">
        <f>HYPERLINK("http://service.sap.com/sap/support/notes/1643255","1643255")</f>
        <v>1643255</v>
      </c>
      <c r="E942">
        <v>1</v>
      </c>
      <c r="F942" t="s">
        <v>1103</v>
      </c>
    </row>
    <row r="943" spans="1:6" x14ac:dyDescent="0.25">
      <c r="A943" t="s">
        <v>1134</v>
      </c>
      <c r="B943" t="s">
        <v>179</v>
      </c>
      <c r="C943" t="s">
        <v>331</v>
      </c>
      <c r="D943" t="str">
        <f>HYPERLINK("http://service.sap.com/sap/support/notes/1646072","1646072")</f>
        <v>1646072</v>
      </c>
      <c r="E943">
        <v>1</v>
      </c>
      <c r="F943" t="s">
        <v>1682</v>
      </c>
    </row>
    <row r="944" spans="1:6" x14ac:dyDescent="0.25">
      <c r="A944" t="s">
        <v>1134</v>
      </c>
      <c r="B944" t="s">
        <v>179</v>
      </c>
      <c r="C944" t="s">
        <v>331</v>
      </c>
      <c r="D944" t="str">
        <f>HYPERLINK("http://service.sap.com/sap/support/notes/1648127","1648127")</f>
        <v>1648127</v>
      </c>
      <c r="E944">
        <v>2</v>
      </c>
      <c r="F944" t="s">
        <v>1683</v>
      </c>
    </row>
    <row r="945" spans="1:6" x14ac:dyDescent="0.25">
      <c r="A945" t="s">
        <v>1134</v>
      </c>
      <c r="B945" t="s">
        <v>179</v>
      </c>
      <c r="C945" t="s">
        <v>331</v>
      </c>
      <c r="D945" t="str">
        <f>HYPERLINK("http://service.sap.com/sap/support/notes/1649764","1649764")</f>
        <v>1649764</v>
      </c>
      <c r="E945">
        <v>2</v>
      </c>
      <c r="F945" t="s">
        <v>1684</v>
      </c>
    </row>
    <row r="946" spans="1:6" x14ac:dyDescent="0.25">
      <c r="A946" t="s">
        <v>1134</v>
      </c>
      <c r="B946" t="s">
        <v>179</v>
      </c>
      <c r="C946" t="s">
        <v>331</v>
      </c>
      <c r="D946" t="str">
        <f>HYPERLINK("http://service.sap.com/sap/support/notes/1651301","1651301")</f>
        <v>1651301</v>
      </c>
      <c r="E946">
        <v>1</v>
      </c>
      <c r="F946" t="s">
        <v>1685</v>
      </c>
    </row>
    <row r="947" spans="1:6" x14ac:dyDescent="0.25">
      <c r="A947" t="s">
        <v>1134</v>
      </c>
      <c r="B947" t="s">
        <v>179</v>
      </c>
      <c r="C947" t="s">
        <v>331</v>
      </c>
      <c r="D947" t="str">
        <f>HYPERLINK("http://service.sap.com/sap/support/notes/1652559","1652559")</f>
        <v>1652559</v>
      </c>
      <c r="E947">
        <v>1</v>
      </c>
      <c r="F947" t="s">
        <v>1686</v>
      </c>
    </row>
    <row r="948" spans="1:6" x14ac:dyDescent="0.25">
      <c r="A948" t="s">
        <v>1134</v>
      </c>
      <c r="B948" t="s">
        <v>179</v>
      </c>
      <c r="C948" t="s">
        <v>331</v>
      </c>
      <c r="D948" t="str">
        <f>HYPERLINK("http://service.sap.com/sap/support/notes/1654030","1654030")</f>
        <v>1654030</v>
      </c>
      <c r="E948">
        <v>1</v>
      </c>
      <c r="F948" t="s">
        <v>1687</v>
      </c>
    </row>
    <row r="949" spans="1:6" x14ac:dyDescent="0.25">
      <c r="A949" t="s">
        <v>1134</v>
      </c>
      <c r="B949" t="s">
        <v>181</v>
      </c>
      <c r="C949" t="s">
        <v>182</v>
      </c>
      <c r="D949" t="str">
        <f>HYPERLINK("http://service.sap.com/sap/support/notes/1590081","1590081")</f>
        <v>1590081</v>
      </c>
      <c r="E949">
        <v>1</v>
      </c>
      <c r="F949" t="s">
        <v>1688</v>
      </c>
    </row>
    <row r="950" spans="1:6" x14ac:dyDescent="0.25">
      <c r="A950" t="s">
        <v>1134</v>
      </c>
      <c r="B950" t="s">
        <v>181</v>
      </c>
      <c r="C950" t="s">
        <v>182</v>
      </c>
      <c r="D950" t="str">
        <f>HYPERLINK("http://service.sap.com/sap/support/notes/1637990","1637990")</f>
        <v>1637990</v>
      </c>
      <c r="E950">
        <v>1</v>
      </c>
      <c r="F950" t="s">
        <v>1689</v>
      </c>
    </row>
    <row r="951" spans="1:6" x14ac:dyDescent="0.25">
      <c r="A951" t="s">
        <v>1134</v>
      </c>
      <c r="B951" t="s">
        <v>181</v>
      </c>
      <c r="C951" t="s">
        <v>182</v>
      </c>
      <c r="D951" t="str">
        <f>HYPERLINK("http://service.sap.com/sap/support/notes/1639980","1639980")</f>
        <v>1639980</v>
      </c>
      <c r="E951">
        <v>1</v>
      </c>
      <c r="F951" t="s">
        <v>1690</v>
      </c>
    </row>
    <row r="952" spans="1:6" x14ac:dyDescent="0.25">
      <c r="A952" t="s">
        <v>1134</v>
      </c>
      <c r="B952" t="s">
        <v>181</v>
      </c>
      <c r="C952" t="s">
        <v>182</v>
      </c>
      <c r="D952" t="str">
        <f>HYPERLINK("http://service.sap.com/sap/support/notes/1642854","1642854")</f>
        <v>1642854</v>
      </c>
      <c r="E952">
        <v>2</v>
      </c>
      <c r="F952" t="s">
        <v>1691</v>
      </c>
    </row>
    <row r="953" spans="1:6" x14ac:dyDescent="0.25">
      <c r="A953" t="s">
        <v>1134</v>
      </c>
      <c r="B953" t="s">
        <v>181</v>
      </c>
      <c r="C953" t="s">
        <v>182</v>
      </c>
      <c r="D953" t="str">
        <f>HYPERLINK("http://service.sap.com/sap/support/notes/1650820","1650820")</f>
        <v>1650820</v>
      </c>
      <c r="E953">
        <v>1</v>
      </c>
      <c r="F953" t="s">
        <v>1692</v>
      </c>
    </row>
    <row r="954" spans="1:6" x14ac:dyDescent="0.25">
      <c r="A954" t="s">
        <v>1134</v>
      </c>
      <c r="B954" t="s">
        <v>181</v>
      </c>
      <c r="C954" t="s">
        <v>182</v>
      </c>
      <c r="D954" t="str">
        <f>HYPERLINK("http://service.sap.com/sap/support/notes/1655633","1655633")</f>
        <v>1655633</v>
      </c>
      <c r="E954">
        <v>1</v>
      </c>
      <c r="F954" t="s">
        <v>1693</v>
      </c>
    </row>
    <row r="955" spans="1:6" x14ac:dyDescent="0.25">
      <c r="A955" t="s">
        <v>1134</v>
      </c>
      <c r="B955" t="s">
        <v>185</v>
      </c>
      <c r="C955" t="s">
        <v>186</v>
      </c>
      <c r="D955" t="str">
        <f>HYPERLINK("http://service.sap.com/sap/support/notes/1619446","1619446")</f>
        <v>1619446</v>
      </c>
      <c r="E955">
        <v>3</v>
      </c>
      <c r="F955" t="s">
        <v>1694</v>
      </c>
    </row>
    <row r="956" spans="1:6" x14ac:dyDescent="0.25">
      <c r="A956" t="s">
        <v>1134</v>
      </c>
      <c r="B956" t="s">
        <v>185</v>
      </c>
      <c r="C956" t="s">
        <v>186</v>
      </c>
      <c r="D956" t="str">
        <f>HYPERLINK("http://service.sap.com/sap/support/notes/1632887","1632887")</f>
        <v>1632887</v>
      </c>
      <c r="E956">
        <v>1</v>
      </c>
      <c r="F956" t="s">
        <v>1695</v>
      </c>
    </row>
    <row r="957" spans="1:6" x14ac:dyDescent="0.25">
      <c r="A957" t="s">
        <v>1134</v>
      </c>
      <c r="B957" t="s">
        <v>185</v>
      </c>
      <c r="C957" t="s">
        <v>186</v>
      </c>
      <c r="D957" t="str">
        <f>HYPERLINK("http://service.sap.com/sap/support/notes/1641596","1641596")</f>
        <v>1641596</v>
      </c>
      <c r="E957">
        <v>2</v>
      </c>
      <c r="F957" t="s">
        <v>1696</v>
      </c>
    </row>
    <row r="958" spans="1:6" x14ac:dyDescent="0.25">
      <c r="A958" t="s">
        <v>1134</v>
      </c>
      <c r="B958" t="s">
        <v>185</v>
      </c>
      <c r="C958" t="s">
        <v>186</v>
      </c>
      <c r="D958" t="str">
        <f>HYPERLINK("http://service.sap.com/sap/support/notes/1642508","1642508")</f>
        <v>1642508</v>
      </c>
      <c r="E958">
        <v>2</v>
      </c>
      <c r="F958" t="s">
        <v>1697</v>
      </c>
    </row>
    <row r="959" spans="1:6" x14ac:dyDescent="0.25">
      <c r="A959" t="s">
        <v>1134</v>
      </c>
      <c r="B959" t="s">
        <v>189</v>
      </c>
      <c r="C959" t="s">
        <v>190</v>
      </c>
      <c r="D959" t="str">
        <f>HYPERLINK("http://service.sap.com/sap/support/notes/1646534","1646534")</f>
        <v>1646534</v>
      </c>
      <c r="E959">
        <v>1</v>
      </c>
      <c r="F959" t="s">
        <v>1698</v>
      </c>
    </row>
    <row r="960" spans="1:6" x14ac:dyDescent="0.25">
      <c r="A960" t="s">
        <v>1134</v>
      </c>
      <c r="B960" t="s">
        <v>189</v>
      </c>
      <c r="C960" t="s">
        <v>190</v>
      </c>
      <c r="D960" t="str">
        <f>HYPERLINK("http://service.sap.com/sap/support/notes/1646535","1646535")</f>
        <v>1646535</v>
      </c>
      <c r="E960">
        <v>1</v>
      </c>
      <c r="F960" t="s">
        <v>1699</v>
      </c>
    </row>
    <row r="961" spans="1:6" x14ac:dyDescent="0.25">
      <c r="A961" t="s">
        <v>1134</v>
      </c>
      <c r="B961" t="s">
        <v>189</v>
      </c>
      <c r="C961" t="s">
        <v>190</v>
      </c>
      <c r="D961" t="str">
        <f>HYPERLINK("http://service.sap.com/sap/support/notes/1654003","1654003")</f>
        <v>1654003</v>
      </c>
      <c r="E961">
        <v>4</v>
      </c>
      <c r="F961" t="s">
        <v>1700</v>
      </c>
    </row>
    <row r="962" spans="1:6" x14ac:dyDescent="0.25">
      <c r="A962" t="s">
        <v>1134</v>
      </c>
      <c r="B962" t="s">
        <v>191</v>
      </c>
      <c r="C962" t="s">
        <v>62</v>
      </c>
    </row>
    <row r="963" spans="1:6" x14ac:dyDescent="0.25">
      <c r="A963" t="s">
        <v>1134</v>
      </c>
      <c r="B963" t="s">
        <v>332</v>
      </c>
      <c r="C963" t="s">
        <v>333</v>
      </c>
      <c r="D963" s="1" t="str">
        <f>HYPERLINK("http://service.sap.com/sap/support/notes/1634872","1634872")</f>
        <v>1634872</v>
      </c>
      <c r="E963">
        <v>3</v>
      </c>
      <c r="F963" t="s">
        <v>1113</v>
      </c>
    </row>
    <row r="964" spans="1:6" x14ac:dyDescent="0.25">
      <c r="A964" t="s">
        <v>1134</v>
      </c>
      <c r="B964" t="s">
        <v>386</v>
      </c>
      <c r="C964" t="s">
        <v>115</v>
      </c>
    </row>
    <row r="965" spans="1:6" x14ac:dyDescent="0.25">
      <c r="A965" t="s">
        <v>1134</v>
      </c>
      <c r="B965" t="s">
        <v>1701</v>
      </c>
      <c r="C965" t="s">
        <v>1702</v>
      </c>
      <c r="D965" t="str">
        <f>HYPERLINK("http://service.sap.com/sap/support/notes/1618321","1618321")</f>
        <v>1618321</v>
      </c>
      <c r="E965">
        <v>1</v>
      </c>
      <c r="F965" t="s">
        <v>1703</v>
      </c>
    </row>
    <row r="966" spans="1:6" x14ac:dyDescent="0.25">
      <c r="A966" t="s">
        <v>1134</v>
      </c>
      <c r="B966" t="s">
        <v>387</v>
      </c>
      <c r="C966" t="s">
        <v>388</v>
      </c>
      <c r="D966" t="str">
        <f>HYPERLINK("http://service.sap.com/sap/support/notes/1618275","1618275")</f>
        <v>1618275</v>
      </c>
      <c r="E966">
        <v>2</v>
      </c>
      <c r="F966" t="s">
        <v>1704</v>
      </c>
    </row>
    <row r="967" spans="1:6" x14ac:dyDescent="0.25">
      <c r="A967" t="s">
        <v>1134</v>
      </c>
      <c r="B967" t="s">
        <v>195</v>
      </c>
      <c r="C967" t="s">
        <v>132</v>
      </c>
      <c r="D967" t="str">
        <f>HYPERLINK("http://service.sap.com/sap/support/notes/1623382","1623382")</f>
        <v>1623382</v>
      </c>
      <c r="E967">
        <v>5</v>
      </c>
      <c r="F967" t="s">
        <v>1705</v>
      </c>
    </row>
    <row r="968" spans="1:6" x14ac:dyDescent="0.25">
      <c r="A968" t="s">
        <v>1134</v>
      </c>
      <c r="B968" t="s">
        <v>195</v>
      </c>
      <c r="C968" t="s">
        <v>132</v>
      </c>
      <c r="D968" t="str">
        <f>HYPERLINK("http://service.sap.com/sap/support/notes/1643503","1643503")</f>
        <v>1643503</v>
      </c>
      <c r="E968">
        <v>3</v>
      </c>
      <c r="F968" t="s">
        <v>1706</v>
      </c>
    </row>
    <row r="969" spans="1:6" x14ac:dyDescent="0.25">
      <c r="A969" t="s">
        <v>1134</v>
      </c>
      <c r="B969" t="s">
        <v>335</v>
      </c>
      <c r="C969" t="s">
        <v>308</v>
      </c>
      <c r="D969" t="str">
        <f>HYPERLINK("http://service.sap.com/sap/support/notes/1561653","1561653")</f>
        <v>1561653</v>
      </c>
      <c r="E969">
        <v>3</v>
      </c>
      <c r="F969" t="s">
        <v>1707</v>
      </c>
    </row>
    <row r="970" spans="1:6" x14ac:dyDescent="0.25">
      <c r="A970" t="s">
        <v>1134</v>
      </c>
      <c r="B970" t="s">
        <v>196</v>
      </c>
      <c r="C970" t="s">
        <v>197</v>
      </c>
      <c r="D970" t="str">
        <f>HYPERLINK("http://service.sap.com/sap/support/notes/1579200","1579200")</f>
        <v>1579200</v>
      </c>
      <c r="E970">
        <v>2</v>
      </c>
      <c r="F970" t="s">
        <v>405</v>
      </c>
    </row>
    <row r="971" spans="1:6" x14ac:dyDescent="0.25">
      <c r="A971" t="s">
        <v>1134</v>
      </c>
      <c r="B971" t="s">
        <v>196</v>
      </c>
      <c r="C971" t="s">
        <v>197</v>
      </c>
      <c r="D971" t="str">
        <f>HYPERLINK("http://service.sap.com/sap/support/notes/1639826","1639826")</f>
        <v>1639826</v>
      </c>
      <c r="E971">
        <v>2</v>
      </c>
      <c r="F971" t="s">
        <v>1708</v>
      </c>
    </row>
    <row r="972" spans="1:6" x14ac:dyDescent="0.25">
      <c r="A972" t="s">
        <v>1134</v>
      </c>
      <c r="B972" t="s">
        <v>196</v>
      </c>
      <c r="C972" t="s">
        <v>197</v>
      </c>
      <c r="D972" t="str">
        <f>HYPERLINK("http://service.sap.com/sap/support/notes/1643967","1643967")</f>
        <v>1643967</v>
      </c>
      <c r="E972">
        <v>1</v>
      </c>
      <c r="F972" t="s">
        <v>1709</v>
      </c>
    </row>
    <row r="973" spans="1:6" x14ac:dyDescent="0.25">
      <c r="A973" t="s">
        <v>1134</v>
      </c>
      <c r="B973" t="s">
        <v>196</v>
      </c>
      <c r="C973" t="s">
        <v>197</v>
      </c>
      <c r="D973" t="str">
        <f>HYPERLINK("http://service.sap.com/sap/support/notes/1644472","1644472")</f>
        <v>1644472</v>
      </c>
      <c r="E973">
        <v>1</v>
      </c>
      <c r="F973" t="s">
        <v>1710</v>
      </c>
    </row>
    <row r="974" spans="1:6" x14ac:dyDescent="0.25">
      <c r="A974" t="s">
        <v>1134</v>
      </c>
      <c r="B974" t="s">
        <v>196</v>
      </c>
      <c r="C974" t="s">
        <v>197</v>
      </c>
      <c r="D974" t="str">
        <f>HYPERLINK("http://service.sap.com/sap/support/notes/1644528","1644528")</f>
        <v>1644528</v>
      </c>
      <c r="E974">
        <v>6</v>
      </c>
      <c r="F974" t="s">
        <v>1711</v>
      </c>
    </row>
    <row r="975" spans="1:6" x14ac:dyDescent="0.25">
      <c r="A975" t="s">
        <v>1134</v>
      </c>
      <c r="B975" t="s">
        <v>196</v>
      </c>
      <c r="C975" t="s">
        <v>197</v>
      </c>
      <c r="D975" t="str">
        <f>HYPERLINK("http://service.sap.com/sap/support/notes/1645396","1645396")</f>
        <v>1645396</v>
      </c>
      <c r="E975">
        <v>2</v>
      </c>
      <c r="F975" t="s">
        <v>1712</v>
      </c>
    </row>
    <row r="976" spans="1:6" x14ac:dyDescent="0.25">
      <c r="A976" t="s">
        <v>1134</v>
      </c>
      <c r="B976" t="s">
        <v>198</v>
      </c>
      <c r="C976" t="s">
        <v>199</v>
      </c>
      <c r="D976" t="str">
        <f>HYPERLINK("http://service.sap.com/sap/support/notes/1649044","1649044")</f>
        <v>1649044</v>
      </c>
      <c r="E976">
        <v>3</v>
      </c>
      <c r="F976" t="s">
        <v>1713</v>
      </c>
    </row>
    <row r="977" spans="1:6" x14ac:dyDescent="0.25">
      <c r="A977" t="s">
        <v>1134</v>
      </c>
      <c r="B977" t="s">
        <v>200</v>
      </c>
      <c r="C977" t="s">
        <v>201</v>
      </c>
      <c r="D977" t="str">
        <f>HYPERLINK("http://service.sap.com/sap/support/notes/870012","870012")</f>
        <v>870012</v>
      </c>
      <c r="E977">
        <v>1</v>
      </c>
      <c r="F977" t="s">
        <v>202</v>
      </c>
    </row>
    <row r="978" spans="1:6" x14ac:dyDescent="0.25">
      <c r="A978" t="s">
        <v>1134</v>
      </c>
      <c r="B978" t="s">
        <v>200</v>
      </c>
      <c r="C978" t="s">
        <v>201</v>
      </c>
      <c r="D978" t="str">
        <f>HYPERLINK("http://service.sap.com/sap/support/notes/1625355","1625355")</f>
        <v>1625355</v>
      </c>
      <c r="E978">
        <v>4</v>
      </c>
      <c r="F978" t="s">
        <v>1714</v>
      </c>
    </row>
    <row r="979" spans="1:6" x14ac:dyDescent="0.25">
      <c r="A979" t="s">
        <v>1134</v>
      </c>
      <c r="B979" t="s">
        <v>203</v>
      </c>
      <c r="C979" t="s">
        <v>262</v>
      </c>
      <c r="D979" t="str">
        <f>HYPERLINK("http://service.sap.com/sap/support/notes/1602960","1602960")</f>
        <v>1602960</v>
      </c>
      <c r="E979">
        <v>2</v>
      </c>
      <c r="F979" t="s">
        <v>1715</v>
      </c>
    </row>
    <row r="980" spans="1:6" x14ac:dyDescent="0.25">
      <c r="A980" t="s">
        <v>1134</v>
      </c>
      <c r="B980" t="s">
        <v>203</v>
      </c>
      <c r="C980" t="s">
        <v>262</v>
      </c>
      <c r="D980" t="str">
        <f>HYPERLINK("http://service.sap.com/sap/support/notes/1618172","1618172")</f>
        <v>1618172</v>
      </c>
      <c r="E980">
        <v>2</v>
      </c>
      <c r="F980" t="s">
        <v>1716</v>
      </c>
    </row>
    <row r="981" spans="1:6" x14ac:dyDescent="0.25">
      <c r="A981" t="s">
        <v>1134</v>
      </c>
      <c r="B981" t="s">
        <v>203</v>
      </c>
      <c r="C981" t="s">
        <v>262</v>
      </c>
      <c r="D981" t="str">
        <f>HYPERLINK("http://service.sap.com/sap/support/notes/1642594","1642594")</f>
        <v>1642594</v>
      </c>
      <c r="E981">
        <v>2</v>
      </c>
      <c r="F981" t="s">
        <v>1717</v>
      </c>
    </row>
    <row r="982" spans="1:6" x14ac:dyDescent="0.25">
      <c r="A982" t="s">
        <v>1134</v>
      </c>
      <c r="B982" t="s">
        <v>203</v>
      </c>
      <c r="C982" t="s">
        <v>262</v>
      </c>
      <c r="D982" t="str">
        <f>HYPERLINK("http://service.sap.com/sap/support/notes/1654648","1654648")</f>
        <v>1654648</v>
      </c>
      <c r="E982">
        <v>1</v>
      </c>
      <c r="F982" t="s">
        <v>1718</v>
      </c>
    </row>
    <row r="983" spans="1:6" x14ac:dyDescent="0.25">
      <c r="A983" t="s">
        <v>1134</v>
      </c>
      <c r="B983" t="s">
        <v>336</v>
      </c>
      <c r="C983" t="s">
        <v>249</v>
      </c>
      <c r="D983" t="str">
        <f>HYPERLINK("http://service.sap.com/sap/support/notes/1566685","1566685")</f>
        <v>1566685</v>
      </c>
      <c r="E983">
        <v>4</v>
      </c>
      <c r="F983" t="s">
        <v>1719</v>
      </c>
    </row>
    <row r="984" spans="1:6" x14ac:dyDescent="0.25">
      <c r="A984" t="s">
        <v>1134</v>
      </c>
      <c r="B984" t="s">
        <v>336</v>
      </c>
      <c r="C984" t="s">
        <v>249</v>
      </c>
      <c r="D984" t="str">
        <f>HYPERLINK("http://service.sap.com/sap/support/notes/1570772","1570772")</f>
        <v>1570772</v>
      </c>
      <c r="E984">
        <v>2</v>
      </c>
      <c r="F984" t="s">
        <v>1720</v>
      </c>
    </row>
    <row r="985" spans="1:6" x14ac:dyDescent="0.25">
      <c r="A985" t="s">
        <v>1134</v>
      </c>
      <c r="B985" t="s">
        <v>336</v>
      </c>
      <c r="C985" t="s">
        <v>249</v>
      </c>
      <c r="D985" t="str">
        <f>HYPERLINK("http://service.sap.com/sap/support/notes/1589268","1589268")</f>
        <v>1589268</v>
      </c>
      <c r="E985">
        <v>2</v>
      </c>
      <c r="F985" t="s">
        <v>1721</v>
      </c>
    </row>
    <row r="986" spans="1:6" x14ac:dyDescent="0.25">
      <c r="A986" t="s">
        <v>1134</v>
      </c>
      <c r="B986" t="s">
        <v>336</v>
      </c>
      <c r="C986" t="s">
        <v>249</v>
      </c>
      <c r="D986" t="str">
        <f>HYPERLINK("http://service.sap.com/sap/support/notes/1593257","1593257")</f>
        <v>1593257</v>
      </c>
      <c r="E986">
        <v>1</v>
      </c>
      <c r="F986" t="s">
        <v>1722</v>
      </c>
    </row>
    <row r="987" spans="1:6" x14ac:dyDescent="0.25">
      <c r="A987" t="s">
        <v>1134</v>
      </c>
      <c r="B987" t="s">
        <v>336</v>
      </c>
      <c r="C987" t="s">
        <v>249</v>
      </c>
      <c r="D987" t="str">
        <f>HYPERLINK("http://service.sap.com/sap/support/notes/1619071","1619071")</f>
        <v>1619071</v>
      </c>
      <c r="E987">
        <v>1</v>
      </c>
      <c r="F987" t="s">
        <v>1723</v>
      </c>
    </row>
    <row r="988" spans="1:6" x14ac:dyDescent="0.25">
      <c r="A988" t="s">
        <v>1134</v>
      </c>
      <c r="B988" t="s">
        <v>336</v>
      </c>
      <c r="C988" t="s">
        <v>249</v>
      </c>
      <c r="D988" t="str">
        <f>HYPERLINK("http://service.sap.com/sap/support/notes/1636283","1636283")</f>
        <v>1636283</v>
      </c>
      <c r="E988">
        <v>1</v>
      </c>
      <c r="F988" t="s">
        <v>1724</v>
      </c>
    </row>
    <row r="989" spans="1:6" x14ac:dyDescent="0.25">
      <c r="A989" t="s">
        <v>1134</v>
      </c>
      <c r="B989" t="s">
        <v>336</v>
      </c>
      <c r="C989" t="s">
        <v>249</v>
      </c>
      <c r="D989" t="str">
        <f>HYPERLINK("http://service.sap.com/sap/support/notes/1636326","1636326")</f>
        <v>1636326</v>
      </c>
      <c r="E989">
        <v>2</v>
      </c>
      <c r="F989" t="s">
        <v>1725</v>
      </c>
    </row>
    <row r="990" spans="1:6" x14ac:dyDescent="0.25">
      <c r="A990" t="s">
        <v>1134</v>
      </c>
      <c r="B990" t="s">
        <v>336</v>
      </c>
      <c r="C990" t="s">
        <v>249</v>
      </c>
      <c r="D990" t="str">
        <f>HYPERLINK("http://service.sap.com/sap/support/notes/1636569","1636569")</f>
        <v>1636569</v>
      </c>
      <c r="E990">
        <v>1</v>
      </c>
      <c r="F990" t="s">
        <v>1726</v>
      </c>
    </row>
    <row r="991" spans="1:6" x14ac:dyDescent="0.25">
      <c r="A991" t="s">
        <v>1134</v>
      </c>
      <c r="B991" t="s">
        <v>336</v>
      </c>
      <c r="C991" t="s">
        <v>249</v>
      </c>
      <c r="D991" t="str">
        <f>HYPERLINK("http://service.sap.com/sap/support/notes/1650518","1650518")</f>
        <v>1650518</v>
      </c>
      <c r="E991">
        <v>2</v>
      </c>
      <c r="F991" t="s">
        <v>1727</v>
      </c>
    </row>
    <row r="992" spans="1:6" x14ac:dyDescent="0.25">
      <c r="A992" t="s">
        <v>1134</v>
      </c>
      <c r="B992" t="s">
        <v>336</v>
      </c>
      <c r="C992" t="s">
        <v>249</v>
      </c>
      <c r="D992" t="str">
        <f>HYPERLINK("http://service.sap.com/sap/support/notes/1650864","1650864")</f>
        <v>1650864</v>
      </c>
      <c r="E992">
        <v>1</v>
      </c>
      <c r="F992" t="s">
        <v>1728</v>
      </c>
    </row>
    <row r="993" spans="1:6" x14ac:dyDescent="0.25">
      <c r="A993" t="s">
        <v>1134</v>
      </c>
      <c r="B993" t="s">
        <v>336</v>
      </c>
      <c r="C993" t="s">
        <v>249</v>
      </c>
      <c r="D993" t="str">
        <f>HYPERLINK("http://service.sap.com/sap/support/notes/1656218","1656218")</f>
        <v>1656218</v>
      </c>
      <c r="E993">
        <v>1</v>
      </c>
      <c r="F993" t="s">
        <v>1729</v>
      </c>
    </row>
    <row r="994" spans="1:6" x14ac:dyDescent="0.25">
      <c r="A994" t="s">
        <v>1134</v>
      </c>
      <c r="B994" t="s">
        <v>337</v>
      </c>
      <c r="C994" t="s">
        <v>338</v>
      </c>
      <c r="D994" t="str">
        <f>HYPERLINK("http://service.sap.com/sap/support/notes/1591780","1591780")</f>
        <v>1591780</v>
      </c>
      <c r="E994">
        <v>2</v>
      </c>
      <c r="F994" t="s">
        <v>1730</v>
      </c>
    </row>
    <row r="995" spans="1:6" x14ac:dyDescent="0.25">
      <c r="A995" t="s">
        <v>1134</v>
      </c>
      <c r="B995" t="s">
        <v>337</v>
      </c>
      <c r="C995" t="s">
        <v>338</v>
      </c>
      <c r="D995" t="str">
        <f>HYPERLINK("http://service.sap.com/sap/support/notes/1593462","1593462")</f>
        <v>1593462</v>
      </c>
      <c r="E995">
        <v>1</v>
      </c>
      <c r="F995" t="s">
        <v>1731</v>
      </c>
    </row>
    <row r="996" spans="1:6" x14ac:dyDescent="0.25">
      <c r="A996" t="s">
        <v>1134</v>
      </c>
      <c r="B996" t="s">
        <v>339</v>
      </c>
      <c r="C996" t="s">
        <v>340</v>
      </c>
      <c r="D996" t="str">
        <f>HYPERLINK("http://service.sap.com/sap/support/notes/1621288","1621288")</f>
        <v>1621288</v>
      </c>
      <c r="E996">
        <v>3</v>
      </c>
      <c r="F996" t="s">
        <v>1732</v>
      </c>
    </row>
    <row r="997" spans="1:6" x14ac:dyDescent="0.25">
      <c r="A997" t="s">
        <v>1134</v>
      </c>
      <c r="B997" t="s">
        <v>339</v>
      </c>
      <c r="C997" t="s">
        <v>340</v>
      </c>
      <c r="D997" t="str">
        <f>HYPERLINK("http://service.sap.com/sap/support/notes/1622809","1622809")</f>
        <v>1622809</v>
      </c>
      <c r="E997">
        <v>3</v>
      </c>
      <c r="F997" t="s">
        <v>1733</v>
      </c>
    </row>
    <row r="998" spans="1:6" x14ac:dyDescent="0.25">
      <c r="A998" t="s">
        <v>1134</v>
      </c>
      <c r="B998" t="s">
        <v>341</v>
      </c>
      <c r="C998" t="s">
        <v>342</v>
      </c>
      <c r="D998" t="str">
        <f>HYPERLINK("http://service.sap.com/sap/support/notes/1555632","1555632")</f>
        <v>1555632</v>
      </c>
      <c r="E998">
        <v>3</v>
      </c>
      <c r="F998" t="s">
        <v>1734</v>
      </c>
    </row>
    <row r="999" spans="1:6" x14ac:dyDescent="0.25">
      <c r="A999" t="s">
        <v>1134</v>
      </c>
      <c r="B999" t="s">
        <v>341</v>
      </c>
      <c r="C999" t="s">
        <v>342</v>
      </c>
      <c r="D999" t="str">
        <f>HYPERLINK("http://service.sap.com/sap/support/notes/1574214","1574214")</f>
        <v>1574214</v>
      </c>
      <c r="E999">
        <v>2</v>
      </c>
      <c r="F999" t="s">
        <v>1735</v>
      </c>
    </row>
    <row r="1000" spans="1:6" x14ac:dyDescent="0.25">
      <c r="A1000" t="s">
        <v>1134</v>
      </c>
      <c r="B1000" t="s">
        <v>341</v>
      </c>
      <c r="C1000" t="s">
        <v>342</v>
      </c>
      <c r="D1000" t="str">
        <f>HYPERLINK("http://service.sap.com/sap/support/notes/1591211","1591211")</f>
        <v>1591211</v>
      </c>
      <c r="E1000">
        <v>1</v>
      </c>
      <c r="F1000" t="s">
        <v>1736</v>
      </c>
    </row>
    <row r="1001" spans="1:6" x14ac:dyDescent="0.25">
      <c r="A1001" t="s">
        <v>1134</v>
      </c>
      <c r="B1001" t="s">
        <v>341</v>
      </c>
      <c r="C1001" t="s">
        <v>342</v>
      </c>
      <c r="D1001" t="str">
        <f>HYPERLINK("http://service.sap.com/sap/support/notes/1591265","1591265")</f>
        <v>1591265</v>
      </c>
      <c r="E1001">
        <v>8</v>
      </c>
      <c r="F1001" t="s">
        <v>1737</v>
      </c>
    </row>
    <row r="1002" spans="1:6" x14ac:dyDescent="0.25">
      <c r="A1002" t="s">
        <v>1134</v>
      </c>
      <c r="B1002" t="s">
        <v>341</v>
      </c>
      <c r="C1002" t="s">
        <v>342</v>
      </c>
      <c r="D1002" t="str">
        <f>HYPERLINK("http://service.sap.com/sap/support/notes/1592248","1592248")</f>
        <v>1592248</v>
      </c>
      <c r="E1002">
        <v>1</v>
      </c>
      <c r="F1002" t="s">
        <v>1738</v>
      </c>
    </row>
    <row r="1003" spans="1:6" x14ac:dyDescent="0.25">
      <c r="A1003" t="s">
        <v>1134</v>
      </c>
      <c r="B1003" t="s">
        <v>341</v>
      </c>
      <c r="C1003" t="s">
        <v>342</v>
      </c>
      <c r="D1003" t="str">
        <f>HYPERLINK("http://service.sap.com/sap/support/notes/1604889","1604889")</f>
        <v>1604889</v>
      </c>
      <c r="E1003">
        <v>1</v>
      </c>
      <c r="F1003" t="s">
        <v>1739</v>
      </c>
    </row>
    <row r="1004" spans="1:6" x14ac:dyDescent="0.25">
      <c r="A1004" t="s">
        <v>1134</v>
      </c>
      <c r="B1004" t="s">
        <v>341</v>
      </c>
      <c r="C1004" t="s">
        <v>342</v>
      </c>
      <c r="D1004" t="str">
        <f>HYPERLINK("http://service.sap.com/sap/support/notes/1617332","1617332")</f>
        <v>1617332</v>
      </c>
      <c r="E1004">
        <v>2</v>
      </c>
      <c r="F1004" t="s">
        <v>1740</v>
      </c>
    </row>
    <row r="1005" spans="1:6" x14ac:dyDescent="0.25">
      <c r="A1005" t="s">
        <v>1134</v>
      </c>
      <c r="B1005" t="s">
        <v>341</v>
      </c>
      <c r="C1005" t="s">
        <v>342</v>
      </c>
      <c r="D1005" t="str">
        <f>HYPERLINK("http://service.sap.com/sap/support/notes/1621720","1621720")</f>
        <v>1621720</v>
      </c>
      <c r="E1005">
        <v>1</v>
      </c>
      <c r="F1005" t="s">
        <v>1741</v>
      </c>
    </row>
    <row r="1006" spans="1:6" x14ac:dyDescent="0.25">
      <c r="A1006" t="s">
        <v>1134</v>
      </c>
      <c r="B1006" t="s">
        <v>341</v>
      </c>
      <c r="C1006" t="s">
        <v>342</v>
      </c>
      <c r="D1006" t="str">
        <f>HYPERLINK("http://service.sap.com/sap/support/notes/1628501","1628501")</f>
        <v>1628501</v>
      </c>
      <c r="E1006">
        <v>1</v>
      </c>
      <c r="F1006" t="s">
        <v>1742</v>
      </c>
    </row>
    <row r="1007" spans="1:6" x14ac:dyDescent="0.25">
      <c r="A1007" t="s">
        <v>1134</v>
      </c>
      <c r="B1007" t="s">
        <v>341</v>
      </c>
      <c r="C1007" t="s">
        <v>342</v>
      </c>
      <c r="D1007" t="str">
        <f>HYPERLINK("http://service.sap.com/sap/support/notes/1648390","1648390")</f>
        <v>1648390</v>
      </c>
      <c r="E1007">
        <v>1</v>
      </c>
      <c r="F1007" t="s">
        <v>1743</v>
      </c>
    </row>
    <row r="1008" spans="1:6" x14ac:dyDescent="0.25">
      <c r="A1008" t="s">
        <v>1134</v>
      </c>
      <c r="B1008" t="s">
        <v>341</v>
      </c>
      <c r="C1008" t="s">
        <v>342</v>
      </c>
      <c r="D1008" t="str">
        <f>HYPERLINK("http://service.sap.com/sap/support/notes/1652428","1652428")</f>
        <v>1652428</v>
      </c>
      <c r="E1008">
        <v>1</v>
      </c>
      <c r="F1008" t="s">
        <v>1744</v>
      </c>
    </row>
    <row r="1009" spans="1:6" x14ac:dyDescent="0.25">
      <c r="A1009" t="s">
        <v>1134</v>
      </c>
      <c r="B1009" t="s">
        <v>1745</v>
      </c>
      <c r="C1009" t="s">
        <v>1746</v>
      </c>
      <c r="D1009" t="str">
        <f>HYPERLINK("http://service.sap.com/sap/support/notes/1593875","1593875")</f>
        <v>1593875</v>
      </c>
      <c r="E1009">
        <v>2</v>
      </c>
      <c r="F1009" t="s">
        <v>1747</v>
      </c>
    </row>
    <row r="1010" spans="1:6" x14ac:dyDescent="0.25">
      <c r="A1010" t="s">
        <v>1134</v>
      </c>
      <c r="B1010" t="s">
        <v>343</v>
      </c>
      <c r="C1010" t="s">
        <v>344</v>
      </c>
      <c r="D1010" t="str">
        <f>HYPERLINK("http://service.sap.com/sap/support/notes/1614391","1614391")</f>
        <v>1614391</v>
      </c>
      <c r="E1010">
        <v>2</v>
      </c>
      <c r="F1010" t="s">
        <v>1748</v>
      </c>
    </row>
    <row r="1011" spans="1:6" x14ac:dyDescent="0.25">
      <c r="A1011" t="s">
        <v>1134</v>
      </c>
      <c r="B1011" t="s">
        <v>343</v>
      </c>
      <c r="C1011" t="s">
        <v>344</v>
      </c>
      <c r="D1011" t="str">
        <f>HYPERLINK("http://service.sap.com/sap/support/notes/1620684","1620684")</f>
        <v>1620684</v>
      </c>
      <c r="E1011">
        <v>1</v>
      </c>
      <c r="F1011" t="s">
        <v>1749</v>
      </c>
    </row>
    <row r="1012" spans="1:6" x14ac:dyDescent="0.25">
      <c r="A1012" t="s">
        <v>1134</v>
      </c>
      <c r="B1012" t="s">
        <v>343</v>
      </c>
      <c r="C1012" t="s">
        <v>344</v>
      </c>
      <c r="D1012" t="str">
        <f>HYPERLINK("http://service.sap.com/sap/support/notes/1647716","1647716")</f>
        <v>1647716</v>
      </c>
      <c r="E1012">
        <v>1</v>
      </c>
      <c r="F1012" t="s">
        <v>1750</v>
      </c>
    </row>
    <row r="1013" spans="1:6" x14ac:dyDescent="0.25">
      <c r="A1013" t="s">
        <v>1134</v>
      </c>
      <c r="B1013" t="s">
        <v>345</v>
      </c>
      <c r="C1013" t="s">
        <v>326</v>
      </c>
      <c r="D1013" t="str">
        <f>HYPERLINK("http://service.sap.com/sap/support/notes/1605180","1605180")</f>
        <v>1605180</v>
      </c>
      <c r="E1013">
        <v>1</v>
      </c>
      <c r="F1013" t="s">
        <v>1751</v>
      </c>
    </row>
    <row r="1014" spans="1:6" x14ac:dyDescent="0.25">
      <c r="A1014" t="s">
        <v>1134</v>
      </c>
      <c r="B1014" t="s">
        <v>345</v>
      </c>
      <c r="C1014" t="s">
        <v>326</v>
      </c>
      <c r="D1014" t="str">
        <f>HYPERLINK("http://service.sap.com/sap/support/notes/1614557","1614557")</f>
        <v>1614557</v>
      </c>
      <c r="E1014">
        <v>4</v>
      </c>
      <c r="F1014" t="s">
        <v>1752</v>
      </c>
    </row>
    <row r="1015" spans="1:6" x14ac:dyDescent="0.25">
      <c r="A1015" t="s">
        <v>1134</v>
      </c>
      <c r="B1015" t="s">
        <v>345</v>
      </c>
      <c r="C1015" t="s">
        <v>326</v>
      </c>
      <c r="D1015" t="str">
        <f>HYPERLINK("http://service.sap.com/sap/support/notes/1630744","1630744")</f>
        <v>1630744</v>
      </c>
      <c r="E1015">
        <v>1</v>
      </c>
      <c r="F1015" t="s">
        <v>1753</v>
      </c>
    </row>
    <row r="1016" spans="1:6" x14ac:dyDescent="0.25">
      <c r="A1016" t="s">
        <v>1134</v>
      </c>
      <c r="B1016" t="s">
        <v>1754</v>
      </c>
      <c r="C1016" t="s">
        <v>1755</v>
      </c>
      <c r="D1016" t="str">
        <f>HYPERLINK("http://service.sap.com/sap/support/notes/1546692","1546692")</f>
        <v>1546692</v>
      </c>
      <c r="E1016">
        <v>4</v>
      </c>
      <c r="F1016" t="s">
        <v>1756</v>
      </c>
    </row>
    <row r="1017" spans="1:6" x14ac:dyDescent="0.25">
      <c r="A1017" t="s">
        <v>1134</v>
      </c>
      <c r="B1017" t="s">
        <v>1754</v>
      </c>
      <c r="C1017" t="s">
        <v>1755</v>
      </c>
      <c r="D1017" t="str">
        <f>HYPERLINK("http://service.sap.com/sap/support/notes/1617160","1617160")</f>
        <v>1617160</v>
      </c>
      <c r="E1017">
        <v>1</v>
      </c>
      <c r="F1017" t="s">
        <v>1757</v>
      </c>
    </row>
    <row r="1018" spans="1:6" x14ac:dyDescent="0.25">
      <c r="A1018" t="s">
        <v>1134</v>
      </c>
      <c r="B1018" t="s">
        <v>1754</v>
      </c>
      <c r="C1018" t="s">
        <v>1755</v>
      </c>
      <c r="D1018" t="str">
        <f>HYPERLINK("http://service.sap.com/sap/support/notes/1627622","1627622")</f>
        <v>1627622</v>
      </c>
      <c r="E1018">
        <v>1</v>
      </c>
      <c r="F1018" t="s">
        <v>1758</v>
      </c>
    </row>
    <row r="1019" spans="1:6" x14ac:dyDescent="0.25">
      <c r="A1019" t="s">
        <v>1134</v>
      </c>
      <c r="B1019" t="s">
        <v>346</v>
      </c>
      <c r="C1019" t="s">
        <v>347</v>
      </c>
      <c r="D1019" t="str">
        <f>HYPERLINK("http://service.sap.com/sap/support/notes/1612586","1612586")</f>
        <v>1612586</v>
      </c>
      <c r="E1019">
        <v>3</v>
      </c>
      <c r="F1019" t="s">
        <v>1759</v>
      </c>
    </row>
    <row r="1020" spans="1:6" x14ac:dyDescent="0.25">
      <c r="A1020" t="s">
        <v>1134</v>
      </c>
      <c r="B1020" t="s">
        <v>346</v>
      </c>
      <c r="C1020" t="s">
        <v>347</v>
      </c>
      <c r="D1020" t="str">
        <f>HYPERLINK("http://service.sap.com/sap/support/notes/1639125","1639125")</f>
        <v>1639125</v>
      </c>
      <c r="E1020">
        <v>3</v>
      </c>
      <c r="F1020" t="s">
        <v>1760</v>
      </c>
    </row>
    <row r="1021" spans="1:6" x14ac:dyDescent="0.25">
      <c r="A1021" t="s">
        <v>1134</v>
      </c>
      <c r="B1021" t="s">
        <v>348</v>
      </c>
      <c r="C1021" t="s">
        <v>349</v>
      </c>
      <c r="D1021" t="str">
        <f>HYPERLINK("http://service.sap.com/sap/support/notes/1557480","1557480")</f>
        <v>1557480</v>
      </c>
      <c r="E1021">
        <v>1</v>
      </c>
      <c r="F1021" t="s">
        <v>1761</v>
      </c>
    </row>
    <row r="1022" spans="1:6" x14ac:dyDescent="0.25">
      <c r="A1022" t="s">
        <v>1134</v>
      </c>
      <c r="B1022" t="s">
        <v>348</v>
      </c>
      <c r="C1022" t="s">
        <v>349</v>
      </c>
      <c r="D1022" t="str">
        <f>HYPERLINK("http://service.sap.com/sap/support/notes/1591627","1591627")</f>
        <v>1591627</v>
      </c>
      <c r="E1022">
        <v>1</v>
      </c>
      <c r="F1022" t="s">
        <v>1762</v>
      </c>
    </row>
    <row r="1023" spans="1:6" x14ac:dyDescent="0.25">
      <c r="A1023" t="s">
        <v>1134</v>
      </c>
      <c r="B1023" t="s">
        <v>348</v>
      </c>
      <c r="C1023" t="s">
        <v>349</v>
      </c>
      <c r="D1023" t="str">
        <f>HYPERLINK("http://service.sap.com/sap/support/notes/1610900","1610900")</f>
        <v>1610900</v>
      </c>
      <c r="E1023">
        <v>2</v>
      </c>
      <c r="F1023" t="s">
        <v>1763</v>
      </c>
    </row>
    <row r="1024" spans="1:6" x14ac:dyDescent="0.25">
      <c r="A1024" t="s">
        <v>1134</v>
      </c>
      <c r="B1024" t="s">
        <v>348</v>
      </c>
      <c r="C1024" t="s">
        <v>349</v>
      </c>
      <c r="D1024" t="str">
        <f>HYPERLINK("http://service.sap.com/sap/support/notes/1613430","1613430")</f>
        <v>1613430</v>
      </c>
      <c r="E1024">
        <v>2</v>
      </c>
      <c r="F1024" t="s">
        <v>1764</v>
      </c>
    </row>
    <row r="1025" spans="1:6" x14ac:dyDescent="0.25">
      <c r="A1025" t="s">
        <v>1134</v>
      </c>
      <c r="B1025" t="s">
        <v>348</v>
      </c>
      <c r="C1025" t="s">
        <v>349</v>
      </c>
      <c r="D1025" t="str">
        <f>HYPERLINK("http://service.sap.com/sap/support/notes/1614505","1614505")</f>
        <v>1614505</v>
      </c>
      <c r="E1025">
        <v>3</v>
      </c>
      <c r="F1025" t="s">
        <v>1765</v>
      </c>
    </row>
    <row r="1026" spans="1:6" x14ac:dyDescent="0.25">
      <c r="A1026" t="s">
        <v>1134</v>
      </c>
      <c r="B1026" t="s">
        <v>348</v>
      </c>
      <c r="C1026" t="s">
        <v>349</v>
      </c>
      <c r="D1026" t="str">
        <f>HYPERLINK("http://service.sap.com/sap/support/notes/1614695","1614695")</f>
        <v>1614695</v>
      </c>
      <c r="E1026">
        <v>5</v>
      </c>
      <c r="F1026" t="s">
        <v>1766</v>
      </c>
    </row>
    <row r="1027" spans="1:6" x14ac:dyDescent="0.25">
      <c r="A1027" t="s">
        <v>1134</v>
      </c>
      <c r="B1027" t="s">
        <v>348</v>
      </c>
      <c r="C1027" t="s">
        <v>349</v>
      </c>
      <c r="D1027" t="str">
        <f>HYPERLINK("http://service.sap.com/sap/support/notes/1621964","1621964")</f>
        <v>1621964</v>
      </c>
      <c r="E1027">
        <v>1</v>
      </c>
      <c r="F1027" t="s">
        <v>1767</v>
      </c>
    </row>
    <row r="1028" spans="1:6" x14ac:dyDescent="0.25">
      <c r="A1028" t="s">
        <v>1134</v>
      </c>
      <c r="B1028" t="s">
        <v>348</v>
      </c>
      <c r="C1028" t="s">
        <v>349</v>
      </c>
      <c r="D1028" t="str">
        <f>HYPERLINK("http://service.sap.com/sap/support/notes/1626150","1626150")</f>
        <v>1626150</v>
      </c>
      <c r="E1028">
        <v>2</v>
      </c>
      <c r="F1028" t="s">
        <v>1768</v>
      </c>
    </row>
    <row r="1029" spans="1:6" x14ac:dyDescent="0.25">
      <c r="A1029" t="s">
        <v>1134</v>
      </c>
      <c r="B1029" t="s">
        <v>348</v>
      </c>
      <c r="C1029" t="s">
        <v>349</v>
      </c>
      <c r="D1029" t="str">
        <f>HYPERLINK("http://service.sap.com/sap/support/notes/1631986","1631986")</f>
        <v>1631986</v>
      </c>
      <c r="E1029">
        <v>3</v>
      </c>
      <c r="F1029" t="s">
        <v>1769</v>
      </c>
    </row>
    <row r="1030" spans="1:6" x14ac:dyDescent="0.25">
      <c r="A1030" t="s">
        <v>1134</v>
      </c>
      <c r="B1030" t="s">
        <v>348</v>
      </c>
      <c r="C1030" t="s">
        <v>349</v>
      </c>
      <c r="D1030" t="str">
        <f>HYPERLINK("http://service.sap.com/sap/support/notes/1639253","1639253")</f>
        <v>1639253</v>
      </c>
      <c r="E1030">
        <v>4</v>
      </c>
      <c r="F1030" t="s">
        <v>1770</v>
      </c>
    </row>
    <row r="1031" spans="1:6" x14ac:dyDescent="0.25">
      <c r="A1031" t="s">
        <v>1134</v>
      </c>
      <c r="B1031" t="s">
        <v>348</v>
      </c>
      <c r="C1031" t="s">
        <v>349</v>
      </c>
      <c r="D1031" t="str">
        <f>HYPERLINK("http://service.sap.com/sap/support/notes/1642872","1642872")</f>
        <v>1642872</v>
      </c>
      <c r="E1031">
        <v>1</v>
      </c>
      <c r="F1031" t="s">
        <v>1771</v>
      </c>
    </row>
    <row r="1032" spans="1:6" x14ac:dyDescent="0.25">
      <c r="A1032" t="s">
        <v>1134</v>
      </c>
      <c r="B1032" t="s">
        <v>348</v>
      </c>
      <c r="C1032" t="s">
        <v>349</v>
      </c>
      <c r="D1032" t="str">
        <f>HYPERLINK("http://service.sap.com/sap/support/notes/1643370","1643370")</f>
        <v>1643370</v>
      </c>
      <c r="E1032">
        <v>1</v>
      </c>
      <c r="F1032" t="s">
        <v>1772</v>
      </c>
    </row>
    <row r="1033" spans="1:6" x14ac:dyDescent="0.25">
      <c r="A1033" t="s">
        <v>1134</v>
      </c>
      <c r="B1033" t="s">
        <v>348</v>
      </c>
      <c r="C1033" t="s">
        <v>349</v>
      </c>
      <c r="D1033" t="str">
        <f>HYPERLINK("http://service.sap.com/sap/support/notes/1651058","1651058")</f>
        <v>1651058</v>
      </c>
      <c r="E1033">
        <v>1</v>
      </c>
      <c r="F1033" t="s">
        <v>1773</v>
      </c>
    </row>
    <row r="1034" spans="1:6" x14ac:dyDescent="0.25">
      <c r="A1034" t="s">
        <v>1134</v>
      </c>
      <c r="B1034" t="s">
        <v>348</v>
      </c>
      <c r="C1034" t="s">
        <v>349</v>
      </c>
      <c r="D1034" t="str">
        <f>HYPERLINK("http://service.sap.com/sap/support/notes/1654367","1654367")</f>
        <v>1654367</v>
      </c>
      <c r="E1034">
        <v>1</v>
      </c>
      <c r="F1034" t="s">
        <v>1774</v>
      </c>
    </row>
    <row r="1035" spans="1:6" x14ac:dyDescent="0.25">
      <c r="A1035" t="s">
        <v>1134</v>
      </c>
      <c r="B1035" t="s">
        <v>348</v>
      </c>
      <c r="C1035" t="s">
        <v>349</v>
      </c>
      <c r="D1035" t="str">
        <f>HYPERLINK("http://service.sap.com/sap/support/notes/1654859","1654859")</f>
        <v>1654859</v>
      </c>
      <c r="E1035">
        <v>1</v>
      </c>
      <c r="F1035" t="s">
        <v>1775</v>
      </c>
    </row>
    <row r="1036" spans="1:6" x14ac:dyDescent="0.25">
      <c r="A1036" t="s">
        <v>1134</v>
      </c>
      <c r="B1036" t="s">
        <v>1776</v>
      </c>
      <c r="C1036" t="s">
        <v>1777</v>
      </c>
      <c r="D1036" t="str">
        <f>HYPERLINK("http://service.sap.com/sap/support/notes/1653078","1653078")</f>
        <v>1653078</v>
      </c>
      <c r="E1036">
        <v>1</v>
      </c>
      <c r="F1036" t="s">
        <v>1778</v>
      </c>
    </row>
    <row r="1037" spans="1:6" x14ac:dyDescent="0.25">
      <c r="A1037" t="s">
        <v>1134</v>
      </c>
      <c r="B1037" t="s">
        <v>350</v>
      </c>
      <c r="C1037" t="s">
        <v>351</v>
      </c>
      <c r="D1037" t="str">
        <f>HYPERLINK("http://service.sap.com/sap/support/notes/1566608","1566608")</f>
        <v>1566608</v>
      </c>
      <c r="E1037">
        <v>1</v>
      </c>
      <c r="F1037" t="s">
        <v>1779</v>
      </c>
    </row>
    <row r="1038" spans="1:6" x14ac:dyDescent="0.25">
      <c r="A1038" t="s">
        <v>1134</v>
      </c>
      <c r="B1038" t="s">
        <v>350</v>
      </c>
      <c r="C1038" t="s">
        <v>351</v>
      </c>
      <c r="D1038" t="str">
        <f>HYPERLINK("http://service.sap.com/sap/support/notes/1593972","1593972")</f>
        <v>1593972</v>
      </c>
      <c r="E1038">
        <v>2</v>
      </c>
      <c r="F1038" t="s">
        <v>1780</v>
      </c>
    </row>
    <row r="1039" spans="1:6" x14ac:dyDescent="0.25">
      <c r="A1039" t="s">
        <v>1134</v>
      </c>
      <c r="B1039" t="s">
        <v>350</v>
      </c>
      <c r="C1039" t="s">
        <v>351</v>
      </c>
      <c r="D1039" t="str">
        <f>HYPERLINK("http://service.sap.com/sap/support/notes/1598631","1598631")</f>
        <v>1598631</v>
      </c>
      <c r="E1039">
        <v>2</v>
      </c>
      <c r="F1039" t="s">
        <v>1781</v>
      </c>
    </row>
    <row r="1040" spans="1:6" x14ac:dyDescent="0.25">
      <c r="A1040" t="s">
        <v>1134</v>
      </c>
      <c r="B1040" t="s">
        <v>350</v>
      </c>
      <c r="C1040" t="s">
        <v>351</v>
      </c>
      <c r="D1040" t="str">
        <f>HYPERLINK("http://service.sap.com/sap/support/notes/1609016","1609016")</f>
        <v>1609016</v>
      </c>
      <c r="E1040">
        <v>4</v>
      </c>
      <c r="F1040" t="s">
        <v>1782</v>
      </c>
    </row>
    <row r="1041" spans="1:6" x14ac:dyDescent="0.25">
      <c r="A1041" t="s">
        <v>1134</v>
      </c>
      <c r="B1041" t="s">
        <v>350</v>
      </c>
      <c r="C1041" t="s">
        <v>351</v>
      </c>
      <c r="D1041" t="str">
        <f>HYPERLINK("http://service.sap.com/sap/support/notes/1610083","1610083")</f>
        <v>1610083</v>
      </c>
      <c r="E1041">
        <v>2</v>
      </c>
      <c r="F1041" t="s">
        <v>1783</v>
      </c>
    </row>
    <row r="1042" spans="1:6" x14ac:dyDescent="0.25">
      <c r="A1042" t="s">
        <v>1134</v>
      </c>
      <c r="B1042" t="s">
        <v>350</v>
      </c>
      <c r="C1042" t="s">
        <v>351</v>
      </c>
      <c r="D1042" t="str">
        <f>HYPERLINK("http://service.sap.com/sap/support/notes/1612429","1612429")</f>
        <v>1612429</v>
      </c>
      <c r="E1042">
        <v>7</v>
      </c>
      <c r="F1042" t="s">
        <v>1784</v>
      </c>
    </row>
    <row r="1043" spans="1:6" x14ac:dyDescent="0.25">
      <c r="A1043" t="s">
        <v>1134</v>
      </c>
      <c r="B1043" t="s">
        <v>350</v>
      </c>
      <c r="C1043" t="s">
        <v>351</v>
      </c>
      <c r="D1043" t="str">
        <f>HYPERLINK("http://service.sap.com/sap/support/notes/1621413","1621413")</f>
        <v>1621413</v>
      </c>
      <c r="E1043">
        <v>3</v>
      </c>
      <c r="F1043" t="s">
        <v>1785</v>
      </c>
    </row>
    <row r="1044" spans="1:6" x14ac:dyDescent="0.25">
      <c r="A1044" t="s">
        <v>1134</v>
      </c>
      <c r="B1044" t="s">
        <v>350</v>
      </c>
      <c r="C1044" t="s">
        <v>351</v>
      </c>
      <c r="D1044" t="str">
        <f>HYPERLINK("http://service.sap.com/sap/support/notes/1621768","1621768")</f>
        <v>1621768</v>
      </c>
      <c r="E1044">
        <v>2</v>
      </c>
      <c r="F1044" t="s">
        <v>1786</v>
      </c>
    </row>
    <row r="1045" spans="1:6" x14ac:dyDescent="0.25">
      <c r="A1045" t="s">
        <v>1134</v>
      </c>
      <c r="B1045" t="s">
        <v>350</v>
      </c>
      <c r="C1045" t="s">
        <v>351</v>
      </c>
      <c r="D1045" t="str">
        <f>HYPERLINK("http://service.sap.com/sap/support/notes/1631470","1631470")</f>
        <v>1631470</v>
      </c>
      <c r="E1045">
        <v>2</v>
      </c>
      <c r="F1045" t="s">
        <v>1787</v>
      </c>
    </row>
    <row r="1046" spans="1:6" x14ac:dyDescent="0.25">
      <c r="A1046" t="s">
        <v>1134</v>
      </c>
      <c r="B1046" t="s">
        <v>350</v>
      </c>
      <c r="C1046" t="s">
        <v>351</v>
      </c>
      <c r="D1046" t="str">
        <f>HYPERLINK("http://service.sap.com/sap/support/notes/1643222","1643222")</f>
        <v>1643222</v>
      </c>
      <c r="E1046">
        <v>3</v>
      </c>
      <c r="F1046" t="s">
        <v>1788</v>
      </c>
    </row>
    <row r="1047" spans="1:6" x14ac:dyDescent="0.25">
      <c r="A1047" t="s">
        <v>1134</v>
      </c>
      <c r="B1047" t="s">
        <v>350</v>
      </c>
      <c r="C1047" t="s">
        <v>351</v>
      </c>
      <c r="D1047" t="str">
        <f>HYPERLINK("http://service.sap.com/sap/support/notes/1647820","1647820")</f>
        <v>1647820</v>
      </c>
      <c r="E1047">
        <v>4</v>
      </c>
      <c r="F1047" t="s">
        <v>1789</v>
      </c>
    </row>
    <row r="1048" spans="1:6" x14ac:dyDescent="0.25">
      <c r="A1048" t="s">
        <v>1134</v>
      </c>
      <c r="B1048" t="s">
        <v>350</v>
      </c>
      <c r="C1048" t="s">
        <v>351</v>
      </c>
      <c r="D1048" t="str">
        <f>HYPERLINK("http://service.sap.com/sap/support/notes/1649031","1649031")</f>
        <v>1649031</v>
      </c>
      <c r="E1048">
        <v>1</v>
      </c>
      <c r="F1048" t="s">
        <v>1790</v>
      </c>
    </row>
    <row r="1049" spans="1:6" x14ac:dyDescent="0.25">
      <c r="A1049" t="s">
        <v>1134</v>
      </c>
      <c r="B1049" t="s">
        <v>350</v>
      </c>
      <c r="C1049" t="s">
        <v>351</v>
      </c>
      <c r="D1049" t="str">
        <f>HYPERLINK("http://service.sap.com/sap/support/notes/1652748","1652748")</f>
        <v>1652748</v>
      </c>
      <c r="E1049">
        <v>4</v>
      </c>
      <c r="F1049" t="s">
        <v>1791</v>
      </c>
    </row>
    <row r="1050" spans="1:6" x14ac:dyDescent="0.25">
      <c r="A1050" t="s">
        <v>1134</v>
      </c>
      <c r="B1050" t="s">
        <v>350</v>
      </c>
      <c r="C1050" t="s">
        <v>351</v>
      </c>
      <c r="D1050" t="str">
        <f>HYPERLINK("http://service.sap.com/sap/support/notes/1655116","1655116")</f>
        <v>1655116</v>
      </c>
      <c r="E1050">
        <v>1</v>
      </c>
      <c r="F1050" t="s">
        <v>1792</v>
      </c>
    </row>
    <row r="1051" spans="1:6" x14ac:dyDescent="0.25">
      <c r="A1051" t="s">
        <v>1134</v>
      </c>
      <c r="B1051" t="s">
        <v>350</v>
      </c>
      <c r="C1051" t="s">
        <v>351</v>
      </c>
      <c r="D1051" t="str">
        <f>HYPERLINK("http://service.sap.com/sap/support/notes/1655757","1655757")</f>
        <v>1655757</v>
      </c>
      <c r="E1051">
        <v>1</v>
      </c>
      <c r="F1051" t="s">
        <v>1793</v>
      </c>
    </row>
    <row r="1052" spans="1:6" x14ac:dyDescent="0.25">
      <c r="A1052" t="s">
        <v>1134</v>
      </c>
      <c r="B1052" t="s">
        <v>352</v>
      </c>
      <c r="C1052" t="s">
        <v>353</v>
      </c>
      <c r="D1052" t="str">
        <f>HYPERLINK("http://service.sap.com/sap/support/notes/1583563","1583563")</f>
        <v>1583563</v>
      </c>
      <c r="E1052">
        <v>5</v>
      </c>
      <c r="F1052" t="s">
        <v>1794</v>
      </c>
    </row>
    <row r="1053" spans="1:6" x14ac:dyDescent="0.25">
      <c r="A1053" t="s">
        <v>1134</v>
      </c>
      <c r="B1053" t="s">
        <v>352</v>
      </c>
      <c r="C1053" t="s">
        <v>353</v>
      </c>
      <c r="D1053" t="str">
        <f>HYPERLINK("http://service.sap.com/sap/support/notes/1601492","1601492")</f>
        <v>1601492</v>
      </c>
      <c r="E1053">
        <v>3</v>
      </c>
      <c r="F1053" t="s">
        <v>1795</v>
      </c>
    </row>
    <row r="1054" spans="1:6" x14ac:dyDescent="0.25">
      <c r="A1054" t="s">
        <v>1134</v>
      </c>
      <c r="B1054" t="s">
        <v>352</v>
      </c>
      <c r="C1054" t="s">
        <v>353</v>
      </c>
      <c r="D1054" t="str">
        <f>HYPERLINK("http://service.sap.com/sap/support/notes/1603396","1603396")</f>
        <v>1603396</v>
      </c>
      <c r="E1054">
        <v>5</v>
      </c>
      <c r="F1054" t="s">
        <v>1796</v>
      </c>
    </row>
    <row r="1055" spans="1:6" x14ac:dyDescent="0.25">
      <c r="A1055" t="s">
        <v>1134</v>
      </c>
      <c r="B1055" t="s">
        <v>352</v>
      </c>
      <c r="C1055" t="s">
        <v>353</v>
      </c>
      <c r="D1055" t="str">
        <f>HYPERLINK("http://service.sap.com/sap/support/notes/1620271","1620271")</f>
        <v>1620271</v>
      </c>
      <c r="E1055">
        <v>1</v>
      </c>
      <c r="F1055" t="s">
        <v>1797</v>
      </c>
    </row>
    <row r="1056" spans="1:6" x14ac:dyDescent="0.25">
      <c r="A1056" t="s">
        <v>1134</v>
      </c>
      <c r="B1056" t="s">
        <v>352</v>
      </c>
      <c r="C1056" t="s">
        <v>353</v>
      </c>
      <c r="D1056" t="str">
        <f>HYPERLINK("http://service.sap.com/sap/support/notes/1646904","1646904")</f>
        <v>1646904</v>
      </c>
      <c r="E1056">
        <v>1</v>
      </c>
      <c r="F1056" t="s">
        <v>1798</v>
      </c>
    </row>
    <row r="1057" spans="1:6" x14ac:dyDescent="0.25">
      <c r="A1057" t="s">
        <v>1134</v>
      </c>
      <c r="B1057" t="s">
        <v>352</v>
      </c>
      <c r="C1057" t="s">
        <v>353</v>
      </c>
      <c r="D1057" t="str">
        <f>HYPERLINK("http://service.sap.com/sap/support/notes/1647333","1647333")</f>
        <v>1647333</v>
      </c>
      <c r="E1057">
        <v>2</v>
      </c>
      <c r="F1057" t="s">
        <v>1799</v>
      </c>
    </row>
    <row r="1058" spans="1:6" x14ac:dyDescent="0.25">
      <c r="A1058" t="s">
        <v>1134</v>
      </c>
      <c r="B1058" t="s">
        <v>205</v>
      </c>
      <c r="C1058" t="s">
        <v>206</v>
      </c>
      <c r="D1058" t="str">
        <f>HYPERLINK("http://service.sap.com/sap/support/notes/1522560","1522560")</f>
        <v>1522560</v>
      </c>
      <c r="E1058">
        <v>3</v>
      </c>
      <c r="F1058" t="s">
        <v>1800</v>
      </c>
    </row>
    <row r="1059" spans="1:6" x14ac:dyDescent="0.25">
      <c r="A1059" t="s">
        <v>1134</v>
      </c>
      <c r="B1059" t="s">
        <v>205</v>
      </c>
      <c r="C1059" t="s">
        <v>206</v>
      </c>
      <c r="D1059" t="str">
        <f>HYPERLINK("http://service.sap.com/sap/support/notes/1600742","1600742")</f>
        <v>1600742</v>
      </c>
      <c r="E1059">
        <v>1</v>
      </c>
      <c r="F1059" t="s">
        <v>1801</v>
      </c>
    </row>
    <row r="1060" spans="1:6" x14ac:dyDescent="0.25">
      <c r="A1060" t="s">
        <v>1134</v>
      </c>
      <c r="B1060" t="s">
        <v>205</v>
      </c>
      <c r="C1060" t="s">
        <v>206</v>
      </c>
      <c r="D1060" t="str">
        <f>HYPERLINK("http://service.sap.com/sap/support/notes/1644170","1644170")</f>
        <v>1644170</v>
      </c>
      <c r="E1060">
        <v>1</v>
      </c>
      <c r="F1060" t="s">
        <v>1802</v>
      </c>
    </row>
    <row r="1061" spans="1:6" x14ac:dyDescent="0.25">
      <c r="A1061" t="s">
        <v>1134</v>
      </c>
      <c r="B1061" t="s">
        <v>205</v>
      </c>
      <c r="C1061" t="s">
        <v>206</v>
      </c>
      <c r="D1061" t="str">
        <f>HYPERLINK("http://service.sap.com/sap/support/notes/1647527","1647527")</f>
        <v>1647527</v>
      </c>
      <c r="E1061">
        <v>1</v>
      </c>
      <c r="F1061" t="s">
        <v>1803</v>
      </c>
    </row>
    <row r="1062" spans="1:6" x14ac:dyDescent="0.25">
      <c r="A1062" t="s">
        <v>1134</v>
      </c>
      <c r="B1062" t="s">
        <v>429</v>
      </c>
      <c r="C1062" t="s">
        <v>1804</v>
      </c>
    </row>
    <row r="1063" spans="1:6" x14ac:dyDescent="0.25">
      <c r="A1063" t="s">
        <v>1134</v>
      </c>
      <c r="B1063" t="s">
        <v>430</v>
      </c>
      <c r="C1063" t="s">
        <v>1805</v>
      </c>
    </row>
    <row r="1064" spans="1:6" x14ac:dyDescent="0.25">
      <c r="A1064" t="s">
        <v>1134</v>
      </c>
      <c r="B1064" t="s">
        <v>431</v>
      </c>
      <c r="C1064" t="s">
        <v>30</v>
      </c>
    </row>
    <row r="1065" spans="1:6" x14ac:dyDescent="0.25">
      <c r="A1065" t="s">
        <v>1134</v>
      </c>
      <c r="B1065" t="s">
        <v>432</v>
      </c>
      <c r="C1065" t="s">
        <v>62</v>
      </c>
      <c r="D1065" t="str">
        <f>HYPERLINK("http://service.sap.com/sap/support/notes/1615909","1615909")</f>
        <v>1615909</v>
      </c>
      <c r="E1065">
        <v>1</v>
      </c>
      <c r="F1065" t="s">
        <v>1806</v>
      </c>
    </row>
    <row r="1066" spans="1:6" x14ac:dyDescent="0.25">
      <c r="A1066" t="s">
        <v>1134</v>
      </c>
      <c r="B1066" t="s">
        <v>432</v>
      </c>
      <c r="C1066" t="s">
        <v>62</v>
      </c>
      <c r="D1066" t="str">
        <f>HYPERLINK("http://service.sap.com/sap/support/notes/1620797","1620797")</f>
        <v>1620797</v>
      </c>
      <c r="E1066">
        <v>1</v>
      </c>
      <c r="F1066" t="s">
        <v>1806</v>
      </c>
    </row>
    <row r="1067" spans="1:6" x14ac:dyDescent="0.25">
      <c r="A1067" t="s">
        <v>1807</v>
      </c>
      <c r="B1067" t="s">
        <v>21</v>
      </c>
      <c r="C1067" t="s">
        <v>12</v>
      </c>
    </row>
    <row r="1068" spans="1:6" x14ac:dyDescent="0.25">
      <c r="A1068" t="s">
        <v>1807</v>
      </c>
      <c r="B1068" t="s">
        <v>22</v>
      </c>
      <c r="C1068" t="s">
        <v>23</v>
      </c>
      <c r="D1068" t="str">
        <f>HYPERLINK("http://service.sap.com/sap/support/notes/1658359","1658359")</f>
        <v>1658359</v>
      </c>
      <c r="E1068">
        <v>2</v>
      </c>
      <c r="F1068" t="s">
        <v>1172</v>
      </c>
    </row>
    <row r="1069" spans="1:6" x14ac:dyDescent="0.25">
      <c r="A1069" t="s">
        <v>1807</v>
      </c>
      <c r="B1069" t="s">
        <v>29</v>
      </c>
      <c r="C1069" t="s">
        <v>30</v>
      </c>
    </row>
    <row r="1070" spans="1:6" x14ac:dyDescent="0.25">
      <c r="A1070" t="s">
        <v>1807</v>
      </c>
      <c r="B1070" t="s">
        <v>256</v>
      </c>
      <c r="C1070" t="s">
        <v>165</v>
      </c>
      <c r="D1070" t="str">
        <f>HYPERLINK("http://service.sap.com/sap/support/notes/1652829","1652829")</f>
        <v>1652829</v>
      </c>
      <c r="E1070">
        <v>2</v>
      </c>
      <c r="F1070" t="s">
        <v>1247</v>
      </c>
    </row>
    <row r="1071" spans="1:6" x14ac:dyDescent="0.25">
      <c r="A1071" t="s">
        <v>1807</v>
      </c>
      <c r="B1071" t="s">
        <v>256</v>
      </c>
      <c r="C1071" t="s">
        <v>165</v>
      </c>
      <c r="D1071" t="str">
        <f>HYPERLINK("http://service.sap.com/sap/support/notes/1658652","1658652")</f>
        <v>1658652</v>
      </c>
      <c r="E1071">
        <v>2</v>
      </c>
      <c r="F1071" t="s">
        <v>1808</v>
      </c>
    </row>
    <row r="1072" spans="1:6" x14ac:dyDescent="0.25">
      <c r="A1072" t="s">
        <v>1807</v>
      </c>
      <c r="B1072" t="s">
        <v>256</v>
      </c>
      <c r="C1072" t="s">
        <v>165</v>
      </c>
      <c r="D1072" t="str">
        <f>HYPERLINK("http://service.sap.com/sap/support/notes/1658888","1658888")</f>
        <v>1658888</v>
      </c>
      <c r="E1072">
        <v>2</v>
      </c>
      <c r="F1072" t="s">
        <v>1809</v>
      </c>
    </row>
    <row r="1073" spans="1:6" x14ac:dyDescent="0.25">
      <c r="A1073" t="s">
        <v>1807</v>
      </c>
      <c r="B1073" t="s">
        <v>256</v>
      </c>
      <c r="C1073" t="s">
        <v>165</v>
      </c>
      <c r="D1073" t="str">
        <f>HYPERLINK("http://service.sap.com/sap/support/notes/1660856","1660856")</f>
        <v>1660856</v>
      </c>
      <c r="E1073">
        <v>2</v>
      </c>
      <c r="F1073" t="s">
        <v>1810</v>
      </c>
    </row>
    <row r="1074" spans="1:6" x14ac:dyDescent="0.25">
      <c r="A1074" t="s">
        <v>1807</v>
      </c>
      <c r="B1074" t="s">
        <v>261</v>
      </c>
      <c r="C1074" t="s">
        <v>262</v>
      </c>
      <c r="D1074" t="str">
        <f>HYPERLINK("http://service.sap.com/sap/support/notes/1597235","1597235")</f>
        <v>1597235</v>
      </c>
      <c r="E1074">
        <v>2</v>
      </c>
      <c r="F1074" t="s">
        <v>1281</v>
      </c>
    </row>
    <row r="1075" spans="1:6" x14ac:dyDescent="0.25">
      <c r="A1075" t="s">
        <v>1807</v>
      </c>
      <c r="B1075" t="s">
        <v>66</v>
      </c>
      <c r="C1075" t="s">
        <v>67</v>
      </c>
    </row>
    <row r="1076" spans="1:6" x14ac:dyDescent="0.25">
      <c r="A1076" t="s">
        <v>1807</v>
      </c>
      <c r="B1076" t="s">
        <v>68</v>
      </c>
      <c r="C1076" t="s">
        <v>69</v>
      </c>
      <c r="D1076" t="str">
        <f>HYPERLINK("http://service.sap.com/sap/support/notes/1655168","1655168")</f>
        <v>1655168</v>
      </c>
      <c r="E1076">
        <v>2</v>
      </c>
      <c r="F1076" t="s">
        <v>1811</v>
      </c>
    </row>
    <row r="1077" spans="1:6" x14ac:dyDescent="0.25">
      <c r="A1077" t="s">
        <v>1807</v>
      </c>
      <c r="B1077" t="s">
        <v>76</v>
      </c>
      <c r="C1077" t="s">
        <v>77</v>
      </c>
    </row>
    <row r="1078" spans="1:6" x14ac:dyDescent="0.25">
      <c r="A1078" t="s">
        <v>1807</v>
      </c>
      <c r="B1078" t="s">
        <v>80</v>
      </c>
      <c r="C1078" t="s">
        <v>32</v>
      </c>
      <c r="D1078" t="str">
        <f>HYPERLINK("http://service.sap.com/sap/support/notes/1637327","1637327")</f>
        <v>1637327</v>
      </c>
      <c r="E1078">
        <v>4</v>
      </c>
      <c r="F1078" t="s">
        <v>1396</v>
      </c>
    </row>
    <row r="1079" spans="1:6" x14ac:dyDescent="0.25">
      <c r="A1079" t="s">
        <v>1807</v>
      </c>
      <c r="B1079" t="s">
        <v>94</v>
      </c>
      <c r="C1079" t="s">
        <v>95</v>
      </c>
      <c r="D1079" t="str">
        <f>HYPERLINK("http://service.sap.com/sap/support/notes/1655237","1655237")</f>
        <v>1655237</v>
      </c>
      <c r="E1079">
        <v>2</v>
      </c>
      <c r="F1079" t="s">
        <v>1812</v>
      </c>
    </row>
    <row r="1080" spans="1:6" x14ac:dyDescent="0.25">
      <c r="A1080" t="s">
        <v>1807</v>
      </c>
      <c r="B1080" t="s">
        <v>94</v>
      </c>
      <c r="C1080" t="s">
        <v>95</v>
      </c>
      <c r="D1080" t="str">
        <f>HYPERLINK("http://service.sap.com/sap/support/notes/1656953","1656953")</f>
        <v>1656953</v>
      </c>
      <c r="E1080">
        <v>2</v>
      </c>
      <c r="F1080" t="s">
        <v>1813</v>
      </c>
    </row>
    <row r="1081" spans="1:6" x14ac:dyDescent="0.25">
      <c r="A1081" t="s">
        <v>1807</v>
      </c>
      <c r="B1081" t="s">
        <v>306</v>
      </c>
      <c r="C1081" t="s">
        <v>132</v>
      </c>
      <c r="D1081" t="str">
        <f>HYPERLINK("http://service.sap.com/sap/support/notes/1649167","1649167")</f>
        <v>1649167</v>
      </c>
      <c r="E1081">
        <v>2</v>
      </c>
      <c r="F1081" t="s">
        <v>1814</v>
      </c>
    </row>
    <row r="1082" spans="1:6" x14ac:dyDescent="0.25">
      <c r="A1082" t="s">
        <v>1807</v>
      </c>
      <c r="B1082" t="s">
        <v>101</v>
      </c>
      <c r="C1082" t="s">
        <v>38</v>
      </c>
    </row>
    <row r="1083" spans="1:6" x14ac:dyDescent="0.25">
      <c r="A1083" t="s">
        <v>1807</v>
      </c>
      <c r="B1083" t="s">
        <v>106</v>
      </c>
      <c r="C1083" t="s">
        <v>107</v>
      </c>
    </row>
    <row r="1084" spans="1:6" x14ac:dyDescent="0.25">
      <c r="A1084" t="s">
        <v>1807</v>
      </c>
      <c r="B1084" t="s">
        <v>108</v>
      </c>
      <c r="C1084" t="s">
        <v>109</v>
      </c>
      <c r="D1084" t="str">
        <f>HYPERLINK("http://service.sap.com/sap/support/notes/1644801","1644801")</f>
        <v>1644801</v>
      </c>
      <c r="E1084">
        <v>3</v>
      </c>
      <c r="F1084" t="s">
        <v>1492</v>
      </c>
    </row>
    <row r="1085" spans="1:6" x14ac:dyDescent="0.25">
      <c r="A1085" t="s">
        <v>1807</v>
      </c>
      <c r="B1085" t="s">
        <v>114</v>
      </c>
      <c r="C1085" t="s">
        <v>115</v>
      </c>
    </row>
    <row r="1086" spans="1:6" x14ac:dyDescent="0.25">
      <c r="A1086" t="s">
        <v>1807</v>
      </c>
      <c r="B1086" t="s">
        <v>122</v>
      </c>
      <c r="C1086" t="s">
        <v>123</v>
      </c>
      <c r="D1086" t="str">
        <f>HYPERLINK("http://service.sap.com/sap/support/notes/1645785","1645785")</f>
        <v>1645785</v>
      </c>
      <c r="E1086">
        <v>2</v>
      </c>
      <c r="F1086" t="s">
        <v>1515</v>
      </c>
    </row>
    <row r="1087" spans="1:6" x14ac:dyDescent="0.25">
      <c r="A1087" t="s">
        <v>1807</v>
      </c>
      <c r="B1087" t="s">
        <v>124</v>
      </c>
      <c r="C1087" t="s">
        <v>82</v>
      </c>
    </row>
    <row r="1088" spans="1:6" x14ac:dyDescent="0.25">
      <c r="A1088" t="s">
        <v>1807</v>
      </c>
      <c r="B1088" t="s">
        <v>127</v>
      </c>
      <c r="C1088" t="s">
        <v>128</v>
      </c>
      <c r="D1088" t="str">
        <f>HYPERLINK("http://service.sap.com/sap/support/notes/1657812","1657812")</f>
        <v>1657812</v>
      </c>
      <c r="E1088">
        <v>1</v>
      </c>
      <c r="F1088" t="s">
        <v>1542</v>
      </c>
    </row>
    <row r="1089" spans="1:6" x14ac:dyDescent="0.25">
      <c r="A1089" t="s">
        <v>1807</v>
      </c>
      <c r="B1089" t="s">
        <v>139</v>
      </c>
      <c r="C1089" t="s">
        <v>140</v>
      </c>
    </row>
    <row r="1090" spans="1:6" x14ac:dyDescent="0.25">
      <c r="A1090" t="s">
        <v>1807</v>
      </c>
      <c r="B1090" t="s">
        <v>143</v>
      </c>
      <c r="C1090" t="s">
        <v>132</v>
      </c>
    </row>
    <row r="1091" spans="1:6" x14ac:dyDescent="0.25">
      <c r="A1091" t="s">
        <v>1807</v>
      </c>
      <c r="B1091" t="s">
        <v>144</v>
      </c>
      <c r="C1091" t="s">
        <v>145</v>
      </c>
      <c r="D1091" t="str">
        <f>HYPERLINK("http://service.sap.com/sap/support/notes/1659227","1659227")</f>
        <v>1659227</v>
      </c>
      <c r="E1091">
        <v>1</v>
      </c>
      <c r="F1091" t="s">
        <v>1602</v>
      </c>
    </row>
    <row r="1092" spans="1:6" x14ac:dyDescent="0.25">
      <c r="A1092" t="s">
        <v>1807</v>
      </c>
      <c r="B1092" t="s">
        <v>152</v>
      </c>
      <c r="C1092" t="s">
        <v>47</v>
      </c>
      <c r="D1092" t="str">
        <f>HYPERLINK("http://service.sap.com/sap/support/notes/1642750","1642750")</f>
        <v>1642750</v>
      </c>
      <c r="E1092">
        <v>2</v>
      </c>
      <c r="F1092" t="s">
        <v>1815</v>
      </c>
    </row>
    <row r="1093" spans="1:6" x14ac:dyDescent="0.25">
      <c r="A1093" t="s">
        <v>1807</v>
      </c>
      <c r="B1093" t="s">
        <v>152</v>
      </c>
      <c r="C1093" t="s">
        <v>47</v>
      </c>
      <c r="D1093" t="str">
        <f>HYPERLINK("http://service.sap.com/sap/support/notes/1651333","1651333")</f>
        <v>1651333</v>
      </c>
      <c r="E1093">
        <v>2</v>
      </c>
      <c r="F1093" t="s">
        <v>1816</v>
      </c>
    </row>
    <row r="1094" spans="1:6" x14ac:dyDescent="0.25">
      <c r="A1094" t="s">
        <v>1807</v>
      </c>
      <c r="B1094" t="s">
        <v>158</v>
      </c>
      <c r="C1094" t="s">
        <v>54</v>
      </c>
      <c r="D1094" t="str">
        <f>HYPERLINK("http://service.sap.com/sap/support/notes/1656451","1656451")</f>
        <v>1656451</v>
      </c>
      <c r="E1094">
        <v>5</v>
      </c>
      <c r="F1094" t="s">
        <v>1817</v>
      </c>
    </row>
    <row r="1095" spans="1:6" x14ac:dyDescent="0.25">
      <c r="A1095" t="s">
        <v>1807</v>
      </c>
      <c r="B1095" t="s">
        <v>158</v>
      </c>
      <c r="C1095" t="s">
        <v>54</v>
      </c>
      <c r="D1095" t="str">
        <f>HYPERLINK("http://service.sap.com/sap/support/notes/1658163","1658163")</f>
        <v>1658163</v>
      </c>
      <c r="E1095">
        <v>1</v>
      </c>
      <c r="F1095" t="s">
        <v>1818</v>
      </c>
    </row>
    <row r="1096" spans="1:6" x14ac:dyDescent="0.25">
      <c r="A1096" t="s">
        <v>1807</v>
      </c>
      <c r="B1096" t="s">
        <v>164</v>
      </c>
      <c r="C1096" t="s">
        <v>165</v>
      </c>
      <c r="D1096" t="str">
        <f>HYPERLINK("http://service.sap.com/sap/support/notes/1651246","1651246")</f>
        <v>1651246</v>
      </c>
      <c r="E1096">
        <v>2</v>
      </c>
      <c r="F1096" t="s">
        <v>1819</v>
      </c>
    </row>
    <row r="1097" spans="1:6" x14ac:dyDescent="0.25">
      <c r="A1097" t="s">
        <v>1807</v>
      </c>
      <c r="B1097" t="s">
        <v>164</v>
      </c>
      <c r="C1097" t="s">
        <v>165</v>
      </c>
      <c r="D1097" t="str">
        <f>HYPERLINK("http://service.sap.com/sap/support/notes/1656813","1656813")</f>
        <v>1656813</v>
      </c>
      <c r="E1097">
        <v>2</v>
      </c>
      <c r="F1097" t="s">
        <v>1820</v>
      </c>
    </row>
    <row r="1098" spans="1:6" x14ac:dyDescent="0.25">
      <c r="A1098" t="s">
        <v>1807</v>
      </c>
      <c r="B1098" t="s">
        <v>164</v>
      </c>
      <c r="C1098" t="s">
        <v>165</v>
      </c>
      <c r="D1098" t="str">
        <f>HYPERLINK("http://service.sap.com/sap/support/notes/1657176","1657176")</f>
        <v>1657176</v>
      </c>
      <c r="E1098">
        <v>1</v>
      </c>
      <c r="F1098" t="s">
        <v>1821</v>
      </c>
    </row>
    <row r="1099" spans="1:6" x14ac:dyDescent="0.25">
      <c r="A1099" t="s">
        <v>1807</v>
      </c>
      <c r="B1099" t="s">
        <v>164</v>
      </c>
      <c r="C1099" t="s">
        <v>165</v>
      </c>
      <c r="D1099" t="str">
        <f>HYPERLINK("http://service.sap.com/sap/support/notes/1658203","1658203")</f>
        <v>1658203</v>
      </c>
      <c r="E1099">
        <v>1</v>
      </c>
      <c r="F1099" t="s">
        <v>1822</v>
      </c>
    </row>
    <row r="1100" spans="1:6" x14ac:dyDescent="0.25">
      <c r="A1100" t="s">
        <v>1807</v>
      </c>
      <c r="B1100" t="s">
        <v>166</v>
      </c>
      <c r="C1100" t="s">
        <v>167</v>
      </c>
      <c r="D1100" t="str">
        <f>HYPERLINK("http://service.sap.com/sap/support/notes/1660247","1660247")</f>
        <v>1660247</v>
      </c>
      <c r="E1100">
        <v>1</v>
      </c>
      <c r="F1100" t="s">
        <v>1823</v>
      </c>
    </row>
    <row r="1101" spans="1:6" x14ac:dyDescent="0.25">
      <c r="A1101" t="s">
        <v>1807</v>
      </c>
      <c r="B1101" t="s">
        <v>179</v>
      </c>
      <c r="C1101" t="s">
        <v>180</v>
      </c>
      <c r="D1101" t="str">
        <f>HYPERLINK("http://service.sap.com/sap/support/notes/1653634","1653634")</f>
        <v>1653634</v>
      </c>
      <c r="E1101">
        <v>2</v>
      </c>
      <c r="F1101" t="s">
        <v>1824</v>
      </c>
    </row>
    <row r="1102" spans="1:6" x14ac:dyDescent="0.25">
      <c r="A1102" t="s">
        <v>1807</v>
      </c>
      <c r="B1102" t="s">
        <v>179</v>
      </c>
      <c r="C1102" t="s">
        <v>180</v>
      </c>
      <c r="D1102" t="str">
        <f>HYPERLINK("http://service.sap.com/sap/support/notes/1658865","1658865")</f>
        <v>1658865</v>
      </c>
      <c r="E1102">
        <v>3</v>
      </c>
      <c r="F1102" t="s">
        <v>1825</v>
      </c>
    </row>
    <row r="1103" spans="1:6" x14ac:dyDescent="0.25">
      <c r="A1103" t="s">
        <v>1807</v>
      </c>
      <c r="B1103" t="s">
        <v>181</v>
      </c>
      <c r="C1103" t="s">
        <v>182</v>
      </c>
      <c r="D1103" t="str">
        <f>HYPERLINK("http://service.sap.com/sap/support/notes/1657674","1657674")</f>
        <v>1657674</v>
      </c>
      <c r="E1103">
        <v>1</v>
      </c>
      <c r="F1103" t="s">
        <v>1826</v>
      </c>
    </row>
    <row r="1104" spans="1:6" x14ac:dyDescent="0.25">
      <c r="A1104" t="s">
        <v>1807</v>
      </c>
      <c r="B1104" t="s">
        <v>185</v>
      </c>
      <c r="C1104" t="s">
        <v>186</v>
      </c>
      <c r="D1104" t="str">
        <f>HYPERLINK("http://service.sap.com/sap/support/notes/1655151","1655151")</f>
        <v>1655151</v>
      </c>
      <c r="E1104">
        <v>1</v>
      </c>
      <c r="F1104" t="s">
        <v>1827</v>
      </c>
    </row>
    <row r="1105" spans="1:6" x14ac:dyDescent="0.25">
      <c r="A1105" t="s">
        <v>1807</v>
      </c>
      <c r="B1105" t="s">
        <v>191</v>
      </c>
      <c r="C1105" t="s">
        <v>62</v>
      </c>
    </row>
    <row r="1106" spans="1:6" x14ac:dyDescent="0.25">
      <c r="A1106" t="s">
        <v>1807</v>
      </c>
      <c r="B1106" t="s">
        <v>478</v>
      </c>
      <c r="C1106" t="s">
        <v>479</v>
      </c>
      <c r="D1106" t="str">
        <f>HYPERLINK("http://service.sap.com/sap/support/notes/1652824","1652824")</f>
        <v>1652824</v>
      </c>
      <c r="E1106">
        <v>3</v>
      </c>
      <c r="F1106" t="s">
        <v>1828</v>
      </c>
    </row>
    <row r="1107" spans="1:6" x14ac:dyDescent="0.25">
      <c r="A1107" t="s">
        <v>1807</v>
      </c>
      <c r="B1107" t="s">
        <v>386</v>
      </c>
      <c r="C1107" t="s">
        <v>115</v>
      </c>
    </row>
    <row r="1108" spans="1:6" x14ac:dyDescent="0.25">
      <c r="A1108" t="s">
        <v>1807</v>
      </c>
      <c r="B1108" t="s">
        <v>387</v>
      </c>
      <c r="C1108" t="s">
        <v>388</v>
      </c>
      <c r="D1108" t="str">
        <f>HYPERLINK("http://service.sap.com/sap/support/notes/1658622","1658622")</f>
        <v>1658622</v>
      </c>
      <c r="E1108">
        <v>3</v>
      </c>
      <c r="F1108" t="s">
        <v>1829</v>
      </c>
    </row>
    <row r="1109" spans="1:6" x14ac:dyDescent="0.25">
      <c r="A1109" t="s">
        <v>1807</v>
      </c>
      <c r="B1109" t="s">
        <v>198</v>
      </c>
      <c r="C1109" t="s">
        <v>199</v>
      </c>
      <c r="D1109" t="str">
        <f>HYPERLINK("http://service.sap.com/sap/support/notes/1647894","1647894")</f>
        <v>1647894</v>
      </c>
      <c r="E1109">
        <v>4</v>
      </c>
      <c r="F1109" t="s">
        <v>1830</v>
      </c>
    </row>
    <row r="1110" spans="1:6" x14ac:dyDescent="0.25">
      <c r="A1110" t="s">
        <v>1807</v>
      </c>
      <c r="B1110" t="s">
        <v>203</v>
      </c>
      <c r="C1110" t="s">
        <v>204</v>
      </c>
      <c r="D1110" t="str">
        <f>HYPERLINK("http://service.sap.com/sap/support/notes/1658363","1658363")</f>
        <v>1658363</v>
      </c>
      <c r="E1110">
        <v>1</v>
      </c>
      <c r="F1110" t="s">
        <v>1831</v>
      </c>
    </row>
    <row r="1111" spans="1:6" x14ac:dyDescent="0.25">
      <c r="A1111" t="s">
        <v>1807</v>
      </c>
      <c r="B1111" t="s">
        <v>345</v>
      </c>
      <c r="C1111" t="s">
        <v>360</v>
      </c>
      <c r="D1111" t="str">
        <f>HYPERLINK("http://service.sap.com/sap/support/notes/1630744","1630744")</f>
        <v>1630744</v>
      </c>
      <c r="E1111">
        <v>1</v>
      </c>
      <c r="F1111" t="s">
        <v>1753</v>
      </c>
    </row>
    <row r="1112" spans="1:6" x14ac:dyDescent="0.25">
      <c r="A1112" t="s">
        <v>1807</v>
      </c>
      <c r="B1112" t="s">
        <v>205</v>
      </c>
      <c r="C1112" t="s">
        <v>206</v>
      </c>
      <c r="D1112" t="str">
        <f>HYPERLINK("http://service.sap.com/sap/support/notes/1583240","1583240")</f>
        <v>1583240</v>
      </c>
      <c r="E1112">
        <v>3</v>
      </c>
      <c r="F1112" t="s">
        <v>1832</v>
      </c>
    </row>
    <row r="1113" spans="1:6" x14ac:dyDescent="0.25">
      <c r="A1113" t="s">
        <v>1807</v>
      </c>
      <c r="B1113" t="s">
        <v>205</v>
      </c>
      <c r="C1113" t="s">
        <v>206</v>
      </c>
      <c r="D1113" t="str">
        <f>HYPERLINK("http://service.sap.com/sap/support/notes/1657063","1657063")</f>
        <v>1657063</v>
      </c>
      <c r="E1113">
        <v>2</v>
      </c>
      <c r="F1113" t="s">
        <v>1833</v>
      </c>
    </row>
    <row r="1114" spans="1:6" x14ac:dyDescent="0.25">
      <c r="A1114" t="s">
        <v>1834</v>
      </c>
      <c r="B1114" t="s">
        <v>225</v>
      </c>
      <c r="C1114" t="s">
        <v>354</v>
      </c>
    </row>
    <row r="1115" spans="1:6" x14ac:dyDescent="0.25">
      <c r="A1115" t="s">
        <v>1834</v>
      </c>
      <c r="B1115" t="s">
        <v>226</v>
      </c>
      <c r="C1115" t="s">
        <v>355</v>
      </c>
    </row>
    <row r="1116" spans="1:6" x14ac:dyDescent="0.25">
      <c r="A1116" t="s">
        <v>1834</v>
      </c>
      <c r="B1116" t="s">
        <v>227</v>
      </c>
      <c r="C1116" t="s">
        <v>356</v>
      </c>
    </row>
    <row r="1117" spans="1:6" x14ac:dyDescent="0.25">
      <c r="A1117" t="s">
        <v>1834</v>
      </c>
      <c r="B1117" t="s">
        <v>228</v>
      </c>
      <c r="C1117" t="s">
        <v>357</v>
      </c>
      <c r="D1117" t="str">
        <f>HYPERLINK("http://service.sap.com/sap/support/notes/1657580","1657580")</f>
        <v>1657580</v>
      </c>
      <c r="E1117">
        <v>1</v>
      </c>
      <c r="F1117" t="s">
        <v>1835</v>
      </c>
    </row>
    <row r="1118" spans="1:6" x14ac:dyDescent="0.25">
      <c r="A1118" t="s">
        <v>1834</v>
      </c>
      <c r="B1118" t="s">
        <v>15</v>
      </c>
      <c r="C1118" t="s">
        <v>16</v>
      </c>
    </row>
    <row r="1119" spans="1:6" x14ac:dyDescent="0.25">
      <c r="A1119" t="s">
        <v>1834</v>
      </c>
      <c r="B1119" t="s">
        <v>17</v>
      </c>
      <c r="C1119" t="s">
        <v>18</v>
      </c>
    </row>
    <row r="1120" spans="1:6" x14ac:dyDescent="0.25">
      <c r="A1120" t="s">
        <v>1834</v>
      </c>
      <c r="B1120" t="s">
        <v>19</v>
      </c>
      <c r="C1120" t="s">
        <v>20</v>
      </c>
      <c r="D1120" t="str">
        <f>HYPERLINK("http://service.sap.com/sap/support/notes/1654710","1654710")</f>
        <v>1654710</v>
      </c>
      <c r="E1120">
        <v>1</v>
      </c>
      <c r="F1120" t="s">
        <v>1836</v>
      </c>
    </row>
    <row r="1121" spans="1:6" x14ac:dyDescent="0.25">
      <c r="A1121" t="s">
        <v>1834</v>
      </c>
      <c r="B1121" t="s">
        <v>446</v>
      </c>
      <c r="C1121" t="s">
        <v>447</v>
      </c>
      <c r="D1121" t="str">
        <f>HYPERLINK("http://service.sap.com/sap/support/notes/1631646","1631646")</f>
        <v>1631646</v>
      </c>
      <c r="E1121">
        <v>1</v>
      </c>
      <c r="F1121" t="s">
        <v>1837</v>
      </c>
    </row>
    <row r="1122" spans="1:6" x14ac:dyDescent="0.25">
      <c r="A1122" t="s">
        <v>1834</v>
      </c>
      <c r="B1122" t="s">
        <v>21</v>
      </c>
      <c r="C1122" t="s">
        <v>12</v>
      </c>
    </row>
    <row r="1123" spans="1:6" x14ac:dyDescent="0.25">
      <c r="A1123" t="s">
        <v>1834</v>
      </c>
      <c r="B1123" t="s">
        <v>29</v>
      </c>
      <c r="C1123" t="s">
        <v>30</v>
      </c>
    </row>
    <row r="1124" spans="1:6" x14ac:dyDescent="0.25">
      <c r="A1124" t="s">
        <v>1834</v>
      </c>
      <c r="B1124" t="s">
        <v>250</v>
      </c>
      <c r="C1124" t="s">
        <v>79</v>
      </c>
      <c r="D1124" t="str">
        <f>HYPERLINK("http://service.sap.com/sap/support/notes/1660512","1660512")</f>
        <v>1660512</v>
      </c>
      <c r="E1124">
        <v>2</v>
      </c>
      <c r="F1124" t="s">
        <v>1838</v>
      </c>
    </row>
    <row r="1125" spans="1:6" x14ac:dyDescent="0.25">
      <c r="A1125" t="s">
        <v>1834</v>
      </c>
      <c r="B1125" t="s">
        <v>33</v>
      </c>
      <c r="C1125" t="s">
        <v>34</v>
      </c>
      <c r="D1125" t="str">
        <f>HYPERLINK("http://service.sap.com/sap/support/notes/1656897","1656897")</f>
        <v>1656897</v>
      </c>
      <c r="E1125">
        <v>2</v>
      </c>
      <c r="F1125" t="s">
        <v>1839</v>
      </c>
    </row>
    <row r="1126" spans="1:6" x14ac:dyDescent="0.25">
      <c r="A1126" t="s">
        <v>1834</v>
      </c>
      <c r="B1126" t="s">
        <v>33</v>
      </c>
      <c r="C1126" t="s">
        <v>34</v>
      </c>
      <c r="D1126" t="str">
        <f>HYPERLINK("http://service.sap.com/sap/support/notes/1668229","1668229")</f>
        <v>1668229</v>
      </c>
      <c r="E1126">
        <v>3</v>
      </c>
      <c r="F1126" t="s">
        <v>1840</v>
      </c>
    </row>
    <row r="1127" spans="1:6" x14ac:dyDescent="0.25">
      <c r="A1127" t="s">
        <v>1834</v>
      </c>
      <c r="B1127" t="s">
        <v>33</v>
      </c>
      <c r="C1127" t="s">
        <v>34</v>
      </c>
      <c r="D1127" t="str">
        <f>HYPERLINK("http://service.sap.com/sap/support/notes/1668769","1668769")</f>
        <v>1668769</v>
      </c>
      <c r="E1127">
        <v>2</v>
      </c>
      <c r="F1127" t="s">
        <v>1841</v>
      </c>
    </row>
    <row r="1128" spans="1:6" x14ac:dyDescent="0.25">
      <c r="A1128" t="s">
        <v>1834</v>
      </c>
      <c r="B1128" t="s">
        <v>251</v>
      </c>
      <c r="C1128" t="s">
        <v>99</v>
      </c>
      <c r="D1128" t="str">
        <f>HYPERLINK("http://service.sap.com/sap/support/notes/1663252","1663252")</f>
        <v>1663252</v>
      </c>
      <c r="E1128">
        <v>1</v>
      </c>
      <c r="F1128" t="s">
        <v>1842</v>
      </c>
    </row>
    <row r="1129" spans="1:6" x14ac:dyDescent="0.25">
      <c r="A1129" t="s">
        <v>1834</v>
      </c>
      <c r="B1129" t="s">
        <v>413</v>
      </c>
      <c r="C1129" t="s">
        <v>414</v>
      </c>
      <c r="D1129" t="str">
        <f>HYPERLINK("http://service.sap.com/sap/support/notes/1657189","1657189")</f>
        <v>1657189</v>
      </c>
      <c r="E1129">
        <v>2</v>
      </c>
      <c r="F1129" t="s">
        <v>1843</v>
      </c>
    </row>
    <row r="1130" spans="1:6" x14ac:dyDescent="0.25">
      <c r="A1130" t="s">
        <v>1834</v>
      </c>
      <c r="B1130" t="s">
        <v>671</v>
      </c>
      <c r="C1130" t="s">
        <v>136</v>
      </c>
      <c r="D1130" t="str">
        <f>HYPERLINK("http://service.sap.com/sap/support/notes/1667973","1667973")</f>
        <v>1667973</v>
      </c>
      <c r="E1130">
        <v>3</v>
      </c>
      <c r="F1130" t="s">
        <v>1844</v>
      </c>
    </row>
    <row r="1131" spans="1:6" x14ac:dyDescent="0.25">
      <c r="A1131" t="s">
        <v>1834</v>
      </c>
      <c r="B1131" t="s">
        <v>41</v>
      </c>
      <c r="C1131" t="s">
        <v>42</v>
      </c>
      <c r="D1131" t="str">
        <f>HYPERLINK("http://service.sap.com/sap/support/notes/1653272","1653272")</f>
        <v>1653272</v>
      </c>
      <c r="E1131">
        <v>2</v>
      </c>
      <c r="F1131" t="s">
        <v>1845</v>
      </c>
    </row>
    <row r="1132" spans="1:6" x14ac:dyDescent="0.25">
      <c r="A1132" t="s">
        <v>1834</v>
      </c>
      <c r="B1132" t="s">
        <v>43</v>
      </c>
      <c r="C1132" t="s">
        <v>44</v>
      </c>
      <c r="D1132" t="str">
        <f>HYPERLINK("http://service.sap.com/sap/support/notes/1659023","1659023")</f>
        <v>1659023</v>
      </c>
      <c r="E1132">
        <v>2</v>
      </c>
      <c r="F1132" t="s">
        <v>1846</v>
      </c>
    </row>
    <row r="1133" spans="1:6" x14ac:dyDescent="0.25">
      <c r="A1133" t="s">
        <v>1834</v>
      </c>
      <c r="B1133" t="s">
        <v>43</v>
      </c>
      <c r="C1133" t="s">
        <v>44</v>
      </c>
      <c r="D1133" t="str">
        <f>HYPERLINK("http://service.sap.com/sap/support/notes/1661274","1661274")</f>
        <v>1661274</v>
      </c>
      <c r="E1133">
        <v>2</v>
      </c>
      <c r="F1133" t="s">
        <v>1847</v>
      </c>
    </row>
    <row r="1134" spans="1:6" x14ac:dyDescent="0.25">
      <c r="A1134" t="s">
        <v>1834</v>
      </c>
      <c r="B1134" t="s">
        <v>254</v>
      </c>
      <c r="C1134" t="s">
        <v>255</v>
      </c>
      <c r="D1134" t="str">
        <f>HYPERLINK("http://service.sap.com/sap/support/notes/1611755","1611755")</f>
        <v>1611755</v>
      </c>
      <c r="E1134">
        <v>2</v>
      </c>
      <c r="F1134" t="s">
        <v>1848</v>
      </c>
    </row>
    <row r="1135" spans="1:6" x14ac:dyDescent="0.25">
      <c r="A1135" t="s">
        <v>1834</v>
      </c>
      <c r="B1135" t="s">
        <v>51</v>
      </c>
      <c r="C1135" t="s">
        <v>52</v>
      </c>
      <c r="D1135" t="str">
        <f>HYPERLINK("http://service.sap.com/sap/support/notes/1654960","1654960")</f>
        <v>1654960</v>
      </c>
      <c r="E1135">
        <v>2</v>
      </c>
      <c r="F1135" t="s">
        <v>1849</v>
      </c>
    </row>
    <row r="1136" spans="1:6" x14ac:dyDescent="0.25">
      <c r="A1136" t="s">
        <v>1834</v>
      </c>
      <c r="B1136" t="s">
        <v>51</v>
      </c>
      <c r="C1136" t="s">
        <v>52</v>
      </c>
      <c r="D1136" t="str">
        <f>HYPERLINK("http://service.sap.com/sap/support/notes/1658215","1658215")</f>
        <v>1658215</v>
      </c>
      <c r="E1136">
        <v>2</v>
      </c>
      <c r="F1136" t="s">
        <v>1850</v>
      </c>
    </row>
    <row r="1137" spans="1:6" x14ac:dyDescent="0.25">
      <c r="A1137" t="s">
        <v>1834</v>
      </c>
      <c r="B1137" t="s">
        <v>55</v>
      </c>
      <c r="C1137" t="s">
        <v>56</v>
      </c>
      <c r="D1137" t="str">
        <f>HYPERLINK("http://service.sap.com/sap/support/notes/1665137","1665137")</f>
        <v>1665137</v>
      </c>
      <c r="E1137">
        <v>1</v>
      </c>
      <c r="F1137" t="s">
        <v>1851</v>
      </c>
    </row>
    <row r="1138" spans="1:6" x14ac:dyDescent="0.25">
      <c r="A1138" t="s">
        <v>1834</v>
      </c>
      <c r="B1138" t="s">
        <v>256</v>
      </c>
      <c r="C1138" t="s">
        <v>165</v>
      </c>
      <c r="D1138" t="str">
        <f>HYPERLINK("http://service.sap.com/sap/support/notes/1664114","1664114")</f>
        <v>1664114</v>
      </c>
      <c r="E1138">
        <v>2</v>
      </c>
      <c r="F1138" t="s">
        <v>1852</v>
      </c>
    </row>
    <row r="1139" spans="1:6" x14ac:dyDescent="0.25">
      <c r="A1139" t="s">
        <v>1834</v>
      </c>
      <c r="B1139" t="s">
        <v>358</v>
      </c>
      <c r="C1139" t="s">
        <v>176</v>
      </c>
      <c r="D1139" t="str">
        <f>HYPERLINK("http://service.sap.com/sap/support/notes/1657388","1657388")</f>
        <v>1657388</v>
      </c>
      <c r="E1139">
        <v>2</v>
      </c>
      <c r="F1139" t="s">
        <v>1853</v>
      </c>
    </row>
    <row r="1140" spans="1:6" x14ac:dyDescent="0.25">
      <c r="A1140" t="s">
        <v>1834</v>
      </c>
      <c r="B1140" t="s">
        <v>57</v>
      </c>
      <c r="C1140" t="s">
        <v>58</v>
      </c>
      <c r="D1140" t="str">
        <f>HYPERLINK("http://service.sap.com/sap/support/notes/960754","960754")</f>
        <v>960754</v>
      </c>
      <c r="E1140">
        <v>9</v>
      </c>
      <c r="F1140" t="s">
        <v>1854</v>
      </c>
    </row>
    <row r="1141" spans="1:6" x14ac:dyDescent="0.25">
      <c r="A1141" t="s">
        <v>1834</v>
      </c>
      <c r="B1141" t="s">
        <v>57</v>
      </c>
      <c r="C1141" t="s">
        <v>58</v>
      </c>
      <c r="D1141" t="str">
        <f>HYPERLINK("http://service.sap.com/sap/support/notes/1116407","1116407")</f>
        <v>1116407</v>
      </c>
      <c r="E1141">
        <v>108</v>
      </c>
      <c r="F1141" t="s">
        <v>664</v>
      </c>
    </row>
    <row r="1142" spans="1:6" x14ac:dyDescent="0.25">
      <c r="A1142" t="s">
        <v>1834</v>
      </c>
      <c r="B1142" t="s">
        <v>57</v>
      </c>
      <c r="C1142" t="s">
        <v>58</v>
      </c>
      <c r="D1142" t="str">
        <f>HYPERLINK("http://service.sap.com/sap/support/notes/1639073","1639073")</f>
        <v>1639073</v>
      </c>
      <c r="E1142">
        <v>1</v>
      </c>
      <c r="F1142" t="s">
        <v>1855</v>
      </c>
    </row>
    <row r="1143" spans="1:6" x14ac:dyDescent="0.25">
      <c r="A1143" t="s">
        <v>1834</v>
      </c>
      <c r="B1143" t="s">
        <v>57</v>
      </c>
      <c r="C1143" t="s">
        <v>58</v>
      </c>
      <c r="D1143" t="str">
        <f>HYPERLINK("http://service.sap.com/sap/support/notes/1659233","1659233")</f>
        <v>1659233</v>
      </c>
      <c r="E1143">
        <v>1</v>
      </c>
      <c r="F1143" t="s">
        <v>1856</v>
      </c>
    </row>
    <row r="1144" spans="1:6" x14ac:dyDescent="0.25">
      <c r="A1144" t="s">
        <v>1834</v>
      </c>
      <c r="B1144" t="s">
        <v>57</v>
      </c>
      <c r="C1144" t="s">
        <v>58</v>
      </c>
      <c r="D1144" t="str">
        <f>HYPERLINK("http://service.sap.com/sap/support/notes/1662980","1662980")</f>
        <v>1662980</v>
      </c>
      <c r="E1144">
        <v>2</v>
      </c>
      <c r="F1144" t="s">
        <v>1857</v>
      </c>
    </row>
    <row r="1145" spans="1:6" x14ac:dyDescent="0.25">
      <c r="A1145" t="s">
        <v>1834</v>
      </c>
      <c r="B1145" t="s">
        <v>57</v>
      </c>
      <c r="C1145" t="s">
        <v>58</v>
      </c>
      <c r="D1145" t="str">
        <f>HYPERLINK("http://service.sap.com/sap/support/notes/1663020","1663020")</f>
        <v>1663020</v>
      </c>
      <c r="E1145">
        <v>1</v>
      </c>
      <c r="F1145" t="s">
        <v>1858</v>
      </c>
    </row>
    <row r="1146" spans="1:6" x14ac:dyDescent="0.25">
      <c r="A1146" t="s">
        <v>1834</v>
      </c>
      <c r="B1146" t="s">
        <v>57</v>
      </c>
      <c r="C1146" t="s">
        <v>58</v>
      </c>
      <c r="D1146" t="str">
        <f>HYPERLINK("http://service.sap.com/sap/support/notes/1667716","1667716")</f>
        <v>1667716</v>
      </c>
      <c r="E1146">
        <v>1</v>
      </c>
      <c r="F1146" t="s">
        <v>1859</v>
      </c>
    </row>
    <row r="1147" spans="1:6" x14ac:dyDescent="0.25">
      <c r="A1147" t="s">
        <v>1834</v>
      </c>
      <c r="B1147" t="s">
        <v>258</v>
      </c>
      <c r="C1147" t="s">
        <v>186</v>
      </c>
      <c r="D1147" t="str">
        <f>HYPERLINK("http://service.sap.com/sap/support/notes/1669197","1669197")</f>
        <v>1669197</v>
      </c>
      <c r="E1147">
        <v>1</v>
      </c>
      <c r="F1147" t="s">
        <v>1860</v>
      </c>
    </row>
    <row r="1148" spans="1:6" x14ac:dyDescent="0.25">
      <c r="A1148" t="s">
        <v>1834</v>
      </c>
      <c r="B1148" t="s">
        <v>760</v>
      </c>
      <c r="C1148" t="s">
        <v>201</v>
      </c>
      <c r="D1148" t="str">
        <f>HYPERLINK("http://service.sap.com/sap/support/notes/1635906","1635906")</f>
        <v>1635906</v>
      </c>
      <c r="E1148">
        <v>2</v>
      </c>
      <c r="F1148" t="s">
        <v>1861</v>
      </c>
    </row>
    <row r="1149" spans="1:6" x14ac:dyDescent="0.25">
      <c r="A1149" t="s">
        <v>1834</v>
      </c>
      <c r="B1149" t="s">
        <v>66</v>
      </c>
      <c r="C1149" t="s">
        <v>67</v>
      </c>
    </row>
    <row r="1150" spans="1:6" x14ac:dyDescent="0.25">
      <c r="A1150" t="s">
        <v>1834</v>
      </c>
      <c r="B1150" t="s">
        <v>68</v>
      </c>
      <c r="C1150" t="s">
        <v>69</v>
      </c>
      <c r="D1150" t="str">
        <f>HYPERLINK("http://service.sap.com/sap/support/notes/1658477","1658477")</f>
        <v>1658477</v>
      </c>
      <c r="E1150">
        <v>2</v>
      </c>
      <c r="F1150" t="s">
        <v>1862</v>
      </c>
    </row>
    <row r="1151" spans="1:6" x14ac:dyDescent="0.25">
      <c r="A1151" t="s">
        <v>1834</v>
      </c>
      <c r="B1151" t="s">
        <v>70</v>
      </c>
      <c r="C1151" t="s">
        <v>71</v>
      </c>
      <c r="D1151" t="str">
        <f>HYPERLINK("http://service.sap.com/sap/support/notes/1657071","1657071")</f>
        <v>1657071</v>
      </c>
      <c r="E1151">
        <v>1</v>
      </c>
      <c r="F1151" t="s">
        <v>1863</v>
      </c>
    </row>
    <row r="1152" spans="1:6" x14ac:dyDescent="0.25">
      <c r="A1152" t="s">
        <v>1834</v>
      </c>
      <c r="B1152" t="s">
        <v>70</v>
      </c>
      <c r="C1152" t="s">
        <v>71</v>
      </c>
      <c r="D1152" t="str">
        <f>HYPERLINK("http://service.sap.com/sap/support/notes/1666490","1666490")</f>
        <v>1666490</v>
      </c>
      <c r="E1152">
        <v>1</v>
      </c>
      <c r="F1152" t="s">
        <v>1864</v>
      </c>
    </row>
    <row r="1153" spans="1:6" x14ac:dyDescent="0.25">
      <c r="A1153" t="s">
        <v>1834</v>
      </c>
      <c r="B1153" t="s">
        <v>70</v>
      </c>
      <c r="C1153" t="s">
        <v>71</v>
      </c>
      <c r="D1153" t="str">
        <f>HYPERLINK("http://service.sap.com/sap/support/notes/1669304","1669304")</f>
        <v>1669304</v>
      </c>
      <c r="E1153">
        <v>1</v>
      </c>
      <c r="F1153" t="s">
        <v>1865</v>
      </c>
    </row>
    <row r="1154" spans="1:6" x14ac:dyDescent="0.25">
      <c r="A1154" t="s">
        <v>1834</v>
      </c>
      <c r="B1154" t="s">
        <v>72</v>
      </c>
      <c r="C1154" t="s">
        <v>73</v>
      </c>
    </row>
    <row r="1155" spans="1:6" x14ac:dyDescent="0.25">
      <c r="A1155" t="s">
        <v>1834</v>
      </c>
      <c r="B1155" t="s">
        <v>74</v>
      </c>
      <c r="C1155" t="s">
        <v>75</v>
      </c>
      <c r="D1155" t="str">
        <f>HYPERLINK("http://service.sap.com/sap/support/notes/1662971","1662971")</f>
        <v>1662971</v>
      </c>
      <c r="E1155">
        <v>1</v>
      </c>
      <c r="F1155" t="s">
        <v>1866</v>
      </c>
    </row>
    <row r="1156" spans="1:6" x14ac:dyDescent="0.25">
      <c r="A1156" t="s">
        <v>1834</v>
      </c>
      <c r="B1156" t="s">
        <v>370</v>
      </c>
      <c r="C1156" t="s">
        <v>371</v>
      </c>
      <c r="D1156" t="str">
        <f>HYPERLINK("http://service.sap.com/sap/support/notes/1662410","1662410")</f>
        <v>1662410</v>
      </c>
      <c r="E1156">
        <v>1</v>
      </c>
      <c r="F1156" t="s">
        <v>1867</v>
      </c>
    </row>
    <row r="1157" spans="1:6" x14ac:dyDescent="0.25">
      <c r="A1157" t="s">
        <v>1834</v>
      </c>
      <c r="B1157" t="s">
        <v>284</v>
      </c>
      <c r="C1157" t="s">
        <v>393</v>
      </c>
    </row>
    <row r="1158" spans="1:6" x14ac:dyDescent="0.25">
      <c r="A1158" t="s">
        <v>1834</v>
      </c>
      <c r="B1158" t="s">
        <v>301</v>
      </c>
      <c r="C1158" t="s">
        <v>302</v>
      </c>
      <c r="D1158" t="str">
        <f>HYPERLINK("http://service.sap.com/sap/support/notes/1658350","1658350")</f>
        <v>1658350</v>
      </c>
      <c r="E1158">
        <v>2</v>
      </c>
      <c r="F1158" t="s">
        <v>1868</v>
      </c>
    </row>
    <row r="1159" spans="1:6" x14ac:dyDescent="0.25">
      <c r="A1159" t="s">
        <v>1834</v>
      </c>
      <c r="B1159" t="s">
        <v>76</v>
      </c>
      <c r="C1159" t="s">
        <v>77</v>
      </c>
    </row>
    <row r="1160" spans="1:6" x14ac:dyDescent="0.25">
      <c r="A1160" t="s">
        <v>1834</v>
      </c>
      <c r="B1160" t="s">
        <v>78</v>
      </c>
      <c r="C1160" t="s">
        <v>79</v>
      </c>
      <c r="D1160" t="str">
        <f>HYPERLINK("http://service.sap.com/sap/support/notes/1501419","1501419")</f>
        <v>1501419</v>
      </c>
      <c r="E1160">
        <v>3</v>
      </c>
      <c r="F1160" t="s">
        <v>1869</v>
      </c>
    </row>
    <row r="1161" spans="1:6" x14ac:dyDescent="0.25">
      <c r="A1161" t="s">
        <v>1834</v>
      </c>
      <c r="B1161" t="s">
        <v>78</v>
      </c>
      <c r="C1161" t="s">
        <v>79</v>
      </c>
      <c r="D1161" t="str">
        <f>HYPERLINK("http://service.sap.com/sap/support/notes/1602130","1602130")</f>
        <v>1602130</v>
      </c>
      <c r="E1161">
        <v>5</v>
      </c>
      <c r="F1161" t="s">
        <v>1870</v>
      </c>
    </row>
    <row r="1162" spans="1:6" x14ac:dyDescent="0.25">
      <c r="A1162" t="s">
        <v>1834</v>
      </c>
      <c r="B1162" t="s">
        <v>78</v>
      </c>
      <c r="C1162" t="s">
        <v>79</v>
      </c>
      <c r="D1162" t="str">
        <f>HYPERLINK("http://service.sap.com/sap/support/notes/1643445","1643445")</f>
        <v>1643445</v>
      </c>
      <c r="E1162">
        <v>3</v>
      </c>
      <c r="F1162" t="s">
        <v>1871</v>
      </c>
    </row>
    <row r="1163" spans="1:6" x14ac:dyDescent="0.25">
      <c r="A1163" t="s">
        <v>1834</v>
      </c>
      <c r="B1163" t="s">
        <v>78</v>
      </c>
      <c r="C1163" t="s">
        <v>79</v>
      </c>
      <c r="D1163" t="str">
        <f>HYPERLINK("http://service.sap.com/sap/support/notes/1659948","1659948")</f>
        <v>1659948</v>
      </c>
      <c r="E1163">
        <v>5</v>
      </c>
      <c r="F1163" t="s">
        <v>1872</v>
      </c>
    </row>
    <row r="1164" spans="1:6" x14ac:dyDescent="0.25">
      <c r="A1164" t="s">
        <v>1834</v>
      </c>
      <c r="B1164" t="s">
        <v>78</v>
      </c>
      <c r="C1164" t="s">
        <v>79</v>
      </c>
      <c r="D1164" t="str">
        <f>HYPERLINK("http://service.sap.com/sap/support/notes/1661245","1661245")</f>
        <v>1661245</v>
      </c>
      <c r="E1164">
        <v>1</v>
      </c>
      <c r="F1164" t="s">
        <v>1873</v>
      </c>
    </row>
    <row r="1165" spans="1:6" x14ac:dyDescent="0.25">
      <c r="A1165" t="s">
        <v>1834</v>
      </c>
      <c r="B1165" t="s">
        <v>78</v>
      </c>
      <c r="C1165" t="s">
        <v>79</v>
      </c>
      <c r="D1165" t="str">
        <f>HYPERLINK("http://service.sap.com/sap/support/notes/1667609","1667609")</f>
        <v>1667609</v>
      </c>
      <c r="E1165">
        <v>2</v>
      </c>
      <c r="F1165" t="s">
        <v>1874</v>
      </c>
    </row>
    <row r="1166" spans="1:6" x14ac:dyDescent="0.25">
      <c r="A1166" t="s">
        <v>1834</v>
      </c>
      <c r="B1166" t="s">
        <v>78</v>
      </c>
      <c r="C1166" t="s">
        <v>79</v>
      </c>
      <c r="D1166" t="str">
        <f>HYPERLINK("http://service.sap.com/sap/support/notes/1667889","1667889")</f>
        <v>1667889</v>
      </c>
      <c r="E1166">
        <v>1</v>
      </c>
      <c r="F1166" t="s">
        <v>1875</v>
      </c>
    </row>
    <row r="1167" spans="1:6" x14ac:dyDescent="0.25">
      <c r="A1167" t="s">
        <v>1834</v>
      </c>
      <c r="B1167" t="s">
        <v>78</v>
      </c>
      <c r="C1167" t="s">
        <v>79</v>
      </c>
      <c r="D1167" t="str">
        <f>HYPERLINK("http://service.sap.com/sap/support/notes/1668244","1668244")</f>
        <v>1668244</v>
      </c>
      <c r="E1167">
        <v>1</v>
      </c>
      <c r="F1167" t="s">
        <v>1876</v>
      </c>
    </row>
    <row r="1168" spans="1:6" x14ac:dyDescent="0.25">
      <c r="A1168" t="s">
        <v>1834</v>
      </c>
      <c r="B1168" t="s">
        <v>78</v>
      </c>
      <c r="C1168" t="s">
        <v>79</v>
      </c>
      <c r="D1168" t="str">
        <f>HYPERLINK("http://service.sap.com/sap/support/notes/1668712","1668712")</f>
        <v>1668712</v>
      </c>
      <c r="E1168">
        <v>4</v>
      </c>
      <c r="F1168" t="s">
        <v>1877</v>
      </c>
    </row>
    <row r="1169" spans="1:6" x14ac:dyDescent="0.25">
      <c r="A1169" t="s">
        <v>1834</v>
      </c>
      <c r="B1169" t="s">
        <v>78</v>
      </c>
      <c r="C1169" t="s">
        <v>79</v>
      </c>
      <c r="D1169" t="str">
        <f>HYPERLINK("http://service.sap.com/sap/support/notes/1670397","1670397")</f>
        <v>1670397</v>
      </c>
      <c r="E1169">
        <v>1</v>
      </c>
      <c r="F1169" t="s">
        <v>1878</v>
      </c>
    </row>
    <row r="1170" spans="1:6" x14ac:dyDescent="0.25">
      <c r="A1170" t="s">
        <v>1834</v>
      </c>
      <c r="B1170" t="s">
        <v>80</v>
      </c>
      <c r="C1170" t="s">
        <v>32</v>
      </c>
      <c r="D1170" t="str">
        <f>HYPERLINK("http://service.sap.com/sap/support/notes/1652192","1652192")</f>
        <v>1652192</v>
      </c>
      <c r="E1170">
        <v>1</v>
      </c>
      <c r="F1170" t="s">
        <v>1879</v>
      </c>
    </row>
    <row r="1171" spans="1:6" x14ac:dyDescent="0.25">
      <c r="A1171" t="s">
        <v>1834</v>
      </c>
      <c r="B1171" t="s">
        <v>80</v>
      </c>
      <c r="C1171" t="s">
        <v>32</v>
      </c>
      <c r="D1171" t="str">
        <f>HYPERLINK("http://service.sap.com/sap/support/notes/1658009","1658009")</f>
        <v>1658009</v>
      </c>
      <c r="E1171">
        <v>2</v>
      </c>
      <c r="F1171" t="s">
        <v>1880</v>
      </c>
    </row>
    <row r="1172" spans="1:6" x14ac:dyDescent="0.25">
      <c r="A1172" t="s">
        <v>1834</v>
      </c>
      <c r="B1172" t="s">
        <v>80</v>
      </c>
      <c r="C1172" t="s">
        <v>32</v>
      </c>
      <c r="D1172" t="str">
        <f>HYPERLINK("http://service.sap.com/sap/support/notes/1658524","1658524")</f>
        <v>1658524</v>
      </c>
      <c r="E1172">
        <v>1</v>
      </c>
      <c r="F1172" t="s">
        <v>1881</v>
      </c>
    </row>
    <row r="1173" spans="1:6" x14ac:dyDescent="0.25">
      <c r="A1173" t="s">
        <v>1834</v>
      </c>
      <c r="B1173" t="s">
        <v>80</v>
      </c>
      <c r="C1173" t="s">
        <v>32</v>
      </c>
      <c r="D1173" t="str">
        <f>HYPERLINK("http://service.sap.com/sap/support/notes/1658574","1658574")</f>
        <v>1658574</v>
      </c>
      <c r="E1173">
        <v>4</v>
      </c>
      <c r="F1173" t="s">
        <v>1882</v>
      </c>
    </row>
    <row r="1174" spans="1:6" x14ac:dyDescent="0.25">
      <c r="A1174" t="s">
        <v>1834</v>
      </c>
      <c r="B1174" t="s">
        <v>80</v>
      </c>
      <c r="C1174" t="s">
        <v>32</v>
      </c>
      <c r="D1174" t="str">
        <f>HYPERLINK("http://service.sap.com/sap/support/notes/1658964","1658964")</f>
        <v>1658964</v>
      </c>
      <c r="E1174">
        <v>1</v>
      </c>
      <c r="F1174" t="s">
        <v>1883</v>
      </c>
    </row>
    <row r="1175" spans="1:6" x14ac:dyDescent="0.25">
      <c r="A1175" t="s">
        <v>1834</v>
      </c>
      <c r="B1175" t="s">
        <v>80</v>
      </c>
      <c r="C1175" t="s">
        <v>32</v>
      </c>
      <c r="D1175" t="str">
        <f>HYPERLINK("http://service.sap.com/sap/support/notes/1659025","1659025")</f>
        <v>1659025</v>
      </c>
      <c r="E1175">
        <v>2</v>
      </c>
      <c r="F1175" t="s">
        <v>1884</v>
      </c>
    </row>
    <row r="1176" spans="1:6" x14ac:dyDescent="0.25">
      <c r="A1176" t="s">
        <v>1834</v>
      </c>
      <c r="B1176" t="s">
        <v>80</v>
      </c>
      <c r="C1176" t="s">
        <v>32</v>
      </c>
      <c r="D1176" t="str">
        <f>HYPERLINK("http://service.sap.com/sap/support/notes/1659999","1659999")</f>
        <v>1659999</v>
      </c>
      <c r="E1176">
        <v>1</v>
      </c>
      <c r="F1176" t="s">
        <v>1885</v>
      </c>
    </row>
    <row r="1177" spans="1:6" x14ac:dyDescent="0.25">
      <c r="A1177" t="s">
        <v>1834</v>
      </c>
      <c r="B1177" t="s">
        <v>80</v>
      </c>
      <c r="C1177" t="s">
        <v>32</v>
      </c>
      <c r="D1177" t="str">
        <f>HYPERLINK("http://service.sap.com/sap/support/notes/1661082","1661082")</f>
        <v>1661082</v>
      </c>
      <c r="E1177">
        <v>2</v>
      </c>
      <c r="F1177" t="s">
        <v>1886</v>
      </c>
    </row>
    <row r="1178" spans="1:6" x14ac:dyDescent="0.25">
      <c r="A1178" t="s">
        <v>1834</v>
      </c>
      <c r="B1178" t="s">
        <v>80</v>
      </c>
      <c r="C1178" t="s">
        <v>32</v>
      </c>
      <c r="D1178" t="str">
        <f>HYPERLINK("http://service.sap.com/sap/support/notes/1662706","1662706")</f>
        <v>1662706</v>
      </c>
      <c r="E1178">
        <v>1</v>
      </c>
      <c r="F1178" t="s">
        <v>1887</v>
      </c>
    </row>
    <row r="1179" spans="1:6" x14ac:dyDescent="0.25">
      <c r="A1179" t="s">
        <v>1834</v>
      </c>
      <c r="B1179" t="s">
        <v>80</v>
      </c>
      <c r="C1179" t="s">
        <v>32</v>
      </c>
      <c r="D1179" t="str">
        <f>HYPERLINK("http://service.sap.com/sap/support/notes/1663487","1663487")</f>
        <v>1663487</v>
      </c>
      <c r="E1179">
        <v>3</v>
      </c>
      <c r="F1179" t="s">
        <v>1888</v>
      </c>
    </row>
    <row r="1180" spans="1:6" x14ac:dyDescent="0.25">
      <c r="A1180" t="s">
        <v>1834</v>
      </c>
      <c r="B1180" t="s">
        <v>80</v>
      </c>
      <c r="C1180" t="s">
        <v>32</v>
      </c>
      <c r="D1180" t="str">
        <f>HYPERLINK("http://service.sap.com/sap/support/notes/1663610","1663610")</f>
        <v>1663610</v>
      </c>
      <c r="E1180">
        <v>3</v>
      </c>
      <c r="F1180" t="s">
        <v>1889</v>
      </c>
    </row>
    <row r="1181" spans="1:6" x14ac:dyDescent="0.25">
      <c r="A1181" t="s">
        <v>1834</v>
      </c>
      <c r="B1181" t="s">
        <v>80</v>
      </c>
      <c r="C1181" t="s">
        <v>32</v>
      </c>
      <c r="D1181" t="str">
        <f>HYPERLINK("http://service.sap.com/sap/support/notes/1664776","1664776")</f>
        <v>1664776</v>
      </c>
      <c r="E1181">
        <v>1</v>
      </c>
      <c r="F1181" t="s">
        <v>1890</v>
      </c>
    </row>
    <row r="1182" spans="1:6" x14ac:dyDescent="0.25">
      <c r="A1182" t="s">
        <v>1834</v>
      </c>
      <c r="B1182" t="s">
        <v>80</v>
      </c>
      <c r="C1182" t="s">
        <v>32</v>
      </c>
      <c r="D1182" t="str">
        <f>HYPERLINK("http://service.sap.com/sap/support/notes/1666770","1666770")</f>
        <v>1666770</v>
      </c>
      <c r="E1182">
        <v>1</v>
      </c>
      <c r="F1182" t="s">
        <v>1891</v>
      </c>
    </row>
    <row r="1183" spans="1:6" x14ac:dyDescent="0.25">
      <c r="A1183" t="s">
        <v>1834</v>
      </c>
      <c r="B1183" t="s">
        <v>80</v>
      </c>
      <c r="C1183" t="s">
        <v>32</v>
      </c>
      <c r="D1183" t="str">
        <f>HYPERLINK("http://service.sap.com/sap/support/notes/1667002","1667002")</f>
        <v>1667002</v>
      </c>
      <c r="E1183">
        <v>3</v>
      </c>
      <c r="F1183" t="s">
        <v>1892</v>
      </c>
    </row>
    <row r="1184" spans="1:6" x14ac:dyDescent="0.25">
      <c r="A1184" t="s">
        <v>1834</v>
      </c>
      <c r="B1184" t="s">
        <v>80</v>
      </c>
      <c r="C1184" t="s">
        <v>32</v>
      </c>
      <c r="D1184" t="str">
        <f>HYPERLINK("http://service.sap.com/sap/support/notes/1667604","1667604")</f>
        <v>1667604</v>
      </c>
      <c r="E1184">
        <v>3</v>
      </c>
      <c r="F1184" t="s">
        <v>1893</v>
      </c>
    </row>
    <row r="1185" spans="1:6" x14ac:dyDescent="0.25">
      <c r="A1185" t="s">
        <v>1834</v>
      </c>
      <c r="B1185" t="s">
        <v>83</v>
      </c>
      <c r="C1185" t="s">
        <v>84</v>
      </c>
      <c r="D1185" t="str">
        <f>HYPERLINK("http://service.sap.com/sap/support/notes/1660373","1660373")</f>
        <v>1660373</v>
      </c>
      <c r="E1185">
        <v>2</v>
      </c>
      <c r="F1185" t="s">
        <v>1894</v>
      </c>
    </row>
    <row r="1186" spans="1:6" x14ac:dyDescent="0.25">
      <c r="A1186" t="s">
        <v>1834</v>
      </c>
      <c r="B1186" t="s">
        <v>83</v>
      </c>
      <c r="C1186" t="s">
        <v>84</v>
      </c>
      <c r="D1186" t="str">
        <f>HYPERLINK("http://service.sap.com/sap/support/notes/1667771","1667771")</f>
        <v>1667771</v>
      </c>
      <c r="E1186">
        <v>1</v>
      </c>
      <c r="F1186" t="s">
        <v>1895</v>
      </c>
    </row>
    <row r="1187" spans="1:6" x14ac:dyDescent="0.25">
      <c r="A1187" t="s">
        <v>1834</v>
      </c>
      <c r="B1187" t="s">
        <v>83</v>
      </c>
      <c r="C1187" t="s">
        <v>84</v>
      </c>
      <c r="D1187" t="str">
        <f>HYPERLINK("http://service.sap.com/sap/support/notes/1669158","1669158")</f>
        <v>1669158</v>
      </c>
      <c r="E1187">
        <v>2</v>
      </c>
      <c r="F1187" t="s">
        <v>1896</v>
      </c>
    </row>
    <row r="1188" spans="1:6" x14ac:dyDescent="0.25">
      <c r="A1188" t="s">
        <v>1834</v>
      </c>
      <c r="B1188" t="s">
        <v>89</v>
      </c>
      <c r="C1188" t="s">
        <v>34</v>
      </c>
      <c r="D1188" t="str">
        <f>HYPERLINK("http://service.sap.com/sap/support/notes/1614052","1614052")</f>
        <v>1614052</v>
      </c>
      <c r="E1188">
        <v>2</v>
      </c>
      <c r="F1188" t="s">
        <v>1897</v>
      </c>
    </row>
    <row r="1189" spans="1:6" x14ac:dyDescent="0.25">
      <c r="A1189" t="s">
        <v>1834</v>
      </c>
      <c r="B1189" t="s">
        <v>89</v>
      </c>
      <c r="C1189" t="s">
        <v>34</v>
      </c>
      <c r="D1189" t="str">
        <f>HYPERLINK("http://service.sap.com/sap/support/notes/1629612","1629612")</f>
        <v>1629612</v>
      </c>
      <c r="E1189">
        <v>2</v>
      </c>
      <c r="F1189" t="s">
        <v>1898</v>
      </c>
    </row>
    <row r="1190" spans="1:6" x14ac:dyDescent="0.25">
      <c r="A1190" t="s">
        <v>1834</v>
      </c>
      <c r="B1190" t="s">
        <v>89</v>
      </c>
      <c r="C1190" t="s">
        <v>34</v>
      </c>
      <c r="D1190" t="str">
        <f>HYPERLINK("http://service.sap.com/sap/support/notes/1635561","1635561")</f>
        <v>1635561</v>
      </c>
      <c r="E1190">
        <v>3</v>
      </c>
      <c r="F1190" t="s">
        <v>1899</v>
      </c>
    </row>
    <row r="1191" spans="1:6" x14ac:dyDescent="0.25">
      <c r="A1191" t="s">
        <v>1834</v>
      </c>
      <c r="B1191" t="s">
        <v>89</v>
      </c>
      <c r="C1191" t="s">
        <v>34</v>
      </c>
      <c r="D1191" t="str">
        <f>HYPERLINK("http://service.sap.com/sap/support/notes/1652439","1652439")</f>
        <v>1652439</v>
      </c>
      <c r="E1191">
        <v>2</v>
      </c>
      <c r="F1191" t="s">
        <v>1900</v>
      </c>
    </row>
    <row r="1192" spans="1:6" x14ac:dyDescent="0.25">
      <c r="A1192" t="s">
        <v>1834</v>
      </c>
      <c r="B1192" t="s">
        <v>89</v>
      </c>
      <c r="C1192" t="s">
        <v>34</v>
      </c>
      <c r="D1192" t="str">
        <f>HYPERLINK("http://service.sap.com/sap/support/notes/1652618","1652618")</f>
        <v>1652618</v>
      </c>
      <c r="E1192">
        <v>3</v>
      </c>
      <c r="F1192" t="s">
        <v>1901</v>
      </c>
    </row>
    <row r="1193" spans="1:6" x14ac:dyDescent="0.25">
      <c r="A1193" t="s">
        <v>1834</v>
      </c>
      <c r="B1193" t="s">
        <v>89</v>
      </c>
      <c r="C1193" t="s">
        <v>34</v>
      </c>
      <c r="D1193" t="str">
        <f>HYPERLINK("http://service.sap.com/sap/support/notes/1654977","1654977")</f>
        <v>1654977</v>
      </c>
      <c r="E1193">
        <v>9</v>
      </c>
      <c r="F1193" t="s">
        <v>1902</v>
      </c>
    </row>
    <row r="1194" spans="1:6" x14ac:dyDescent="0.25">
      <c r="A1194" t="s">
        <v>1834</v>
      </c>
      <c r="B1194" t="s">
        <v>89</v>
      </c>
      <c r="C1194" t="s">
        <v>34</v>
      </c>
      <c r="D1194" t="str">
        <f>HYPERLINK("http://service.sap.com/sap/support/notes/1655635","1655635")</f>
        <v>1655635</v>
      </c>
      <c r="E1194">
        <v>6</v>
      </c>
      <c r="F1194" t="s">
        <v>1903</v>
      </c>
    </row>
    <row r="1195" spans="1:6" x14ac:dyDescent="0.25">
      <c r="A1195" t="s">
        <v>1834</v>
      </c>
      <c r="B1195" t="s">
        <v>89</v>
      </c>
      <c r="C1195" t="s">
        <v>34</v>
      </c>
      <c r="D1195" t="str">
        <f>HYPERLINK("http://service.sap.com/sap/support/notes/1657308","1657308")</f>
        <v>1657308</v>
      </c>
      <c r="E1195">
        <v>2</v>
      </c>
      <c r="F1195" t="s">
        <v>1904</v>
      </c>
    </row>
    <row r="1196" spans="1:6" x14ac:dyDescent="0.25">
      <c r="A1196" t="s">
        <v>1834</v>
      </c>
      <c r="B1196" t="s">
        <v>89</v>
      </c>
      <c r="C1196" t="s">
        <v>34</v>
      </c>
      <c r="D1196" t="str">
        <f>HYPERLINK("http://service.sap.com/sap/support/notes/1657310","1657310")</f>
        <v>1657310</v>
      </c>
      <c r="E1196">
        <v>3</v>
      </c>
      <c r="F1196" t="s">
        <v>1905</v>
      </c>
    </row>
    <row r="1197" spans="1:6" x14ac:dyDescent="0.25">
      <c r="A1197" t="s">
        <v>1834</v>
      </c>
      <c r="B1197" t="s">
        <v>89</v>
      </c>
      <c r="C1197" t="s">
        <v>34</v>
      </c>
      <c r="D1197" t="str">
        <f>HYPERLINK("http://service.sap.com/sap/support/notes/1658459","1658459")</f>
        <v>1658459</v>
      </c>
      <c r="E1197">
        <v>1</v>
      </c>
      <c r="F1197" t="s">
        <v>1906</v>
      </c>
    </row>
    <row r="1198" spans="1:6" x14ac:dyDescent="0.25">
      <c r="A1198" t="s">
        <v>1834</v>
      </c>
      <c r="B1198" t="s">
        <v>89</v>
      </c>
      <c r="C1198" t="s">
        <v>34</v>
      </c>
      <c r="D1198" t="str">
        <f>HYPERLINK("http://service.sap.com/sap/support/notes/1659116","1659116")</f>
        <v>1659116</v>
      </c>
      <c r="E1198">
        <v>2</v>
      </c>
      <c r="F1198" t="s">
        <v>1907</v>
      </c>
    </row>
    <row r="1199" spans="1:6" x14ac:dyDescent="0.25">
      <c r="A1199" t="s">
        <v>1834</v>
      </c>
      <c r="B1199" t="s">
        <v>89</v>
      </c>
      <c r="C1199" t="s">
        <v>34</v>
      </c>
      <c r="D1199" t="str">
        <f>HYPERLINK("http://service.sap.com/sap/support/notes/1659153","1659153")</f>
        <v>1659153</v>
      </c>
      <c r="E1199">
        <v>2</v>
      </c>
      <c r="F1199" t="s">
        <v>1908</v>
      </c>
    </row>
    <row r="1200" spans="1:6" x14ac:dyDescent="0.25">
      <c r="A1200" t="s">
        <v>1834</v>
      </c>
      <c r="B1200" t="s">
        <v>89</v>
      </c>
      <c r="C1200" t="s">
        <v>34</v>
      </c>
      <c r="D1200" t="str">
        <f>HYPERLINK("http://service.sap.com/sap/support/notes/1659828","1659828")</f>
        <v>1659828</v>
      </c>
      <c r="E1200">
        <v>1</v>
      </c>
      <c r="F1200" t="s">
        <v>1909</v>
      </c>
    </row>
    <row r="1201" spans="1:6" x14ac:dyDescent="0.25">
      <c r="A1201" t="s">
        <v>1834</v>
      </c>
      <c r="B1201" t="s">
        <v>89</v>
      </c>
      <c r="C1201" t="s">
        <v>34</v>
      </c>
      <c r="D1201" t="str">
        <f>HYPERLINK("http://service.sap.com/sap/support/notes/1660227","1660227")</f>
        <v>1660227</v>
      </c>
      <c r="E1201">
        <v>1</v>
      </c>
      <c r="F1201" t="s">
        <v>1910</v>
      </c>
    </row>
    <row r="1202" spans="1:6" x14ac:dyDescent="0.25">
      <c r="A1202" t="s">
        <v>1834</v>
      </c>
      <c r="B1202" t="s">
        <v>89</v>
      </c>
      <c r="C1202" t="s">
        <v>34</v>
      </c>
      <c r="D1202" t="str">
        <f>HYPERLINK("http://service.sap.com/sap/support/notes/1660567","1660567")</f>
        <v>1660567</v>
      </c>
      <c r="E1202">
        <v>3</v>
      </c>
      <c r="F1202" t="s">
        <v>1911</v>
      </c>
    </row>
    <row r="1203" spans="1:6" x14ac:dyDescent="0.25">
      <c r="A1203" t="s">
        <v>1834</v>
      </c>
      <c r="B1203" t="s">
        <v>89</v>
      </c>
      <c r="C1203" t="s">
        <v>34</v>
      </c>
      <c r="D1203" t="str">
        <f>HYPERLINK("http://service.sap.com/sap/support/notes/1660644","1660644")</f>
        <v>1660644</v>
      </c>
      <c r="E1203">
        <v>1</v>
      </c>
      <c r="F1203" t="s">
        <v>1912</v>
      </c>
    </row>
    <row r="1204" spans="1:6" x14ac:dyDescent="0.25">
      <c r="A1204" t="s">
        <v>1834</v>
      </c>
      <c r="B1204" t="s">
        <v>89</v>
      </c>
      <c r="C1204" t="s">
        <v>34</v>
      </c>
      <c r="D1204" t="str">
        <f>HYPERLINK("http://service.sap.com/sap/support/notes/1662381","1662381")</f>
        <v>1662381</v>
      </c>
      <c r="E1204">
        <v>3</v>
      </c>
      <c r="F1204" t="s">
        <v>1913</v>
      </c>
    </row>
    <row r="1205" spans="1:6" x14ac:dyDescent="0.25">
      <c r="A1205" t="s">
        <v>1834</v>
      </c>
      <c r="B1205" t="s">
        <v>89</v>
      </c>
      <c r="C1205" t="s">
        <v>34</v>
      </c>
      <c r="D1205" t="str">
        <f>HYPERLINK("http://service.sap.com/sap/support/notes/1662492","1662492")</f>
        <v>1662492</v>
      </c>
      <c r="E1205">
        <v>3</v>
      </c>
      <c r="F1205" t="s">
        <v>1914</v>
      </c>
    </row>
    <row r="1206" spans="1:6" x14ac:dyDescent="0.25">
      <c r="A1206" t="s">
        <v>1834</v>
      </c>
      <c r="B1206" t="s">
        <v>89</v>
      </c>
      <c r="C1206" t="s">
        <v>34</v>
      </c>
      <c r="D1206" t="str">
        <f>HYPERLINK("http://service.sap.com/sap/support/notes/1662947","1662947")</f>
        <v>1662947</v>
      </c>
      <c r="E1206">
        <v>2</v>
      </c>
      <c r="F1206" t="s">
        <v>1915</v>
      </c>
    </row>
    <row r="1207" spans="1:6" x14ac:dyDescent="0.25">
      <c r="A1207" t="s">
        <v>1834</v>
      </c>
      <c r="B1207" t="s">
        <v>89</v>
      </c>
      <c r="C1207" t="s">
        <v>34</v>
      </c>
      <c r="D1207" t="str">
        <f>HYPERLINK("http://service.sap.com/sap/support/notes/1663596","1663596")</f>
        <v>1663596</v>
      </c>
      <c r="E1207">
        <v>5</v>
      </c>
      <c r="F1207" t="s">
        <v>1916</v>
      </c>
    </row>
    <row r="1208" spans="1:6" x14ac:dyDescent="0.25">
      <c r="A1208" t="s">
        <v>1834</v>
      </c>
      <c r="B1208" t="s">
        <v>89</v>
      </c>
      <c r="C1208" t="s">
        <v>34</v>
      </c>
      <c r="D1208" t="str">
        <f>HYPERLINK("http://service.sap.com/sap/support/notes/1664043","1664043")</f>
        <v>1664043</v>
      </c>
      <c r="E1208">
        <v>1</v>
      </c>
      <c r="F1208" t="s">
        <v>1917</v>
      </c>
    </row>
    <row r="1209" spans="1:6" x14ac:dyDescent="0.25">
      <c r="A1209" t="s">
        <v>1834</v>
      </c>
      <c r="B1209" t="s">
        <v>89</v>
      </c>
      <c r="C1209" t="s">
        <v>34</v>
      </c>
      <c r="D1209" t="str">
        <f>HYPERLINK("http://service.sap.com/sap/support/notes/1664099","1664099")</f>
        <v>1664099</v>
      </c>
      <c r="E1209">
        <v>1</v>
      </c>
      <c r="F1209" t="s">
        <v>1918</v>
      </c>
    </row>
    <row r="1210" spans="1:6" x14ac:dyDescent="0.25">
      <c r="A1210" t="s">
        <v>1834</v>
      </c>
      <c r="B1210" t="s">
        <v>89</v>
      </c>
      <c r="C1210" t="s">
        <v>34</v>
      </c>
      <c r="D1210" t="str">
        <f>HYPERLINK("http://service.sap.com/sap/support/notes/1664411","1664411")</f>
        <v>1664411</v>
      </c>
      <c r="E1210">
        <v>2</v>
      </c>
      <c r="F1210" t="s">
        <v>1919</v>
      </c>
    </row>
    <row r="1211" spans="1:6" x14ac:dyDescent="0.25">
      <c r="A1211" t="s">
        <v>1834</v>
      </c>
      <c r="B1211" t="s">
        <v>89</v>
      </c>
      <c r="C1211" t="s">
        <v>34</v>
      </c>
      <c r="D1211" t="str">
        <f>HYPERLINK("http://service.sap.com/sap/support/notes/1665347","1665347")</f>
        <v>1665347</v>
      </c>
      <c r="E1211">
        <v>1</v>
      </c>
      <c r="F1211" t="s">
        <v>1920</v>
      </c>
    </row>
    <row r="1212" spans="1:6" x14ac:dyDescent="0.25">
      <c r="A1212" t="s">
        <v>1834</v>
      </c>
      <c r="B1212" t="s">
        <v>89</v>
      </c>
      <c r="C1212" t="s">
        <v>34</v>
      </c>
      <c r="D1212" t="str">
        <f>HYPERLINK("http://service.sap.com/sap/support/notes/1665689","1665689")</f>
        <v>1665689</v>
      </c>
      <c r="E1212">
        <v>2</v>
      </c>
      <c r="F1212" t="s">
        <v>1921</v>
      </c>
    </row>
    <row r="1213" spans="1:6" x14ac:dyDescent="0.25">
      <c r="A1213" t="s">
        <v>1834</v>
      </c>
      <c r="B1213" t="s">
        <v>89</v>
      </c>
      <c r="C1213" t="s">
        <v>34</v>
      </c>
      <c r="D1213" t="str">
        <f>HYPERLINK("http://service.sap.com/sap/support/notes/1666212","1666212")</f>
        <v>1666212</v>
      </c>
      <c r="E1213">
        <v>1</v>
      </c>
      <c r="F1213" t="s">
        <v>1922</v>
      </c>
    </row>
    <row r="1214" spans="1:6" x14ac:dyDescent="0.25">
      <c r="A1214" t="s">
        <v>1834</v>
      </c>
      <c r="B1214" t="s">
        <v>89</v>
      </c>
      <c r="C1214" t="s">
        <v>34</v>
      </c>
      <c r="D1214" t="str">
        <f>HYPERLINK("http://service.sap.com/sap/support/notes/1668225","1668225")</f>
        <v>1668225</v>
      </c>
      <c r="E1214">
        <v>2</v>
      </c>
      <c r="F1214" t="s">
        <v>1923</v>
      </c>
    </row>
    <row r="1215" spans="1:6" x14ac:dyDescent="0.25">
      <c r="A1215" t="s">
        <v>1834</v>
      </c>
      <c r="B1215" t="s">
        <v>89</v>
      </c>
      <c r="C1215" t="s">
        <v>34</v>
      </c>
      <c r="D1215" t="str">
        <f>HYPERLINK("http://service.sap.com/sap/support/notes/1668320","1668320")</f>
        <v>1668320</v>
      </c>
      <c r="E1215">
        <v>4</v>
      </c>
      <c r="F1215" t="s">
        <v>1924</v>
      </c>
    </row>
    <row r="1216" spans="1:6" x14ac:dyDescent="0.25">
      <c r="A1216" t="s">
        <v>1834</v>
      </c>
      <c r="B1216" t="s">
        <v>91</v>
      </c>
      <c r="C1216" t="s">
        <v>92</v>
      </c>
      <c r="D1216" t="str">
        <f>HYPERLINK("http://service.sap.com/sap/support/notes/1583644","1583644")</f>
        <v>1583644</v>
      </c>
      <c r="E1216">
        <v>6</v>
      </c>
      <c r="F1216" t="s">
        <v>1925</v>
      </c>
    </row>
    <row r="1217" spans="1:6" x14ac:dyDescent="0.25">
      <c r="A1217" t="s">
        <v>1834</v>
      </c>
      <c r="B1217" t="s">
        <v>91</v>
      </c>
      <c r="C1217" t="s">
        <v>92</v>
      </c>
      <c r="D1217" t="str">
        <f>HYPERLINK("http://service.sap.com/sap/support/notes/1586392","1586392")</f>
        <v>1586392</v>
      </c>
      <c r="E1217">
        <v>2</v>
      </c>
      <c r="F1217" t="s">
        <v>1926</v>
      </c>
    </row>
    <row r="1218" spans="1:6" x14ac:dyDescent="0.25">
      <c r="A1218" t="s">
        <v>1834</v>
      </c>
      <c r="B1218" t="s">
        <v>91</v>
      </c>
      <c r="C1218" t="s">
        <v>92</v>
      </c>
      <c r="D1218" t="str">
        <f>HYPERLINK("http://service.sap.com/sap/support/notes/1627690","1627690")</f>
        <v>1627690</v>
      </c>
      <c r="E1218">
        <v>2</v>
      </c>
      <c r="F1218" t="s">
        <v>1927</v>
      </c>
    </row>
    <row r="1219" spans="1:6" x14ac:dyDescent="0.25">
      <c r="A1219" t="s">
        <v>1834</v>
      </c>
      <c r="B1219" t="s">
        <v>91</v>
      </c>
      <c r="C1219" t="s">
        <v>92</v>
      </c>
      <c r="D1219" t="str">
        <f>HYPERLINK("http://service.sap.com/sap/support/notes/1632805","1632805")</f>
        <v>1632805</v>
      </c>
      <c r="E1219">
        <v>2</v>
      </c>
      <c r="F1219" t="s">
        <v>1928</v>
      </c>
    </row>
    <row r="1220" spans="1:6" x14ac:dyDescent="0.25">
      <c r="A1220" t="s">
        <v>1834</v>
      </c>
      <c r="B1220" t="s">
        <v>91</v>
      </c>
      <c r="C1220" t="s">
        <v>92</v>
      </c>
      <c r="D1220" t="str">
        <f>HYPERLINK("http://service.sap.com/sap/support/notes/1632808","1632808")</f>
        <v>1632808</v>
      </c>
      <c r="E1220">
        <v>4</v>
      </c>
      <c r="F1220" t="s">
        <v>1929</v>
      </c>
    </row>
    <row r="1221" spans="1:6" x14ac:dyDescent="0.25">
      <c r="A1221" t="s">
        <v>1834</v>
      </c>
      <c r="B1221" t="s">
        <v>91</v>
      </c>
      <c r="C1221" t="s">
        <v>92</v>
      </c>
      <c r="D1221" t="str">
        <f>HYPERLINK("http://service.sap.com/sap/support/notes/1638029","1638029")</f>
        <v>1638029</v>
      </c>
      <c r="E1221">
        <v>2</v>
      </c>
      <c r="F1221" t="s">
        <v>806</v>
      </c>
    </row>
    <row r="1222" spans="1:6" x14ac:dyDescent="0.25">
      <c r="A1222" t="s">
        <v>1834</v>
      </c>
      <c r="B1222" t="s">
        <v>91</v>
      </c>
      <c r="C1222" t="s">
        <v>92</v>
      </c>
      <c r="D1222" t="str">
        <f>HYPERLINK("http://service.sap.com/sap/support/notes/1651647","1651647")</f>
        <v>1651647</v>
      </c>
      <c r="E1222">
        <v>2</v>
      </c>
      <c r="F1222" t="s">
        <v>1930</v>
      </c>
    </row>
    <row r="1223" spans="1:6" x14ac:dyDescent="0.25">
      <c r="A1223" t="s">
        <v>1834</v>
      </c>
      <c r="B1223" t="s">
        <v>91</v>
      </c>
      <c r="C1223" t="s">
        <v>92</v>
      </c>
      <c r="D1223" t="str">
        <f>HYPERLINK("http://service.sap.com/sap/support/notes/1652200","1652200")</f>
        <v>1652200</v>
      </c>
      <c r="E1223">
        <v>2</v>
      </c>
      <c r="F1223" t="s">
        <v>1931</v>
      </c>
    </row>
    <row r="1224" spans="1:6" x14ac:dyDescent="0.25">
      <c r="A1224" t="s">
        <v>1834</v>
      </c>
      <c r="B1224" t="s">
        <v>91</v>
      </c>
      <c r="C1224" t="s">
        <v>92</v>
      </c>
      <c r="D1224" t="str">
        <f>HYPERLINK("http://service.sap.com/sap/support/notes/1656416","1656416")</f>
        <v>1656416</v>
      </c>
      <c r="E1224">
        <v>2</v>
      </c>
      <c r="F1224" t="s">
        <v>1932</v>
      </c>
    </row>
    <row r="1225" spans="1:6" x14ac:dyDescent="0.25">
      <c r="A1225" t="s">
        <v>1834</v>
      </c>
      <c r="B1225" t="s">
        <v>91</v>
      </c>
      <c r="C1225" t="s">
        <v>92</v>
      </c>
      <c r="D1225" t="str">
        <f>HYPERLINK("http://service.sap.com/sap/support/notes/1664203","1664203")</f>
        <v>1664203</v>
      </c>
      <c r="E1225">
        <v>1</v>
      </c>
      <c r="F1225" t="s">
        <v>1933</v>
      </c>
    </row>
    <row r="1226" spans="1:6" x14ac:dyDescent="0.25">
      <c r="A1226" t="s">
        <v>1834</v>
      </c>
      <c r="B1226" t="s">
        <v>94</v>
      </c>
      <c r="C1226" t="s">
        <v>95</v>
      </c>
      <c r="D1226" t="str">
        <f>HYPERLINK("http://service.sap.com/sap/support/notes/1644067","1644067")</f>
        <v>1644067</v>
      </c>
      <c r="E1226">
        <v>3</v>
      </c>
      <c r="F1226" t="s">
        <v>1934</v>
      </c>
    </row>
    <row r="1227" spans="1:6" x14ac:dyDescent="0.25">
      <c r="A1227" t="s">
        <v>1834</v>
      </c>
      <c r="B1227" t="s">
        <v>94</v>
      </c>
      <c r="C1227" t="s">
        <v>95</v>
      </c>
      <c r="D1227" t="str">
        <f>HYPERLINK("http://service.sap.com/sap/support/notes/1647048","1647048")</f>
        <v>1647048</v>
      </c>
      <c r="E1227">
        <v>1</v>
      </c>
      <c r="F1227" t="s">
        <v>1935</v>
      </c>
    </row>
    <row r="1228" spans="1:6" x14ac:dyDescent="0.25">
      <c r="A1228" t="s">
        <v>1834</v>
      </c>
      <c r="B1228" t="s">
        <v>94</v>
      </c>
      <c r="C1228" t="s">
        <v>95</v>
      </c>
      <c r="D1228" t="str">
        <f>HYPERLINK("http://service.sap.com/sap/support/notes/1663369","1663369")</f>
        <v>1663369</v>
      </c>
      <c r="E1228">
        <v>1</v>
      </c>
      <c r="F1228" t="s">
        <v>1936</v>
      </c>
    </row>
    <row r="1229" spans="1:6" x14ac:dyDescent="0.25">
      <c r="A1229" t="s">
        <v>1834</v>
      </c>
      <c r="B1229" t="s">
        <v>94</v>
      </c>
      <c r="C1229" t="s">
        <v>95</v>
      </c>
      <c r="D1229" t="str">
        <f>HYPERLINK("http://service.sap.com/sap/support/notes/1667137","1667137")</f>
        <v>1667137</v>
      </c>
      <c r="E1229">
        <v>1</v>
      </c>
      <c r="F1229" t="s">
        <v>1937</v>
      </c>
    </row>
    <row r="1230" spans="1:6" x14ac:dyDescent="0.25">
      <c r="A1230" t="s">
        <v>1834</v>
      </c>
      <c r="B1230" t="s">
        <v>306</v>
      </c>
      <c r="C1230" t="s">
        <v>132</v>
      </c>
      <c r="D1230" t="str">
        <f>HYPERLINK("http://service.sap.com/sap/support/notes/1639918","1639918")</f>
        <v>1639918</v>
      </c>
      <c r="E1230">
        <v>3</v>
      </c>
      <c r="F1230" t="s">
        <v>1938</v>
      </c>
    </row>
    <row r="1231" spans="1:6" x14ac:dyDescent="0.25">
      <c r="A1231" t="s">
        <v>1834</v>
      </c>
      <c r="B1231" t="s">
        <v>306</v>
      </c>
      <c r="C1231" t="s">
        <v>132</v>
      </c>
      <c r="D1231" t="str">
        <f>HYPERLINK("http://service.sap.com/sap/support/notes/1659721","1659721")</f>
        <v>1659721</v>
      </c>
      <c r="E1231">
        <v>1</v>
      </c>
      <c r="F1231" t="s">
        <v>1939</v>
      </c>
    </row>
    <row r="1232" spans="1:6" x14ac:dyDescent="0.25">
      <c r="A1232" t="s">
        <v>1834</v>
      </c>
      <c r="B1232" t="s">
        <v>306</v>
      </c>
      <c r="C1232" t="s">
        <v>132</v>
      </c>
      <c r="D1232" t="str">
        <f>HYPERLINK("http://service.sap.com/sap/support/notes/1662043","1662043")</f>
        <v>1662043</v>
      </c>
      <c r="E1232">
        <v>2</v>
      </c>
      <c r="F1232" t="s">
        <v>1940</v>
      </c>
    </row>
    <row r="1233" spans="1:6" x14ac:dyDescent="0.25">
      <c r="A1233" t="s">
        <v>1834</v>
      </c>
      <c r="B1233" t="s">
        <v>96</v>
      </c>
      <c r="C1233" t="s">
        <v>97</v>
      </c>
      <c r="D1233" t="str">
        <f>HYPERLINK("http://service.sap.com/sap/support/notes/1661000","1661000")</f>
        <v>1661000</v>
      </c>
      <c r="E1233">
        <v>4</v>
      </c>
      <c r="F1233" t="s">
        <v>1941</v>
      </c>
    </row>
    <row r="1234" spans="1:6" x14ac:dyDescent="0.25">
      <c r="A1234" t="s">
        <v>1834</v>
      </c>
      <c r="B1234" t="s">
        <v>96</v>
      </c>
      <c r="C1234" t="s">
        <v>97</v>
      </c>
      <c r="D1234" t="str">
        <f>HYPERLINK("http://service.sap.com/sap/support/notes/1662128","1662128")</f>
        <v>1662128</v>
      </c>
      <c r="E1234">
        <v>1</v>
      </c>
      <c r="F1234" t="s">
        <v>1942</v>
      </c>
    </row>
    <row r="1235" spans="1:6" x14ac:dyDescent="0.25">
      <c r="A1235" t="s">
        <v>1834</v>
      </c>
      <c r="B1235" t="s">
        <v>96</v>
      </c>
      <c r="C1235" t="s">
        <v>97</v>
      </c>
      <c r="D1235" t="str">
        <f>HYPERLINK("http://service.sap.com/sap/support/notes/1664209","1664209")</f>
        <v>1664209</v>
      </c>
      <c r="E1235">
        <v>2</v>
      </c>
      <c r="F1235" t="s">
        <v>1943</v>
      </c>
    </row>
    <row r="1236" spans="1:6" x14ac:dyDescent="0.25">
      <c r="A1236" t="s">
        <v>1834</v>
      </c>
      <c r="B1236" t="s">
        <v>96</v>
      </c>
      <c r="C1236" t="s">
        <v>97</v>
      </c>
      <c r="D1236" t="str">
        <f>HYPERLINK("http://service.sap.com/sap/support/notes/1665701","1665701")</f>
        <v>1665701</v>
      </c>
      <c r="E1236">
        <v>2</v>
      </c>
      <c r="F1236" t="s">
        <v>1944</v>
      </c>
    </row>
    <row r="1237" spans="1:6" x14ac:dyDescent="0.25">
      <c r="A1237" t="s">
        <v>1834</v>
      </c>
      <c r="B1237" t="s">
        <v>96</v>
      </c>
      <c r="C1237" t="s">
        <v>97</v>
      </c>
      <c r="D1237" t="str">
        <f>HYPERLINK("http://service.sap.com/sap/support/notes/1666503","1666503")</f>
        <v>1666503</v>
      </c>
      <c r="E1237">
        <v>1</v>
      </c>
      <c r="F1237" t="s">
        <v>1945</v>
      </c>
    </row>
    <row r="1238" spans="1:6" x14ac:dyDescent="0.25">
      <c r="A1238" t="s">
        <v>1834</v>
      </c>
      <c r="B1238" t="s">
        <v>96</v>
      </c>
      <c r="C1238" t="s">
        <v>97</v>
      </c>
      <c r="D1238" t="str">
        <f>HYPERLINK("http://service.sap.com/sap/support/notes/1668311","1668311")</f>
        <v>1668311</v>
      </c>
      <c r="E1238">
        <v>2</v>
      </c>
      <c r="F1238" t="s">
        <v>1946</v>
      </c>
    </row>
    <row r="1239" spans="1:6" x14ac:dyDescent="0.25">
      <c r="A1239" t="s">
        <v>1834</v>
      </c>
      <c r="B1239" t="s">
        <v>98</v>
      </c>
      <c r="C1239" t="s">
        <v>99</v>
      </c>
      <c r="D1239" t="str">
        <f>HYPERLINK("http://service.sap.com/sap/support/notes/1645474","1645474")</f>
        <v>1645474</v>
      </c>
      <c r="E1239">
        <v>1</v>
      </c>
      <c r="F1239" t="s">
        <v>1947</v>
      </c>
    </row>
    <row r="1240" spans="1:6" x14ac:dyDescent="0.25">
      <c r="A1240" t="s">
        <v>1834</v>
      </c>
      <c r="B1240" t="s">
        <v>98</v>
      </c>
      <c r="C1240" t="s">
        <v>99</v>
      </c>
      <c r="D1240" t="str">
        <f>HYPERLINK("http://service.sap.com/sap/support/notes/1655236","1655236")</f>
        <v>1655236</v>
      </c>
      <c r="E1240">
        <v>2</v>
      </c>
      <c r="F1240" t="s">
        <v>1948</v>
      </c>
    </row>
    <row r="1241" spans="1:6" x14ac:dyDescent="0.25">
      <c r="A1241" t="s">
        <v>1834</v>
      </c>
      <c r="B1241" t="s">
        <v>98</v>
      </c>
      <c r="C1241" t="s">
        <v>99</v>
      </c>
      <c r="D1241" t="str">
        <f>HYPERLINK("http://service.sap.com/sap/support/notes/1658922","1658922")</f>
        <v>1658922</v>
      </c>
      <c r="E1241">
        <v>2</v>
      </c>
      <c r="F1241" t="s">
        <v>1949</v>
      </c>
    </row>
    <row r="1242" spans="1:6" x14ac:dyDescent="0.25">
      <c r="A1242" t="s">
        <v>1834</v>
      </c>
      <c r="B1242" t="s">
        <v>98</v>
      </c>
      <c r="C1242" t="s">
        <v>99</v>
      </c>
      <c r="D1242" t="str">
        <f>HYPERLINK("http://service.sap.com/sap/support/notes/1660973","1660973")</f>
        <v>1660973</v>
      </c>
      <c r="E1242">
        <v>1</v>
      </c>
      <c r="F1242" t="s">
        <v>1950</v>
      </c>
    </row>
    <row r="1243" spans="1:6" x14ac:dyDescent="0.25">
      <c r="A1243" t="s">
        <v>1834</v>
      </c>
      <c r="B1243" t="s">
        <v>98</v>
      </c>
      <c r="C1243" t="s">
        <v>99</v>
      </c>
      <c r="D1243" t="str">
        <f>HYPERLINK("http://service.sap.com/sap/support/notes/1663334","1663334")</f>
        <v>1663334</v>
      </c>
      <c r="E1243">
        <v>3</v>
      </c>
      <c r="F1243" t="s">
        <v>1951</v>
      </c>
    </row>
    <row r="1244" spans="1:6" x14ac:dyDescent="0.25">
      <c r="A1244" t="s">
        <v>1834</v>
      </c>
      <c r="B1244" t="s">
        <v>98</v>
      </c>
      <c r="C1244" t="s">
        <v>99</v>
      </c>
      <c r="D1244" t="str">
        <f>HYPERLINK("http://service.sap.com/sap/support/notes/1665424","1665424")</f>
        <v>1665424</v>
      </c>
      <c r="E1244">
        <v>1</v>
      </c>
      <c r="F1244" t="s">
        <v>1952</v>
      </c>
    </row>
    <row r="1245" spans="1:6" x14ac:dyDescent="0.25">
      <c r="A1245" t="s">
        <v>1834</v>
      </c>
      <c r="B1245" t="s">
        <v>98</v>
      </c>
      <c r="C1245" t="s">
        <v>99</v>
      </c>
      <c r="D1245" t="str">
        <f>HYPERLINK("http://service.sap.com/sap/support/notes/1665483","1665483")</f>
        <v>1665483</v>
      </c>
      <c r="E1245">
        <v>1</v>
      </c>
      <c r="F1245" t="s">
        <v>1953</v>
      </c>
    </row>
    <row r="1246" spans="1:6" x14ac:dyDescent="0.25">
      <c r="A1246" t="s">
        <v>1834</v>
      </c>
      <c r="B1246" t="s">
        <v>98</v>
      </c>
      <c r="C1246" t="s">
        <v>99</v>
      </c>
      <c r="D1246" t="str">
        <f>HYPERLINK("http://service.sap.com/sap/support/notes/1666076","1666076")</f>
        <v>1666076</v>
      </c>
      <c r="E1246">
        <v>1</v>
      </c>
      <c r="F1246" t="s">
        <v>1954</v>
      </c>
    </row>
    <row r="1247" spans="1:6" x14ac:dyDescent="0.25">
      <c r="A1247" t="s">
        <v>1834</v>
      </c>
      <c r="B1247" t="s">
        <v>100</v>
      </c>
      <c r="C1247" t="s">
        <v>36</v>
      </c>
      <c r="D1247" t="str">
        <f>HYPERLINK("http://service.sap.com/sap/support/notes/1558103","1558103")</f>
        <v>1558103</v>
      </c>
      <c r="E1247">
        <v>1</v>
      </c>
      <c r="F1247" t="s">
        <v>1955</v>
      </c>
    </row>
    <row r="1248" spans="1:6" x14ac:dyDescent="0.25">
      <c r="A1248" t="s">
        <v>1834</v>
      </c>
      <c r="B1248" t="s">
        <v>100</v>
      </c>
      <c r="C1248" t="s">
        <v>36</v>
      </c>
      <c r="D1248" t="str">
        <f>HYPERLINK("http://service.sap.com/sap/support/notes/1643578","1643578")</f>
        <v>1643578</v>
      </c>
      <c r="E1248">
        <v>1</v>
      </c>
      <c r="F1248" t="s">
        <v>1956</v>
      </c>
    </row>
    <row r="1249" spans="1:6" x14ac:dyDescent="0.25">
      <c r="A1249" t="s">
        <v>1834</v>
      </c>
      <c r="B1249" t="s">
        <v>100</v>
      </c>
      <c r="C1249" t="s">
        <v>36</v>
      </c>
      <c r="D1249" t="str">
        <f>HYPERLINK("http://service.sap.com/sap/support/notes/1655439","1655439")</f>
        <v>1655439</v>
      </c>
      <c r="E1249">
        <v>2</v>
      </c>
      <c r="F1249" t="s">
        <v>1957</v>
      </c>
    </row>
    <row r="1250" spans="1:6" x14ac:dyDescent="0.25">
      <c r="A1250" t="s">
        <v>1834</v>
      </c>
      <c r="B1250" t="s">
        <v>100</v>
      </c>
      <c r="C1250" t="s">
        <v>36</v>
      </c>
      <c r="D1250" t="str">
        <f>HYPERLINK("http://service.sap.com/sap/support/notes/1665039","1665039")</f>
        <v>1665039</v>
      </c>
      <c r="E1250">
        <v>2</v>
      </c>
      <c r="F1250" t="s">
        <v>1958</v>
      </c>
    </row>
    <row r="1251" spans="1:6" x14ac:dyDescent="0.25">
      <c r="A1251" t="s">
        <v>1834</v>
      </c>
      <c r="B1251" t="s">
        <v>101</v>
      </c>
      <c r="C1251" t="s">
        <v>38</v>
      </c>
    </row>
    <row r="1252" spans="1:6" x14ac:dyDescent="0.25">
      <c r="A1252" t="s">
        <v>1834</v>
      </c>
      <c r="B1252" t="s">
        <v>102</v>
      </c>
      <c r="C1252" t="s">
        <v>103</v>
      </c>
      <c r="D1252" t="str">
        <f>HYPERLINK("http://service.sap.com/sap/support/notes/1658034","1658034")</f>
        <v>1658034</v>
      </c>
      <c r="E1252">
        <v>1</v>
      </c>
      <c r="F1252" t="s">
        <v>1959</v>
      </c>
    </row>
    <row r="1253" spans="1:6" x14ac:dyDescent="0.25">
      <c r="A1253" t="s">
        <v>1834</v>
      </c>
      <c r="B1253" t="s">
        <v>102</v>
      </c>
      <c r="C1253" t="s">
        <v>103</v>
      </c>
      <c r="D1253" t="str">
        <f>HYPERLINK("http://service.sap.com/sap/support/notes/1659171","1659171")</f>
        <v>1659171</v>
      </c>
      <c r="E1253">
        <v>1</v>
      </c>
      <c r="F1253" t="s">
        <v>1960</v>
      </c>
    </row>
    <row r="1254" spans="1:6" x14ac:dyDescent="0.25">
      <c r="A1254" t="s">
        <v>1834</v>
      </c>
      <c r="B1254" t="s">
        <v>102</v>
      </c>
      <c r="C1254" t="s">
        <v>103</v>
      </c>
      <c r="D1254" t="str">
        <f>HYPERLINK("http://service.sap.com/sap/support/notes/1660034","1660034")</f>
        <v>1660034</v>
      </c>
      <c r="E1254">
        <v>1</v>
      </c>
      <c r="F1254" t="s">
        <v>1961</v>
      </c>
    </row>
    <row r="1255" spans="1:6" x14ac:dyDescent="0.25">
      <c r="A1255" t="s">
        <v>1834</v>
      </c>
      <c r="B1255" t="s">
        <v>102</v>
      </c>
      <c r="C1255" t="s">
        <v>103</v>
      </c>
      <c r="D1255" t="str">
        <f>HYPERLINK("http://service.sap.com/sap/support/notes/1665111","1665111")</f>
        <v>1665111</v>
      </c>
      <c r="E1255">
        <v>1</v>
      </c>
      <c r="F1255" t="s">
        <v>1962</v>
      </c>
    </row>
    <row r="1256" spans="1:6" x14ac:dyDescent="0.25">
      <c r="A1256" t="s">
        <v>1834</v>
      </c>
      <c r="B1256" t="s">
        <v>102</v>
      </c>
      <c r="C1256" t="s">
        <v>103</v>
      </c>
      <c r="D1256" t="str">
        <f>HYPERLINK("http://service.sap.com/sap/support/notes/1666531","1666531")</f>
        <v>1666531</v>
      </c>
      <c r="E1256">
        <v>1</v>
      </c>
      <c r="F1256" t="s">
        <v>1963</v>
      </c>
    </row>
    <row r="1257" spans="1:6" x14ac:dyDescent="0.25">
      <c r="A1257" t="s">
        <v>1834</v>
      </c>
      <c r="B1257" t="s">
        <v>102</v>
      </c>
      <c r="C1257" t="s">
        <v>103</v>
      </c>
      <c r="D1257" t="str">
        <f>HYPERLINK("http://service.sap.com/sap/support/notes/1668667","1668667")</f>
        <v>1668667</v>
      </c>
      <c r="E1257">
        <v>2</v>
      </c>
      <c r="F1257" t="s">
        <v>1964</v>
      </c>
    </row>
    <row r="1258" spans="1:6" x14ac:dyDescent="0.25">
      <c r="A1258" t="s">
        <v>1834</v>
      </c>
      <c r="B1258" t="s">
        <v>104</v>
      </c>
      <c r="C1258" t="s">
        <v>105</v>
      </c>
      <c r="D1258" t="str">
        <f>HYPERLINK("http://service.sap.com/sap/support/notes/1655873","1655873")</f>
        <v>1655873</v>
      </c>
      <c r="E1258">
        <v>1</v>
      </c>
      <c r="F1258" t="s">
        <v>1965</v>
      </c>
    </row>
    <row r="1259" spans="1:6" x14ac:dyDescent="0.25">
      <c r="A1259" t="s">
        <v>1834</v>
      </c>
      <c r="B1259" t="s">
        <v>106</v>
      </c>
      <c r="C1259" t="s">
        <v>107</v>
      </c>
    </row>
    <row r="1260" spans="1:6" x14ac:dyDescent="0.25">
      <c r="A1260" t="s">
        <v>1834</v>
      </c>
      <c r="B1260" t="s">
        <v>108</v>
      </c>
      <c r="C1260" t="s">
        <v>109</v>
      </c>
      <c r="D1260" t="str">
        <f>HYPERLINK("http://service.sap.com/sap/support/notes/1659977","1659977")</f>
        <v>1659977</v>
      </c>
      <c r="E1260">
        <v>3</v>
      </c>
      <c r="F1260" t="s">
        <v>1966</v>
      </c>
    </row>
    <row r="1261" spans="1:6" x14ac:dyDescent="0.25">
      <c r="A1261" t="s">
        <v>1834</v>
      </c>
      <c r="B1261" t="s">
        <v>108</v>
      </c>
      <c r="C1261" t="s">
        <v>109</v>
      </c>
      <c r="D1261" t="str">
        <f>HYPERLINK("http://service.sap.com/sap/support/notes/1662237","1662237")</f>
        <v>1662237</v>
      </c>
      <c r="E1261">
        <v>1</v>
      </c>
      <c r="F1261" t="s">
        <v>1967</v>
      </c>
    </row>
    <row r="1262" spans="1:6" x14ac:dyDescent="0.25">
      <c r="A1262" t="s">
        <v>1834</v>
      </c>
      <c r="B1262" t="s">
        <v>108</v>
      </c>
      <c r="C1262" t="s">
        <v>109</v>
      </c>
      <c r="D1262" t="str">
        <f>HYPERLINK("http://service.sap.com/sap/support/notes/1666953","1666953")</f>
        <v>1666953</v>
      </c>
      <c r="E1262">
        <v>3</v>
      </c>
      <c r="F1262" t="s">
        <v>1968</v>
      </c>
    </row>
    <row r="1263" spans="1:6" x14ac:dyDescent="0.25">
      <c r="A1263" t="s">
        <v>1834</v>
      </c>
      <c r="B1263" t="s">
        <v>609</v>
      </c>
      <c r="C1263" t="s">
        <v>610</v>
      </c>
      <c r="D1263" t="str">
        <f>HYPERLINK("http://service.sap.com/sap/support/notes/1655388","1655388")</f>
        <v>1655388</v>
      </c>
      <c r="E1263">
        <v>3</v>
      </c>
      <c r="F1263" t="s">
        <v>1969</v>
      </c>
    </row>
    <row r="1264" spans="1:6" x14ac:dyDescent="0.25">
      <c r="A1264" t="s">
        <v>1834</v>
      </c>
      <c r="B1264" t="s">
        <v>609</v>
      </c>
      <c r="C1264" t="s">
        <v>610</v>
      </c>
      <c r="D1264" t="str">
        <f>HYPERLINK("http://service.sap.com/sap/support/notes/1655705","1655705")</f>
        <v>1655705</v>
      </c>
      <c r="E1264">
        <v>1</v>
      </c>
      <c r="F1264" t="s">
        <v>1970</v>
      </c>
    </row>
    <row r="1265" spans="1:6" x14ac:dyDescent="0.25">
      <c r="A1265" t="s">
        <v>1834</v>
      </c>
      <c r="B1265" t="s">
        <v>609</v>
      </c>
      <c r="C1265" t="s">
        <v>610</v>
      </c>
      <c r="D1265" t="str">
        <f>HYPERLINK("http://service.sap.com/sap/support/notes/1656931","1656931")</f>
        <v>1656931</v>
      </c>
      <c r="E1265">
        <v>1</v>
      </c>
      <c r="F1265" t="s">
        <v>1971</v>
      </c>
    </row>
    <row r="1266" spans="1:6" x14ac:dyDescent="0.25">
      <c r="A1266" t="s">
        <v>1834</v>
      </c>
      <c r="B1266" t="s">
        <v>609</v>
      </c>
      <c r="C1266" t="s">
        <v>610</v>
      </c>
      <c r="D1266" t="str">
        <f>HYPERLINK("http://service.sap.com/sap/support/notes/1659449","1659449")</f>
        <v>1659449</v>
      </c>
      <c r="E1266">
        <v>1</v>
      </c>
      <c r="F1266" t="s">
        <v>1972</v>
      </c>
    </row>
    <row r="1267" spans="1:6" x14ac:dyDescent="0.25">
      <c r="A1267" t="s">
        <v>1834</v>
      </c>
      <c r="B1267" t="s">
        <v>609</v>
      </c>
      <c r="C1267" t="s">
        <v>610</v>
      </c>
      <c r="D1267" t="str">
        <f>HYPERLINK("http://service.sap.com/sap/support/notes/1661697","1661697")</f>
        <v>1661697</v>
      </c>
      <c r="E1267">
        <v>1</v>
      </c>
      <c r="F1267" t="s">
        <v>1973</v>
      </c>
    </row>
    <row r="1268" spans="1:6" x14ac:dyDescent="0.25">
      <c r="A1268" t="s">
        <v>1834</v>
      </c>
      <c r="B1268" t="s">
        <v>312</v>
      </c>
      <c r="C1268" t="s">
        <v>313</v>
      </c>
      <c r="D1268" t="str">
        <f>HYPERLINK("http://service.sap.com/sap/support/notes/1656782","1656782")</f>
        <v>1656782</v>
      </c>
      <c r="E1268">
        <v>1</v>
      </c>
      <c r="F1268" t="s">
        <v>1974</v>
      </c>
    </row>
    <row r="1269" spans="1:6" x14ac:dyDescent="0.25">
      <c r="A1269" t="s">
        <v>1834</v>
      </c>
      <c r="B1269" t="s">
        <v>312</v>
      </c>
      <c r="C1269" t="s">
        <v>313</v>
      </c>
      <c r="D1269" t="str">
        <f>HYPERLINK("http://service.sap.com/sap/support/notes/1661141","1661141")</f>
        <v>1661141</v>
      </c>
      <c r="E1269">
        <v>1</v>
      </c>
      <c r="F1269" t="s">
        <v>1975</v>
      </c>
    </row>
    <row r="1270" spans="1:6" x14ac:dyDescent="0.25">
      <c r="A1270" t="s">
        <v>1834</v>
      </c>
      <c r="B1270" t="s">
        <v>312</v>
      </c>
      <c r="C1270" t="s">
        <v>313</v>
      </c>
      <c r="D1270" t="str">
        <f>HYPERLINK("http://service.sap.com/sap/support/notes/1661423","1661423")</f>
        <v>1661423</v>
      </c>
      <c r="E1270">
        <v>1</v>
      </c>
      <c r="F1270" t="s">
        <v>1976</v>
      </c>
    </row>
    <row r="1271" spans="1:6" x14ac:dyDescent="0.25">
      <c r="A1271" t="s">
        <v>1834</v>
      </c>
      <c r="B1271" t="s">
        <v>312</v>
      </c>
      <c r="C1271" t="s">
        <v>313</v>
      </c>
      <c r="D1271" t="str">
        <f>HYPERLINK("http://service.sap.com/sap/support/notes/1664873","1664873")</f>
        <v>1664873</v>
      </c>
      <c r="E1271">
        <v>1</v>
      </c>
      <c r="F1271" t="s">
        <v>1977</v>
      </c>
    </row>
    <row r="1272" spans="1:6" x14ac:dyDescent="0.25">
      <c r="A1272" t="s">
        <v>1834</v>
      </c>
      <c r="B1272" t="s">
        <v>312</v>
      </c>
      <c r="C1272" t="s">
        <v>313</v>
      </c>
      <c r="D1272" t="str">
        <f>HYPERLINK("http://service.sap.com/sap/support/notes/1666263","1666263")</f>
        <v>1666263</v>
      </c>
      <c r="E1272">
        <v>1</v>
      </c>
      <c r="F1272" t="s">
        <v>1978</v>
      </c>
    </row>
    <row r="1273" spans="1:6" x14ac:dyDescent="0.25">
      <c r="A1273" t="s">
        <v>1834</v>
      </c>
      <c r="B1273" t="s">
        <v>312</v>
      </c>
      <c r="C1273" t="s">
        <v>313</v>
      </c>
      <c r="D1273" t="str">
        <f>HYPERLINK("http://service.sap.com/sap/support/notes/1667022","1667022")</f>
        <v>1667022</v>
      </c>
      <c r="E1273">
        <v>2</v>
      </c>
      <c r="F1273" t="s">
        <v>1979</v>
      </c>
    </row>
    <row r="1274" spans="1:6" x14ac:dyDescent="0.25">
      <c r="A1274" t="s">
        <v>1834</v>
      </c>
      <c r="B1274" t="s">
        <v>114</v>
      </c>
      <c r="C1274" t="s">
        <v>115</v>
      </c>
    </row>
    <row r="1275" spans="1:6" x14ac:dyDescent="0.25">
      <c r="A1275" t="s">
        <v>1834</v>
      </c>
      <c r="B1275" t="s">
        <v>611</v>
      </c>
      <c r="C1275" t="s">
        <v>612</v>
      </c>
      <c r="D1275" t="str">
        <f>HYPERLINK("http://service.sap.com/sap/support/notes/1659910","1659910")</f>
        <v>1659910</v>
      </c>
      <c r="E1275">
        <v>1</v>
      </c>
      <c r="F1275" t="s">
        <v>1980</v>
      </c>
    </row>
    <row r="1276" spans="1:6" x14ac:dyDescent="0.25">
      <c r="A1276" t="s">
        <v>1834</v>
      </c>
      <c r="B1276" t="s">
        <v>116</v>
      </c>
      <c r="C1276" t="s">
        <v>117</v>
      </c>
      <c r="D1276" t="str">
        <f>HYPERLINK("http://service.sap.com/sap/support/notes/1626989","1626989")</f>
        <v>1626989</v>
      </c>
      <c r="E1276">
        <v>1</v>
      </c>
      <c r="F1276" t="s">
        <v>1981</v>
      </c>
    </row>
    <row r="1277" spans="1:6" x14ac:dyDescent="0.25">
      <c r="A1277" t="s">
        <v>1834</v>
      </c>
      <c r="B1277" t="s">
        <v>118</v>
      </c>
      <c r="C1277" t="s">
        <v>119</v>
      </c>
      <c r="D1277" t="str">
        <f>HYPERLINK("http://service.sap.com/sap/support/notes/146944","146944")</f>
        <v>146944</v>
      </c>
      <c r="E1277">
        <v>29</v>
      </c>
      <c r="F1277" t="s">
        <v>1982</v>
      </c>
    </row>
    <row r="1278" spans="1:6" x14ac:dyDescent="0.25">
      <c r="A1278" t="s">
        <v>1834</v>
      </c>
      <c r="B1278" t="s">
        <v>118</v>
      </c>
      <c r="C1278" t="s">
        <v>119</v>
      </c>
      <c r="D1278" t="str">
        <f>HYPERLINK("http://service.sap.com/sap/support/notes/1657831","1657831")</f>
        <v>1657831</v>
      </c>
      <c r="E1278">
        <v>2</v>
      </c>
      <c r="F1278" t="s">
        <v>1983</v>
      </c>
    </row>
    <row r="1279" spans="1:6" x14ac:dyDescent="0.25">
      <c r="A1279" t="s">
        <v>1834</v>
      </c>
      <c r="B1279" t="s">
        <v>118</v>
      </c>
      <c r="C1279" t="s">
        <v>119</v>
      </c>
      <c r="D1279" t="str">
        <f>HYPERLINK("http://service.sap.com/sap/support/notes/1668926","1668926")</f>
        <v>1668926</v>
      </c>
      <c r="E1279">
        <v>1</v>
      </c>
      <c r="F1279" t="s">
        <v>1984</v>
      </c>
    </row>
    <row r="1280" spans="1:6" x14ac:dyDescent="0.25">
      <c r="A1280" t="s">
        <v>1834</v>
      </c>
      <c r="B1280" t="s">
        <v>120</v>
      </c>
      <c r="C1280" t="s">
        <v>121</v>
      </c>
      <c r="D1280" t="str">
        <f>HYPERLINK("http://service.sap.com/sap/support/notes/1656827","1656827")</f>
        <v>1656827</v>
      </c>
      <c r="E1280">
        <v>2</v>
      </c>
      <c r="F1280" t="s">
        <v>1985</v>
      </c>
    </row>
    <row r="1281" spans="1:6" x14ac:dyDescent="0.25">
      <c r="A1281" t="s">
        <v>1834</v>
      </c>
      <c r="B1281" t="s">
        <v>120</v>
      </c>
      <c r="C1281" t="s">
        <v>121</v>
      </c>
      <c r="D1281" t="str">
        <f>HYPERLINK("http://service.sap.com/sap/support/notes/1657143","1657143")</f>
        <v>1657143</v>
      </c>
      <c r="E1281">
        <v>3</v>
      </c>
      <c r="F1281" t="s">
        <v>1986</v>
      </c>
    </row>
    <row r="1282" spans="1:6" x14ac:dyDescent="0.25">
      <c r="A1282" t="s">
        <v>1834</v>
      </c>
      <c r="B1282" t="s">
        <v>120</v>
      </c>
      <c r="C1282" t="s">
        <v>121</v>
      </c>
      <c r="D1282" t="str">
        <f>HYPERLINK("http://service.sap.com/sap/support/notes/1659533","1659533")</f>
        <v>1659533</v>
      </c>
      <c r="E1282">
        <v>1</v>
      </c>
      <c r="F1282" t="s">
        <v>1987</v>
      </c>
    </row>
    <row r="1283" spans="1:6" x14ac:dyDescent="0.25">
      <c r="A1283" t="s">
        <v>1834</v>
      </c>
      <c r="B1283" t="s">
        <v>120</v>
      </c>
      <c r="C1283" t="s">
        <v>121</v>
      </c>
      <c r="D1283" t="str">
        <f>HYPERLINK("http://service.sap.com/sap/support/notes/1667888","1667888")</f>
        <v>1667888</v>
      </c>
      <c r="E1283">
        <v>1</v>
      </c>
      <c r="F1283" t="s">
        <v>1988</v>
      </c>
    </row>
    <row r="1284" spans="1:6" x14ac:dyDescent="0.25">
      <c r="A1284" t="s">
        <v>1834</v>
      </c>
      <c r="B1284" t="s">
        <v>122</v>
      </c>
      <c r="C1284" t="s">
        <v>123</v>
      </c>
      <c r="D1284" t="str">
        <f>HYPERLINK("http://service.sap.com/sap/support/notes/1660464","1660464")</f>
        <v>1660464</v>
      </c>
      <c r="E1284">
        <v>1</v>
      </c>
      <c r="F1284" t="s">
        <v>1989</v>
      </c>
    </row>
    <row r="1285" spans="1:6" x14ac:dyDescent="0.25">
      <c r="A1285" t="s">
        <v>1834</v>
      </c>
      <c r="B1285" t="s">
        <v>122</v>
      </c>
      <c r="C1285" t="s">
        <v>123</v>
      </c>
      <c r="D1285" t="str">
        <f>HYPERLINK("http://service.sap.com/sap/support/notes/1661906","1661906")</f>
        <v>1661906</v>
      </c>
      <c r="E1285">
        <v>1</v>
      </c>
      <c r="F1285" t="s">
        <v>1990</v>
      </c>
    </row>
    <row r="1286" spans="1:6" x14ac:dyDescent="0.25">
      <c r="A1286" t="s">
        <v>1834</v>
      </c>
      <c r="B1286" t="s">
        <v>122</v>
      </c>
      <c r="C1286" t="s">
        <v>123</v>
      </c>
      <c r="D1286" t="str">
        <f>HYPERLINK("http://service.sap.com/sap/support/notes/1663463","1663463")</f>
        <v>1663463</v>
      </c>
      <c r="E1286">
        <v>1</v>
      </c>
      <c r="F1286" t="s">
        <v>1991</v>
      </c>
    </row>
    <row r="1287" spans="1:6" x14ac:dyDescent="0.25">
      <c r="A1287" t="s">
        <v>1834</v>
      </c>
      <c r="B1287" t="s">
        <v>122</v>
      </c>
      <c r="C1287" t="s">
        <v>123</v>
      </c>
      <c r="D1287" t="str">
        <f>HYPERLINK("http://service.sap.com/sap/support/notes/1664216","1664216")</f>
        <v>1664216</v>
      </c>
      <c r="E1287">
        <v>3</v>
      </c>
      <c r="F1287" t="s">
        <v>1992</v>
      </c>
    </row>
    <row r="1288" spans="1:6" x14ac:dyDescent="0.25">
      <c r="A1288" t="s">
        <v>1834</v>
      </c>
      <c r="B1288" t="s">
        <v>122</v>
      </c>
      <c r="C1288" t="s">
        <v>123</v>
      </c>
      <c r="D1288" t="str">
        <f>HYPERLINK("http://service.sap.com/sap/support/notes/1664566","1664566")</f>
        <v>1664566</v>
      </c>
      <c r="E1288">
        <v>2</v>
      </c>
      <c r="F1288" t="s">
        <v>1993</v>
      </c>
    </row>
    <row r="1289" spans="1:6" x14ac:dyDescent="0.25">
      <c r="A1289" t="s">
        <v>1834</v>
      </c>
      <c r="B1289" t="s">
        <v>122</v>
      </c>
      <c r="C1289" t="s">
        <v>123</v>
      </c>
      <c r="D1289" t="str">
        <f>HYPERLINK("http://service.sap.com/sap/support/notes/1665795","1665795")</f>
        <v>1665795</v>
      </c>
      <c r="E1289">
        <v>1</v>
      </c>
      <c r="F1289" t="s">
        <v>1994</v>
      </c>
    </row>
    <row r="1290" spans="1:6" x14ac:dyDescent="0.25">
      <c r="A1290" t="s">
        <v>1834</v>
      </c>
      <c r="B1290" t="s">
        <v>122</v>
      </c>
      <c r="C1290" t="s">
        <v>123</v>
      </c>
      <c r="D1290" t="str">
        <f>HYPERLINK("http://service.sap.com/sap/support/notes/1668958","1668958")</f>
        <v>1668958</v>
      </c>
      <c r="E1290">
        <v>2</v>
      </c>
      <c r="F1290" t="s">
        <v>1995</v>
      </c>
    </row>
    <row r="1291" spans="1:6" x14ac:dyDescent="0.25">
      <c r="A1291" t="s">
        <v>1834</v>
      </c>
      <c r="B1291" t="s">
        <v>124</v>
      </c>
      <c r="C1291" t="s">
        <v>82</v>
      </c>
      <c r="D1291" t="str">
        <f>HYPERLINK("http://service.sap.com/sap/support/notes/1637263","1637263")</f>
        <v>1637263</v>
      </c>
      <c r="E1291">
        <v>2</v>
      </c>
      <c r="F1291" t="s">
        <v>1517</v>
      </c>
    </row>
    <row r="1292" spans="1:6" x14ac:dyDescent="0.25">
      <c r="A1292" t="s">
        <v>1834</v>
      </c>
      <c r="B1292" t="s">
        <v>124</v>
      </c>
      <c r="C1292" t="s">
        <v>82</v>
      </c>
      <c r="D1292" t="str">
        <f>HYPERLINK("http://service.sap.com/sap/support/notes/1651472","1651472")</f>
        <v>1651472</v>
      </c>
      <c r="E1292">
        <v>1</v>
      </c>
      <c r="F1292" t="s">
        <v>1996</v>
      </c>
    </row>
    <row r="1293" spans="1:6" x14ac:dyDescent="0.25">
      <c r="A1293" t="s">
        <v>1834</v>
      </c>
      <c r="B1293" t="s">
        <v>124</v>
      </c>
      <c r="C1293" t="s">
        <v>82</v>
      </c>
      <c r="D1293" t="str">
        <f>HYPERLINK("http://service.sap.com/sap/support/notes/1657764","1657764")</f>
        <v>1657764</v>
      </c>
      <c r="E1293">
        <v>2</v>
      </c>
      <c r="F1293" t="s">
        <v>1997</v>
      </c>
    </row>
    <row r="1294" spans="1:6" x14ac:dyDescent="0.25">
      <c r="A1294" t="s">
        <v>1834</v>
      </c>
      <c r="B1294" t="s">
        <v>124</v>
      </c>
      <c r="C1294" t="s">
        <v>82</v>
      </c>
      <c r="D1294" t="str">
        <f>HYPERLINK("http://service.sap.com/sap/support/notes/1658584","1658584")</f>
        <v>1658584</v>
      </c>
      <c r="E1294">
        <v>2</v>
      </c>
      <c r="F1294" t="s">
        <v>1998</v>
      </c>
    </row>
    <row r="1295" spans="1:6" x14ac:dyDescent="0.25">
      <c r="A1295" t="s">
        <v>1834</v>
      </c>
      <c r="B1295" t="s">
        <v>124</v>
      </c>
      <c r="C1295" t="s">
        <v>82</v>
      </c>
      <c r="D1295" t="str">
        <f>HYPERLINK("http://service.sap.com/sap/support/notes/1660035","1660035")</f>
        <v>1660035</v>
      </c>
      <c r="E1295">
        <v>1</v>
      </c>
      <c r="F1295" t="s">
        <v>1999</v>
      </c>
    </row>
    <row r="1296" spans="1:6" x14ac:dyDescent="0.25">
      <c r="A1296" t="s">
        <v>1834</v>
      </c>
      <c r="B1296" t="s">
        <v>124</v>
      </c>
      <c r="C1296" t="s">
        <v>82</v>
      </c>
      <c r="D1296" t="str">
        <f>HYPERLINK("http://service.sap.com/sap/support/notes/1660569","1660569")</f>
        <v>1660569</v>
      </c>
      <c r="E1296">
        <v>3</v>
      </c>
      <c r="F1296" t="s">
        <v>2000</v>
      </c>
    </row>
    <row r="1297" spans="1:6" x14ac:dyDescent="0.25">
      <c r="A1297" t="s">
        <v>1834</v>
      </c>
      <c r="B1297" t="s">
        <v>124</v>
      </c>
      <c r="C1297" t="s">
        <v>82</v>
      </c>
      <c r="D1297" t="str">
        <f>HYPERLINK("http://service.sap.com/sap/support/notes/1661646","1661646")</f>
        <v>1661646</v>
      </c>
      <c r="E1297">
        <v>1</v>
      </c>
      <c r="F1297" t="s">
        <v>2001</v>
      </c>
    </row>
    <row r="1298" spans="1:6" x14ac:dyDescent="0.25">
      <c r="A1298" t="s">
        <v>1834</v>
      </c>
      <c r="B1298" t="s">
        <v>124</v>
      </c>
      <c r="C1298" t="s">
        <v>82</v>
      </c>
      <c r="D1298" t="str">
        <f>HYPERLINK("http://service.sap.com/sap/support/notes/1662937","1662937")</f>
        <v>1662937</v>
      </c>
      <c r="E1298">
        <v>1</v>
      </c>
      <c r="F1298" t="s">
        <v>2002</v>
      </c>
    </row>
    <row r="1299" spans="1:6" x14ac:dyDescent="0.25">
      <c r="A1299" t="s">
        <v>1834</v>
      </c>
      <c r="B1299" t="s">
        <v>124</v>
      </c>
      <c r="C1299" t="s">
        <v>82</v>
      </c>
      <c r="D1299" t="str">
        <f>HYPERLINK("http://service.sap.com/sap/support/notes/1664777","1664777")</f>
        <v>1664777</v>
      </c>
      <c r="E1299">
        <v>1</v>
      </c>
      <c r="F1299" t="s">
        <v>2003</v>
      </c>
    </row>
    <row r="1300" spans="1:6" x14ac:dyDescent="0.25">
      <c r="A1300" t="s">
        <v>1834</v>
      </c>
      <c r="B1300" t="s">
        <v>124</v>
      </c>
      <c r="C1300" t="s">
        <v>82</v>
      </c>
      <c r="D1300" t="str">
        <f>HYPERLINK("http://service.sap.com/sap/support/notes/1665858","1665858")</f>
        <v>1665858</v>
      </c>
      <c r="E1300">
        <v>1</v>
      </c>
      <c r="F1300" t="s">
        <v>2004</v>
      </c>
    </row>
    <row r="1301" spans="1:6" x14ac:dyDescent="0.25">
      <c r="A1301" t="s">
        <v>1834</v>
      </c>
      <c r="B1301" t="s">
        <v>124</v>
      </c>
      <c r="C1301" t="s">
        <v>82</v>
      </c>
      <c r="D1301" t="str">
        <f>HYPERLINK("http://service.sap.com/sap/support/notes/1667299","1667299")</f>
        <v>1667299</v>
      </c>
      <c r="E1301">
        <v>1</v>
      </c>
      <c r="F1301" t="s">
        <v>2005</v>
      </c>
    </row>
    <row r="1302" spans="1:6" x14ac:dyDescent="0.25">
      <c r="A1302" t="s">
        <v>1834</v>
      </c>
      <c r="B1302" t="s">
        <v>124</v>
      </c>
      <c r="C1302" t="s">
        <v>82</v>
      </c>
      <c r="D1302" t="str">
        <f>HYPERLINK("http://service.sap.com/sap/support/notes/1667585","1667585")</f>
        <v>1667585</v>
      </c>
      <c r="E1302">
        <v>2</v>
      </c>
      <c r="F1302" t="s">
        <v>2006</v>
      </c>
    </row>
    <row r="1303" spans="1:6" x14ac:dyDescent="0.25">
      <c r="A1303" t="s">
        <v>1834</v>
      </c>
      <c r="B1303" t="s">
        <v>124</v>
      </c>
      <c r="C1303" t="s">
        <v>82</v>
      </c>
      <c r="D1303" t="str">
        <f>HYPERLINK("http://service.sap.com/sap/support/notes/1668402","1668402")</f>
        <v>1668402</v>
      </c>
      <c r="E1303">
        <v>1</v>
      </c>
      <c r="F1303" t="s">
        <v>2007</v>
      </c>
    </row>
    <row r="1304" spans="1:6" x14ac:dyDescent="0.25">
      <c r="A1304" t="s">
        <v>1834</v>
      </c>
      <c r="B1304" t="s">
        <v>124</v>
      </c>
      <c r="C1304" t="s">
        <v>82</v>
      </c>
      <c r="D1304" t="str">
        <f>HYPERLINK("http://service.sap.com/sap/support/notes/1668622","1668622")</f>
        <v>1668622</v>
      </c>
      <c r="E1304">
        <v>2</v>
      </c>
      <c r="F1304" t="s">
        <v>2008</v>
      </c>
    </row>
    <row r="1305" spans="1:6" x14ac:dyDescent="0.25">
      <c r="A1305" t="s">
        <v>1834</v>
      </c>
      <c r="B1305" t="s">
        <v>125</v>
      </c>
      <c r="C1305" t="s">
        <v>126</v>
      </c>
      <c r="D1305" t="str">
        <f>HYPERLINK("http://service.sap.com/sap/support/notes/1660587","1660587")</f>
        <v>1660587</v>
      </c>
      <c r="E1305">
        <v>2</v>
      </c>
      <c r="F1305" t="s">
        <v>2009</v>
      </c>
    </row>
    <row r="1306" spans="1:6" x14ac:dyDescent="0.25">
      <c r="A1306" t="s">
        <v>1834</v>
      </c>
      <c r="B1306" t="s">
        <v>127</v>
      </c>
      <c r="C1306" t="s">
        <v>128</v>
      </c>
      <c r="D1306" t="str">
        <f>HYPERLINK("http://service.sap.com/sap/support/notes/1641326","1641326")</f>
        <v>1641326</v>
      </c>
      <c r="E1306">
        <v>1</v>
      </c>
      <c r="F1306" t="s">
        <v>2010</v>
      </c>
    </row>
    <row r="1307" spans="1:6" x14ac:dyDescent="0.25">
      <c r="A1307" t="s">
        <v>1834</v>
      </c>
      <c r="B1307" t="s">
        <v>127</v>
      </c>
      <c r="C1307" t="s">
        <v>128</v>
      </c>
      <c r="D1307" t="str">
        <f>HYPERLINK("http://service.sap.com/sap/support/notes/1656254","1656254")</f>
        <v>1656254</v>
      </c>
      <c r="E1307">
        <v>2</v>
      </c>
      <c r="F1307" t="s">
        <v>2011</v>
      </c>
    </row>
    <row r="1308" spans="1:6" x14ac:dyDescent="0.25">
      <c r="A1308" t="s">
        <v>1834</v>
      </c>
      <c r="B1308" t="s">
        <v>127</v>
      </c>
      <c r="C1308" t="s">
        <v>128</v>
      </c>
      <c r="D1308" t="str">
        <f>HYPERLINK("http://service.sap.com/sap/support/notes/1656646","1656646")</f>
        <v>1656646</v>
      </c>
      <c r="E1308">
        <v>1</v>
      </c>
      <c r="F1308" t="s">
        <v>2012</v>
      </c>
    </row>
    <row r="1309" spans="1:6" x14ac:dyDescent="0.25">
      <c r="A1309" t="s">
        <v>1834</v>
      </c>
      <c r="B1309" t="s">
        <v>127</v>
      </c>
      <c r="C1309" t="s">
        <v>128</v>
      </c>
      <c r="D1309" t="str">
        <f>HYPERLINK("http://service.sap.com/sap/support/notes/1659253","1659253")</f>
        <v>1659253</v>
      </c>
      <c r="E1309">
        <v>1</v>
      </c>
      <c r="F1309" t="s">
        <v>2013</v>
      </c>
    </row>
    <row r="1310" spans="1:6" x14ac:dyDescent="0.25">
      <c r="A1310" t="s">
        <v>1834</v>
      </c>
      <c r="B1310" t="s">
        <v>127</v>
      </c>
      <c r="C1310" t="s">
        <v>128</v>
      </c>
      <c r="D1310" t="str">
        <f>HYPERLINK("http://service.sap.com/sap/support/notes/1659400","1659400")</f>
        <v>1659400</v>
      </c>
      <c r="E1310">
        <v>1</v>
      </c>
      <c r="F1310" t="s">
        <v>2014</v>
      </c>
    </row>
    <row r="1311" spans="1:6" x14ac:dyDescent="0.25">
      <c r="A1311" t="s">
        <v>1834</v>
      </c>
      <c r="B1311" t="s">
        <v>127</v>
      </c>
      <c r="C1311" t="s">
        <v>128</v>
      </c>
      <c r="D1311" t="str">
        <f>HYPERLINK("http://service.sap.com/sap/support/notes/1659780","1659780")</f>
        <v>1659780</v>
      </c>
      <c r="E1311">
        <v>1</v>
      </c>
      <c r="F1311" t="s">
        <v>2015</v>
      </c>
    </row>
    <row r="1312" spans="1:6" x14ac:dyDescent="0.25">
      <c r="A1312" t="s">
        <v>1834</v>
      </c>
      <c r="B1312" t="s">
        <v>127</v>
      </c>
      <c r="C1312" t="s">
        <v>128</v>
      </c>
      <c r="D1312" t="str">
        <f>HYPERLINK("http://service.sap.com/sap/support/notes/1660366","1660366")</f>
        <v>1660366</v>
      </c>
      <c r="E1312">
        <v>1</v>
      </c>
      <c r="F1312" t="s">
        <v>2016</v>
      </c>
    </row>
    <row r="1313" spans="1:6" x14ac:dyDescent="0.25">
      <c r="A1313" t="s">
        <v>1834</v>
      </c>
      <c r="B1313" t="s">
        <v>127</v>
      </c>
      <c r="C1313" t="s">
        <v>128</v>
      </c>
      <c r="D1313" t="str">
        <f>HYPERLINK("http://service.sap.com/sap/support/notes/1660399","1660399")</f>
        <v>1660399</v>
      </c>
      <c r="E1313">
        <v>2</v>
      </c>
      <c r="F1313" t="s">
        <v>2017</v>
      </c>
    </row>
    <row r="1314" spans="1:6" x14ac:dyDescent="0.25">
      <c r="A1314" t="s">
        <v>1834</v>
      </c>
      <c r="B1314" t="s">
        <v>127</v>
      </c>
      <c r="C1314" t="s">
        <v>128</v>
      </c>
      <c r="D1314" t="str">
        <f>HYPERLINK("http://service.sap.com/sap/support/notes/1660556","1660556")</f>
        <v>1660556</v>
      </c>
      <c r="E1314">
        <v>3</v>
      </c>
      <c r="F1314" t="s">
        <v>2018</v>
      </c>
    </row>
    <row r="1315" spans="1:6" x14ac:dyDescent="0.25">
      <c r="A1315" t="s">
        <v>1834</v>
      </c>
      <c r="B1315" t="s">
        <v>127</v>
      </c>
      <c r="C1315" t="s">
        <v>128</v>
      </c>
      <c r="D1315" t="str">
        <f>HYPERLINK("http://service.sap.com/sap/support/notes/1660977","1660977")</f>
        <v>1660977</v>
      </c>
      <c r="E1315">
        <v>1</v>
      </c>
      <c r="F1315" t="s">
        <v>2019</v>
      </c>
    </row>
    <row r="1316" spans="1:6" x14ac:dyDescent="0.25">
      <c r="A1316" t="s">
        <v>1834</v>
      </c>
      <c r="B1316" t="s">
        <v>127</v>
      </c>
      <c r="C1316" t="s">
        <v>128</v>
      </c>
      <c r="D1316" t="str">
        <f>HYPERLINK("http://service.sap.com/sap/support/notes/1661347","1661347")</f>
        <v>1661347</v>
      </c>
      <c r="E1316">
        <v>1</v>
      </c>
      <c r="F1316" t="s">
        <v>2020</v>
      </c>
    </row>
    <row r="1317" spans="1:6" x14ac:dyDescent="0.25">
      <c r="A1317" t="s">
        <v>1834</v>
      </c>
      <c r="B1317" t="s">
        <v>127</v>
      </c>
      <c r="C1317" t="s">
        <v>128</v>
      </c>
      <c r="D1317" t="str">
        <f>HYPERLINK("http://service.sap.com/sap/support/notes/1662510","1662510")</f>
        <v>1662510</v>
      </c>
      <c r="E1317">
        <v>1</v>
      </c>
      <c r="F1317" t="s">
        <v>2021</v>
      </c>
    </row>
    <row r="1318" spans="1:6" x14ac:dyDescent="0.25">
      <c r="A1318" t="s">
        <v>1834</v>
      </c>
      <c r="B1318" t="s">
        <v>127</v>
      </c>
      <c r="C1318" t="s">
        <v>128</v>
      </c>
      <c r="D1318" t="str">
        <f>HYPERLINK("http://service.sap.com/sap/support/notes/1663981","1663981")</f>
        <v>1663981</v>
      </c>
      <c r="E1318">
        <v>2</v>
      </c>
      <c r="F1318" t="s">
        <v>2022</v>
      </c>
    </row>
    <row r="1319" spans="1:6" x14ac:dyDescent="0.25">
      <c r="A1319" t="s">
        <v>1834</v>
      </c>
      <c r="B1319" t="s">
        <v>127</v>
      </c>
      <c r="C1319" t="s">
        <v>128</v>
      </c>
      <c r="D1319" t="str">
        <f>HYPERLINK("http://service.sap.com/sap/support/notes/1664034","1664034")</f>
        <v>1664034</v>
      </c>
      <c r="E1319">
        <v>1</v>
      </c>
      <c r="F1319" t="s">
        <v>2023</v>
      </c>
    </row>
    <row r="1320" spans="1:6" x14ac:dyDescent="0.25">
      <c r="A1320" t="s">
        <v>1834</v>
      </c>
      <c r="B1320" t="s">
        <v>127</v>
      </c>
      <c r="C1320" t="s">
        <v>128</v>
      </c>
      <c r="D1320" t="str">
        <f>HYPERLINK("http://service.sap.com/sap/support/notes/1665068","1665068")</f>
        <v>1665068</v>
      </c>
      <c r="E1320">
        <v>3</v>
      </c>
      <c r="F1320" t="s">
        <v>2024</v>
      </c>
    </row>
    <row r="1321" spans="1:6" x14ac:dyDescent="0.25">
      <c r="A1321" t="s">
        <v>1834</v>
      </c>
      <c r="B1321" t="s">
        <v>127</v>
      </c>
      <c r="C1321" t="s">
        <v>128</v>
      </c>
      <c r="D1321" t="str">
        <f>HYPERLINK("http://service.sap.com/sap/support/notes/1667438","1667438")</f>
        <v>1667438</v>
      </c>
      <c r="E1321">
        <v>2</v>
      </c>
      <c r="F1321" t="s">
        <v>2025</v>
      </c>
    </row>
    <row r="1322" spans="1:6" x14ac:dyDescent="0.25">
      <c r="A1322" t="s">
        <v>1834</v>
      </c>
      <c r="B1322" t="s">
        <v>129</v>
      </c>
      <c r="C1322" t="s">
        <v>130</v>
      </c>
      <c r="D1322" t="str">
        <f>HYPERLINK("http://service.sap.com/sap/support/notes/1661444","1661444")</f>
        <v>1661444</v>
      </c>
      <c r="E1322">
        <v>2</v>
      </c>
      <c r="F1322" t="s">
        <v>2026</v>
      </c>
    </row>
    <row r="1323" spans="1:6" x14ac:dyDescent="0.25">
      <c r="A1323" t="s">
        <v>1834</v>
      </c>
      <c r="B1323" t="s">
        <v>131</v>
      </c>
      <c r="C1323" t="s">
        <v>132</v>
      </c>
    </row>
    <row r="1324" spans="1:6" x14ac:dyDescent="0.25">
      <c r="A1324" t="s">
        <v>1834</v>
      </c>
      <c r="B1324" t="s">
        <v>320</v>
      </c>
      <c r="C1324" t="s">
        <v>359</v>
      </c>
      <c r="D1324" t="str">
        <f>HYPERLINK("http://service.sap.com/sap/support/notes/1660381","1660381")</f>
        <v>1660381</v>
      </c>
      <c r="E1324">
        <v>1</v>
      </c>
      <c r="F1324" t="s">
        <v>2027</v>
      </c>
    </row>
    <row r="1325" spans="1:6" x14ac:dyDescent="0.25">
      <c r="A1325" t="s">
        <v>1834</v>
      </c>
      <c r="B1325" t="s">
        <v>133</v>
      </c>
      <c r="C1325" t="s">
        <v>134</v>
      </c>
      <c r="D1325" t="str">
        <f>HYPERLINK("http://service.sap.com/sap/support/notes/1656194","1656194")</f>
        <v>1656194</v>
      </c>
      <c r="E1325">
        <v>4</v>
      </c>
      <c r="F1325" t="s">
        <v>2028</v>
      </c>
    </row>
    <row r="1326" spans="1:6" x14ac:dyDescent="0.25">
      <c r="A1326" t="s">
        <v>1834</v>
      </c>
      <c r="B1326" t="s">
        <v>133</v>
      </c>
      <c r="C1326" t="s">
        <v>134</v>
      </c>
      <c r="D1326" t="str">
        <f>HYPERLINK("http://service.sap.com/sap/support/notes/1658225","1658225")</f>
        <v>1658225</v>
      </c>
      <c r="E1326">
        <v>2</v>
      </c>
      <c r="F1326" t="s">
        <v>2029</v>
      </c>
    </row>
    <row r="1327" spans="1:6" x14ac:dyDescent="0.25">
      <c r="A1327" t="s">
        <v>1834</v>
      </c>
      <c r="B1327" t="s">
        <v>135</v>
      </c>
      <c r="C1327" t="s">
        <v>136</v>
      </c>
      <c r="D1327" t="str">
        <f>HYPERLINK("http://service.sap.com/sap/support/notes/1599687","1599687")</f>
        <v>1599687</v>
      </c>
      <c r="E1327">
        <v>7</v>
      </c>
      <c r="F1327" t="s">
        <v>2030</v>
      </c>
    </row>
    <row r="1328" spans="1:6" x14ac:dyDescent="0.25">
      <c r="A1328" t="s">
        <v>1834</v>
      </c>
      <c r="B1328" t="s">
        <v>135</v>
      </c>
      <c r="C1328" t="s">
        <v>136</v>
      </c>
      <c r="D1328" t="str">
        <f>HYPERLINK("http://service.sap.com/sap/support/notes/1607538","1607538")</f>
        <v>1607538</v>
      </c>
      <c r="E1328">
        <v>8</v>
      </c>
      <c r="F1328" t="s">
        <v>2031</v>
      </c>
    </row>
    <row r="1329" spans="1:6" x14ac:dyDescent="0.25">
      <c r="A1329" t="s">
        <v>1834</v>
      </c>
      <c r="B1329" t="s">
        <v>135</v>
      </c>
      <c r="C1329" t="s">
        <v>136</v>
      </c>
      <c r="D1329" t="str">
        <f>HYPERLINK("http://service.sap.com/sap/support/notes/1640888","1640888")</f>
        <v>1640888</v>
      </c>
      <c r="E1329">
        <v>3</v>
      </c>
      <c r="F1329" t="s">
        <v>2032</v>
      </c>
    </row>
    <row r="1330" spans="1:6" x14ac:dyDescent="0.25">
      <c r="A1330" t="s">
        <v>1834</v>
      </c>
      <c r="B1330" t="s">
        <v>135</v>
      </c>
      <c r="C1330" t="s">
        <v>136</v>
      </c>
      <c r="D1330" t="str">
        <f>HYPERLINK("http://service.sap.com/sap/support/notes/1643931","1643931")</f>
        <v>1643931</v>
      </c>
      <c r="E1330">
        <v>2</v>
      </c>
      <c r="F1330" t="s">
        <v>2033</v>
      </c>
    </row>
    <row r="1331" spans="1:6" x14ac:dyDescent="0.25">
      <c r="A1331" t="s">
        <v>1834</v>
      </c>
      <c r="B1331" t="s">
        <v>135</v>
      </c>
      <c r="C1331" t="s">
        <v>136</v>
      </c>
      <c r="D1331" t="str">
        <f>HYPERLINK("http://service.sap.com/sap/support/notes/1646524","1646524")</f>
        <v>1646524</v>
      </c>
      <c r="E1331">
        <v>3</v>
      </c>
      <c r="F1331" t="s">
        <v>2034</v>
      </c>
    </row>
    <row r="1332" spans="1:6" x14ac:dyDescent="0.25">
      <c r="A1332" t="s">
        <v>1834</v>
      </c>
      <c r="B1332" t="s">
        <v>135</v>
      </c>
      <c r="C1332" t="s">
        <v>136</v>
      </c>
      <c r="D1332" t="str">
        <f>HYPERLINK("http://service.sap.com/sap/support/notes/1649935","1649935")</f>
        <v>1649935</v>
      </c>
      <c r="E1332">
        <v>4</v>
      </c>
      <c r="F1332" t="s">
        <v>2035</v>
      </c>
    </row>
    <row r="1333" spans="1:6" x14ac:dyDescent="0.25">
      <c r="A1333" t="s">
        <v>1834</v>
      </c>
      <c r="B1333" t="s">
        <v>135</v>
      </c>
      <c r="C1333" t="s">
        <v>136</v>
      </c>
      <c r="D1333" t="str">
        <f>HYPERLINK("http://service.sap.com/sap/support/notes/1651612","1651612")</f>
        <v>1651612</v>
      </c>
      <c r="E1333">
        <v>4</v>
      </c>
      <c r="F1333" t="s">
        <v>2036</v>
      </c>
    </row>
    <row r="1334" spans="1:6" x14ac:dyDescent="0.25">
      <c r="A1334" t="s">
        <v>1834</v>
      </c>
      <c r="B1334" t="s">
        <v>135</v>
      </c>
      <c r="C1334" t="s">
        <v>136</v>
      </c>
      <c r="D1334" t="str">
        <f>HYPERLINK("http://service.sap.com/sap/support/notes/1652774","1652774")</f>
        <v>1652774</v>
      </c>
      <c r="E1334">
        <v>2</v>
      </c>
      <c r="F1334" t="s">
        <v>2037</v>
      </c>
    </row>
    <row r="1335" spans="1:6" x14ac:dyDescent="0.25">
      <c r="A1335" t="s">
        <v>1834</v>
      </c>
      <c r="B1335" t="s">
        <v>135</v>
      </c>
      <c r="C1335" t="s">
        <v>136</v>
      </c>
      <c r="D1335" t="str">
        <f>HYPERLINK("http://service.sap.com/sap/support/notes/1654924","1654924")</f>
        <v>1654924</v>
      </c>
      <c r="E1335">
        <v>2</v>
      </c>
      <c r="F1335" t="s">
        <v>2038</v>
      </c>
    </row>
    <row r="1336" spans="1:6" x14ac:dyDescent="0.25">
      <c r="A1336" t="s">
        <v>1834</v>
      </c>
      <c r="B1336" t="s">
        <v>135</v>
      </c>
      <c r="C1336" t="s">
        <v>136</v>
      </c>
      <c r="D1336" t="str">
        <f>HYPERLINK("http://service.sap.com/sap/support/notes/1655401","1655401")</f>
        <v>1655401</v>
      </c>
      <c r="E1336">
        <v>2</v>
      </c>
      <c r="F1336" t="s">
        <v>2039</v>
      </c>
    </row>
    <row r="1337" spans="1:6" x14ac:dyDescent="0.25">
      <c r="A1337" t="s">
        <v>1834</v>
      </c>
      <c r="B1337" t="s">
        <v>135</v>
      </c>
      <c r="C1337" t="s">
        <v>136</v>
      </c>
      <c r="D1337" t="str">
        <f>HYPERLINK("http://service.sap.com/sap/support/notes/1655887","1655887")</f>
        <v>1655887</v>
      </c>
      <c r="E1337">
        <v>2</v>
      </c>
      <c r="F1337" t="s">
        <v>2040</v>
      </c>
    </row>
    <row r="1338" spans="1:6" x14ac:dyDescent="0.25">
      <c r="A1338" t="s">
        <v>1834</v>
      </c>
      <c r="B1338" t="s">
        <v>135</v>
      </c>
      <c r="C1338" t="s">
        <v>136</v>
      </c>
      <c r="D1338" t="str">
        <f>HYPERLINK("http://service.sap.com/sap/support/notes/1655896","1655896")</f>
        <v>1655896</v>
      </c>
      <c r="E1338">
        <v>2</v>
      </c>
      <c r="F1338" t="s">
        <v>2041</v>
      </c>
    </row>
    <row r="1339" spans="1:6" x14ac:dyDescent="0.25">
      <c r="A1339" t="s">
        <v>1834</v>
      </c>
      <c r="B1339" t="s">
        <v>135</v>
      </c>
      <c r="C1339" t="s">
        <v>136</v>
      </c>
      <c r="D1339" t="str">
        <f>HYPERLINK("http://service.sap.com/sap/support/notes/1656222","1656222")</f>
        <v>1656222</v>
      </c>
      <c r="E1339">
        <v>2</v>
      </c>
      <c r="F1339" t="s">
        <v>2042</v>
      </c>
    </row>
    <row r="1340" spans="1:6" x14ac:dyDescent="0.25">
      <c r="A1340" t="s">
        <v>1834</v>
      </c>
      <c r="B1340" t="s">
        <v>135</v>
      </c>
      <c r="C1340" t="s">
        <v>136</v>
      </c>
      <c r="D1340" t="str">
        <f>HYPERLINK("http://service.sap.com/sap/support/notes/1656456","1656456")</f>
        <v>1656456</v>
      </c>
      <c r="E1340">
        <v>3</v>
      </c>
      <c r="F1340" t="s">
        <v>2043</v>
      </c>
    </row>
    <row r="1341" spans="1:6" x14ac:dyDescent="0.25">
      <c r="A1341" t="s">
        <v>1834</v>
      </c>
      <c r="B1341" t="s">
        <v>135</v>
      </c>
      <c r="C1341" t="s">
        <v>136</v>
      </c>
      <c r="D1341" t="str">
        <f>HYPERLINK("http://service.sap.com/sap/support/notes/1656970","1656970")</f>
        <v>1656970</v>
      </c>
      <c r="E1341">
        <v>2</v>
      </c>
      <c r="F1341" t="s">
        <v>2044</v>
      </c>
    </row>
    <row r="1342" spans="1:6" x14ac:dyDescent="0.25">
      <c r="A1342" t="s">
        <v>1834</v>
      </c>
      <c r="B1342" t="s">
        <v>135</v>
      </c>
      <c r="C1342" t="s">
        <v>136</v>
      </c>
      <c r="D1342" t="str">
        <f>HYPERLINK("http://service.sap.com/sap/support/notes/1657982","1657982")</f>
        <v>1657982</v>
      </c>
      <c r="E1342">
        <v>2</v>
      </c>
      <c r="F1342" t="s">
        <v>2045</v>
      </c>
    </row>
    <row r="1343" spans="1:6" x14ac:dyDescent="0.25">
      <c r="A1343" t="s">
        <v>1834</v>
      </c>
      <c r="B1343" t="s">
        <v>135</v>
      </c>
      <c r="C1343" t="s">
        <v>136</v>
      </c>
      <c r="D1343" t="str">
        <f>HYPERLINK("http://service.sap.com/sap/support/notes/1658093","1658093")</f>
        <v>1658093</v>
      </c>
      <c r="E1343">
        <v>5</v>
      </c>
      <c r="F1343" t="s">
        <v>2046</v>
      </c>
    </row>
    <row r="1344" spans="1:6" x14ac:dyDescent="0.25">
      <c r="A1344" t="s">
        <v>1834</v>
      </c>
      <c r="B1344" t="s">
        <v>135</v>
      </c>
      <c r="C1344" t="s">
        <v>136</v>
      </c>
      <c r="D1344" t="str">
        <f>HYPERLINK("http://service.sap.com/sap/support/notes/1658674","1658674")</f>
        <v>1658674</v>
      </c>
      <c r="E1344">
        <v>2</v>
      </c>
      <c r="F1344" t="s">
        <v>2047</v>
      </c>
    </row>
    <row r="1345" spans="1:6" x14ac:dyDescent="0.25">
      <c r="A1345" t="s">
        <v>1834</v>
      </c>
      <c r="B1345" t="s">
        <v>135</v>
      </c>
      <c r="C1345" t="s">
        <v>136</v>
      </c>
      <c r="D1345" t="str">
        <f>HYPERLINK("http://service.sap.com/sap/support/notes/1660679","1660679")</f>
        <v>1660679</v>
      </c>
      <c r="E1345">
        <v>2</v>
      </c>
      <c r="F1345" t="s">
        <v>2048</v>
      </c>
    </row>
    <row r="1346" spans="1:6" x14ac:dyDescent="0.25">
      <c r="A1346" t="s">
        <v>1834</v>
      </c>
      <c r="B1346" t="s">
        <v>135</v>
      </c>
      <c r="C1346" t="s">
        <v>136</v>
      </c>
      <c r="D1346" t="str">
        <f>HYPERLINK("http://service.sap.com/sap/support/notes/1660703","1660703")</f>
        <v>1660703</v>
      </c>
      <c r="E1346">
        <v>2</v>
      </c>
      <c r="F1346" t="s">
        <v>2049</v>
      </c>
    </row>
    <row r="1347" spans="1:6" x14ac:dyDescent="0.25">
      <c r="A1347" t="s">
        <v>1834</v>
      </c>
      <c r="B1347" t="s">
        <v>135</v>
      </c>
      <c r="C1347" t="s">
        <v>136</v>
      </c>
      <c r="D1347" t="str">
        <f>HYPERLINK("http://service.sap.com/sap/support/notes/1661203","1661203")</f>
        <v>1661203</v>
      </c>
      <c r="E1347">
        <v>2</v>
      </c>
      <c r="F1347" t="s">
        <v>2050</v>
      </c>
    </row>
    <row r="1348" spans="1:6" x14ac:dyDescent="0.25">
      <c r="A1348" t="s">
        <v>1834</v>
      </c>
      <c r="B1348" t="s">
        <v>135</v>
      </c>
      <c r="C1348" t="s">
        <v>136</v>
      </c>
      <c r="D1348" t="str">
        <f>HYPERLINK("http://service.sap.com/sap/support/notes/1663311","1663311")</f>
        <v>1663311</v>
      </c>
      <c r="E1348">
        <v>5</v>
      </c>
      <c r="F1348" t="s">
        <v>2051</v>
      </c>
    </row>
    <row r="1349" spans="1:6" x14ac:dyDescent="0.25">
      <c r="A1349" t="s">
        <v>1834</v>
      </c>
      <c r="B1349" t="s">
        <v>135</v>
      </c>
      <c r="C1349" t="s">
        <v>136</v>
      </c>
      <c r="D1349" t="str">
        <f>HYPERLINK("http://service.sap.com/sap/support/notes/1663619","1663619")</f>
        <v>1663619</v>
      </c>
      <c r="E1349">
        <v>2</v>
      </c>
      <c r="F1349" t="s">
        <v>2052</v>
      </c>
    </row>
    <row r="1350" spans="1:6" x14ac:dyDescent="0.25">
      <c r="A1350" t="s">
        <v>1834</v>
      </c>
      <c r="B1350" t="s">
        <v>135</v>
      </c>
      <c r="C1350" t="s">
        <v>136</v>
      </c>
      <c r="D1350" t="str">
        <f>HYPERLINK("http://service.sap.com/sap/support/notes/1664920","1664920")</f>
        <v>1664920</v>
      </c>
      <c r="E1350">
        <v>3</v>
      </c>
      <c r="F1350" t="s">
        <v>2053</v>
      </c>
    </row>
    <row r="1351" spans="1:6" x14ac:dyDescent="0.25">
      <c r="A1351" t="s">
        <v>1834</v>
      </c>
      <c r="B1351" t="s">
        <v>135</v>
      </c>
      <c r="C1351" t="s">
        <v>136</v>
      </c>
      <c r="D1351" t="str">
        <f>HYPERLINK("http://service.sap.com/sap/support/notes/1666057","1666057")</f>
        <v>1666057</v>
      </c>
      <c r="E1351">
        <v>2</v>
      </c>
      <c r="F1351" t="s">
        <v>2054</v>
      </c>
    </row>
    <row r="1352" spans="1:6" x14ac:dyDescent="0.25">
      <c r="A1352" t="s">
        <v>1834</v>
      </c>
      <c r="B1352" t="s">
        <v>135</v>
      </c>
      <c r="C1352" t="s">
        <v>136</v>
      </c>
      <c r="D1352" t="str">
        <f>HYPERLINK("http://service.sap.com/sap/support/notes/1668479","1668479")</f>
        <v>1668479</v>
      </c>
      <c r="E1352">
        <v>1</v>
      </c>
      <c r="F1352" t="s">
        <v>2055</v>
      </c>
    </row>
    <row r="1353" spans="1:6" x14ac:dyDescent="0.25">
      <c r="A1353" t="s">
        <v>1834</v>
      </c>
      <c r="B1353" t="s">
        <v>135</v>
      </c>
      <c r="C1353" t="s">
        <v>136</v>
      </c>
      <c r="D1353" t="str">
        <f>HYPERLINK("http://service.sap.com/sap/support/notes/1668715","1668715")</f>
        <v>1668715</v>
      </c>
      <c r="E1353">
        <v>1</v>
      </c>
      <c r="F1353" t="s">
        <v>2056</v>
      </c>
    </row>
    <row r="1354" spans="1:6" x14ac:dyDescent="0.25">
      <c r="A1354" t="s">
        <v>1834</v>
      </c>
      <c r="B1354" t="s">
        <v>135</v>
      </c>
      <c r="C1354" t="s">
        <v>136</v>
      </c>
      <c r="D1354" t="str">
        <f>HYPERLINK("http://service.sap.com/sap/support/notes/1669335","1669335")</f>
        <v>1669335</v>
      </c>
      <c r="E1354">
        <v>2</v>
      </c>
      <c r="F1354" t="s">
        <v>2057</v>
      </c>
    </row>
    <row r="1355" spans="1:6" x14ac:dyDescent="0.25">
      <c r="A1355" t="s">
        <v>1834</v>
      </c>
      <c r="B1355" t="s">
        <v>137</v>
      </c>
      <c r="C1355" t="s">
        <v>40</v>
      </c>
      <c r="D1355" t="str">
        <f>HYPERLINK("http://service.sap.com/sap/support/notes/1660671","1660671")</f>
        <v>1660671</v>
      </c>
      <c r="E1355">
        <v>1</v>
      </c>
      <c r="F1355" t="s">
        <v>2058</v>
      </c>
    </row>
    <row r="1356" spans="1:6" x14ac:dyDescent="0.25">
      <c r="A1356" t="s">
        <v>1834</v>
      </c>
      <c r="B1356" t="s">
        <v>137</v>
      </c>
      <c r="C1356" t="s">
        <v>40</v>
      </c>
      <c r="D1356" t="str">
        <f>HYPERLINK("http://service.sap.com/sap/support/notes/1661492","1661492")</f>
        <v>1661492</v>
      </c>
      <c r="E1356">
        <v>1</v>
      </c>
      <c r="F1356" t="s">
        <v>2059</v>
      </c>
    </row>
    <row r="1357" spans="1:6" x14ac:dyDescent="0.25">
      <c r="A1357" t="s">
        <v>1834</v>
      </c>
      <c r="B1357" t="s">
        <v>137</v>
      </c>
      <c r="C1357" t="s">
        <v>40</v>
      </c>
      <c r="D1357" t="str">
        <f>HYPERLINK("http://service.sap.com/sap/support/notes/1664451","1664451")</f>
        <v>1664451</v>
      </c>
      <c r="E1357">
        <v>1</v>
      </c>
      <c r="F1357" t="s">
        <v>2060</v>
      </c>
    </row>
    <row r="1358" spans="1:6" x14ac:dyDescent="0.25">
      <c r="A1358" t="s">
        <v>1834</v>
      </c>
      <c r="B1358" t="s">
        <v>137</v>
      </c>
      <c r="C1358" t="s">
        <v>40</v>
      </c>
      <c r="D1358" t="str">
        <f>HYPERLINK("http://service.sap.com/sap/support/notes/1666544","1666544")</f>
        <v>1666544</v>
      </c>
      <c r="E1358">
        <v>1</v>
      </c>
      <c r="F1358" t="s">
        <v>2061</v>
      </c>
    </row>
    <row r="1359" spans="1:6" x14ac:dyDescent="0.25">
      <c r="A1359" t="s">
        <v>1834</v>
      </c>
      <c r="B1359" t="s">
        <v>137</v>
      </c>
      <c r="C1359" t="s">
        <v>40</v>
      </c>
      <c r="D1359" t="str">
        <f>HYPERLINK("http://service.sap.com/sap/support/notes/1669235","1669235")</f>
        <v>1669235</v>
      </c>
      <c r="E1359">
        <v>1</v>
      </c>
      <c r="F1359" t="s">
        <v>2062</v>
      </c>
    </row>
    <row r="1360" spans="1:6" x14ac:dyDescent="0.25">
      <c r="A1360" t="s">
        <v>1834</v>
      </c>
      <c r="B1360" t="s">
        <v>138</v>
      </c>
      <c r="C1360" t="s">
        <v>42</v>
      </c>
      <c r="D1360" t="str">
        <f>HYPERLINK("http://service.sap.com/sap/support/notes/1656071","1656071")</f>
        <v>1656071</v>
      </c>
      <c r="E1360">
        <v>32</v>
      </c>
      <c r="F1360" t="s">
        <v>2063</v>
      </c>
    </row>
    <row r="1361" spans="1:6" x14ac:dyDescent="0.25">
      <c r="A1361" t="s">
        <v>1834</v>
      </c>
      <c r="B1361" t="s">
        <v>138</v>
      </c>
      <c r="C1361" t="s">
        <v>42</v>
      </c>
      <c r="D1361" t="str">
        <f>HYPERLINK("http://service.sap.com/sap/support/notes/1657211","1657211")</f>
        <v>1657211</v>
      </c>
      <c r="E1361">
        <v>4</v>
      </c>
      <c r="F1361" t="s">
        <v>2064</v>
      </c>
    </row>
    <row r="1362" spans="1:6" x14ac:dyDescent="0.25">
      <c r="A1362" t="s">
        <v>1834</v>
      </c>
      <c r="B1362" t="s">
        <v>138</v>
      </c>
      <c r="C1362" t="s">
        <v>42</v>
      </c>
      <c r="D1362" t="str">
        <f>HYPERLINK("http://service.sap.com/sap/support/notes/1658748","1658748")</f>
        <v>1658748</v>
      </c>
      <c r="E1362">
        <v>1</v>
      </c>
      <c r="F1362" t="s">
        <v>2065</v>
      </c>
    </row>
    <row r="1363" spans="1:6" x14ac:dyDescent="0.25">
      <c r="A1363" t="s">
        <v>1834</v>
      </c>
      <c r="B1363" t="s">
        <v>138</v>
      </c>
      <c r="C1363" t="s">
        <v>42</v>
      </c>
      <c r="D1363" t="str">
        <f>HYPERLINK("http://service.sap.com/sap/support/notes/1658942","1658942")</f>
        <v>1658942</v>
      </c>
      <c r="E1363">
        <v>4</v>
      </c>
      <c r="F1363" t="s">
        <v>2066</v>
      </c>
    </row>
    <row r="1364" spans="1:6" x14ac:dyDescent="0.25">
      <c r="A1364" t="s">
        <v>1834</v>
      </c>
      <c r="B1364" t="s">
        <v>138</v>
      </c>
      <c r="C1364" t="s">
        <v>42</v>
      </c>
      <c r="D1364" t="str">
        <f>HYPERLINK("http://service.sap.com/sap/support/notes/1661634","1661634")</f>
        <v>1661634</v>
      </c>
      <c r="E1364">
        <v>1</v>
      </c>
      <c r="F1364" t="s">
        <v>2067</v>
      </c>
    </row>
    <row r="1365" spans="1:6" x14ac:dyDescent="0.25">
      <c r="A1365" t="s">
        <v>1834</v>
      </c>
      <c r="B1365" t="s">
        <v>138</v>
      </c>
      <c r="C1365" t="s">
        <v>42</v>
      </c>
      <c r="D1365" t="str">
        <f>HYPERLINK("http://service.sap.com/sap/support/notes/1662419","1662419")</f>
        <v>1662419</v>
      </c>
      <c r="E1365">
        <v>10</v>
      </c>
      <c r="F1365" t="s">
        <v>2068</v>
      </c>
    </row>
    <row r="1366" spans="1:6" x14ac:dyDescent="0.25">
      <c r="A1366" t="s">
        <v>1834</v>
      </c>
      <c r="B1366" t="s">
        <v>138</v>
      </c>
      <c r="C1366" t="s">
        <v>42</v>
      </c>
      <c r="D1366" t="str">
        <f>HYPERLINK("http://service.sap.com/sap/support/notes/1662431","1662431")</f>
        <v>1662431</v>
      </c>
      <c r="E1366">
        <v>1</v>
      </c>
      <c r="F1366" t="s">
        <v>2069</v>
      </c>
    </row>
    <row r="1367" spans="1:6" x14ac:dyDescent="0.25">
      <c r="A1367" t="s">
        <v>1834</v>
      </c>
      <c r="B1367" t="s">
        <v>138</v>
      </c>
      <c r="C1367" t="s">
        <v>42</v>
      </c>
      <c r="D1367" t="str">
        <f>HYPERLINK("http://service.sap.com/sap/support/notes/1662465","1662465")</f>
        <v>1662465</v>
      </c>
      <c r="E1367">
        <v>1</v>
      </c>
      <c r="F1367" t="s">
        <v>2070</v>
      </c>
    </row>
    <row r="1368" spans="1:6" x14ac:dyDescent="0.25">
      <c r="A1368" t="s">
        <v>1834</v>
      </c>
      <c r="B1368" t="s">
        <v>138</v>
      </c>
      <c r="C1368" t="s">
        <v>42</v>
      </c>
      <c r="D1368" t="str">
        <f>HYPERLINK("http://service.sap.com/sap/support/notes/1665281","1665281")</f>
        <v>1665281</v>
      </c>
      <c r="E1368">
        <v>5</v>
      </c>
      <c r="F1368" t="s">
        <v>2071</v>
      </c>
    </row>
    <row r="1369" spans="1:6" x14ac:dyDescent="0.25">
      <c r="A1369" t="s">
        <v>1834</v>
      </c>
      <c r="B1369" t="s">
        <v>138</v>
      </c>
      <c r="C1369" t="s">
        <v>42</v>
      </c>
      <c r="D1369" t="str">
        <f>HYPERLINK("http://service.sap.com/sap/support/notes/1665414","1665414")</f>
        <v>1665414</v>
      </c>
      <c r="E1369">
        <v>1</v>
      </c>
      <c r="F1369" t="s">
        <v>2072</v>
      </c>
    </row>
    <row r="1370" spans="1:6" x14ac:dyDescent="0.25">
      <c r="A1370" t="s">
        <v>1834</v>
      </c>
      <c r="B1370" t="s">
        <v>138</v>
      </c>
      <c r="C1370" t="s">
        <v>42</v>
      </c>
      <c r="D1370" t="str">
        <f>HYPERLINK("http://service.sap.com/sap/support/notes/1668033","1668033")</f>
        <v>1668033</v>
      </c>
      <c r="E1370">
        <v>1</v>
      </c>
      <c r="F1370" t="s">
        <v>2073</v>
      </c>
    </row>
    <row r="1371" spans="1:6" x14ac:dyDescent="0.25">
      <c r="A1371" t="s">
        <v>1834</v>
      </c>
      <c r="B1371" t="s">
        <v>138</v>
      </c>
      <c r="C1371" t="s">
        <v>42</v>
      </c>
      <c r="D1371" t="str">
        <f>HYPERLINK("http://service.sap.com/sap/support/notes/1668035","1668035")</f>
        <v>1668035</v>
      </c>
      <c r="E1371">
        <v>5</v>
      </c>
      <c r="F1371" t="s">
        <v>2074</v>
      </c>
    </row>
    <row r="1372" spans="1:6" x14ac:dyDescent="0.25">
      <c r="A1372" t="s">
        <v>1834</v>
      </c>
      <c r="B1372" t="s">
        <v>138</v>
      </c>
      <c r="C1372" t="s">
        <v>42</v>
      </c>
      <c r="D1372" t="str">
        <f>HYPERLINK("http://service.sap.com/sap/support/notes/1668979","1668979")</f>
        <v>1668979</v>
      </c>
      <c r="E1372">
        <v>1</v>
      </c>
      <c r="F1372" t="s">
        <v>2075</v>
      </c>
    </row>
    <row r="1373" spans="1:6" x14ac:dyDescent="0.25">
      <c r="A1373" t="s">
        <v>1834</v>
      </c>
      <c r="B1373" t="s">
        <v>138</v>
      </c>
      <c r="C1373" t="s">
        <v>42</v>
      </c>
      <c r="D1373" t="str">
        <f>HYPERLINK("http://service.sap.com/sap/support/notes/1669257","1669257")</f>
        <v>1669257</v>
      </c>
      <c r="E1373">
        <v>1</v>
      </c>
      <c r="F1373" t="s">
        <v>2076</v>
      </c>
    </row>
    <row r="1374" spans="1:6" x14ac:dyDescent="0.25">
      <c r="A1374" t="s">
        <v>1834</v>
      </c>
      <c r="B1374" t="s">
        <v>139</v>
      </c>
      <c r="C1374" t="s">
        <v>140</v>
      </c>
      <c r="D1374" t="str">
        <f>HYPERLINK("http://service.sap.com/sap/support/notes/1660438","1660438")</f>
        <v>1660438</v>
      </c>
      <c r="E1374">
        <v>1</v>
      </c>
      <c r="F1374" t="s">
        <v>2077</v>
      </c>
    </row>
    <row r="1375" spans="1:6" x14ac:dyDescent="0.25">
      <c r="A1375" t="s">
        <v>1834</v>
      </c>
      <c r="B1375" t="s">
        <v>139</v>
      </c>
      <c r="C1375" t="s">
        <v>140</v>
      </c>
      <c r="D1375" t="str">
        <f>HYPERLINK("http://service.sap.com/sap/support/notes/1660484","1660484")</f>
        <v>1660484</v>
      </c>
      <c r="E1375">
        <v>3</v>
      </c>
      <c r="F1375" t="s">
        <v>2078</v>
      </c>
    </row>
    <row r="1376" spans="1:6" x14ac:dyDescent="0.25">
      <c r="A1376" t="s">
        <v>1834</v>
      </c>
      <c r="B1376" t="s">
        <v>322</v>
      </c>
      <c r="C1376" t="s">
        <v>115</v>
      </c>
    </row>
    <row r="1377" spans="1:6" x14ac:dyDescent="0.25">
      <c r="A1377" t="s">
        <v>1834</v>
      </c>
      <c r="B1377" t="s">
        <v>427</v>
      </c>
      <c r="C1377" t="s">
        <v>428</v>
      </c>
      <c r="D1377" t="str">
        <f>HYPERLINK("http://service.sap.com/sap/support/notes/1662758","1662758")</f>
        <v>1662758</v>
      </c>
      <c r="E1377">
        <v>1</v>
      </c>
      <c r="F1377" t="s">
        <v>2079</v>
      </c>
    </row>
    <row r="1378" spans="1:6" x14ac:dyDescent="0.25">
      <c r="A1378" t="s">
        <v>1834</v>
      </c>
      <c r="B1378" t="s">
        <v>427</v>
      </c>
      <c r="C1378" t="s">
        <v>428</v>
      </c>
      <c r="D1378" t="str">
        <f>HYPERLINK("http://service.sap.com/sap/support/notes/1665654","1665654")</f>
        <v>1665654</v>
      </c>
      <c r="E1378">
        <v>1</v>
      </c>
      <c r="F1378" t="s">
        <v>2080</v>
      </c>
    </row>
    <row r="1379" spans="1:6" x14ac:dyDescent="0.25">
      <c r="A1379" t="s">
        <v>1834</v>
      </c>
      <c r="B1379" t="s">
        <v>427</v>
      </c>
      <c r="C1379" t="s">
        <v>428</v>
      </c>
      <c r="D1379" t="str">
        <f>HYPERLINK("http://service.sap.com/sap/support/notes/1668659","1668659")</f>
        <v>1668659</v>
      </c>
      <c r="E1379">
        <v>1</v>
      </c>
      <c r="F1379" t="s">
        <v>2081</v>
      </c>
    </row>
    <row r="1380" spans="1:6" x14ac:dyDescent="0.25">
      <c r="A1380" t="s">
        <v>1834</v>
      </c>
      <c r="B1380" t="s">
        <v>384</v>
      </c>
      <c r="C1380" t="s">
        <v>385</v>
      </c>
      <c r="D1380" t="str">
        <f>HYPERLINK("http://service.sap.com/sap/support/notes/1660268","1660268")</f>
        <v>1660268</v>
      </c>
      <c r="E1380">
        <v>1</v>
      </c>
      <c r="F1380" t="s">
        <v>2082</v>
      </c>
    </row>
    <row r="1381" spans="1:6" x14ac:dyDescent="0.25">
      <c r="A1381" t="s">
        <v>1834</v>
      </c>
      <c r="B1381" t="s">
        <v>143</v>
      </c>
      <c r="C1381" t="s">
        <v>132</v>
      </c>
    </row>
    <row r="1382" spans="1:6" x14ac:dyDescent="0.25">
      <c r="A1382" t="s">
        <v>1834</v>
      </c>
      <c r="B1382" t="s">
        <v>144</v>
      </c>
      <c r="C1382" t="s">
        <v>145</v>
      </c>
      <c r="D1382" t="str">
        <f>HYPERLINK("http://service.sap.com/sap/support/notes/1573373","1573373")</f>
        <v>1573373</v>
      </c>
      <c r="E1382">
        <v>1</v>
      </c>
      <c r="F1382" t="s">
        <v>2083</v>
      </c>
    </row>
    <row r="1383" spans="1:6" x14ac:dyDescent="0.25">
      <c r="A1383" t="s">
        <v>1834</v>
      </c>
      <c r="B1383" t="s">
        <v>144</v>
      </c>
      <c r="C1383" t="s">
        <v>145</v>
      </c>
      <c r="D1383" t="str">
        <f>HYPERLINK("http://service.sap.com/sap/support/notes/1589464","1589464")</f>
        <v>1589464</v>
      </c>
      <c r="E1383">
        <v>2</v>
      </c>
      <c r="F1383" t="s">
        <v>2084</v>
      </c>
    </row>
    <row r="1384" spans="1:6" x14ac:dyDescent="0.25">
      <c r="A1384" t="s">
        <v>1834</v>
      </c>
      <c r="B1384" t="s">
        <v>144</v>
      </c>
      <c r="C1384" t="s">
        <v>145</v>
      </c>
      <c r="D1384" t="str">
        <f>HYPERLINK("http://service.sap.com/sap/support/notes/1659913","1659913")</f>
        <v>1659913</v>
      </c>
      <c r="E1384">
        <v>1</v>
      </c>
      <c r="F1384" t="s">
        <v>2085</v>
      </c>
    </row>
    <row r="1385" spans="1:6" x14ac:dyDescent="0.25">
      <c r="A1385" t="s">
        <v>1834</v>
      </c>
      <c r="B1385" t="s">
        <v>146</v>
      </c>
      <c r="C1385" t="s">
        <v>147</v>
      </c>
      <c r="D1385" t="str">
        <f>HYPERLINK("http://service.sap.com/sap/support/notes/1647081","1647081")</f>
        <v>1647081</v>
      </c>
      <c r="E1385">
        <v>2</v>
      </c>
      <c r="F1385" t="s">
        <v>2086</v>
      </c>
    </row>
    <row r="1386" spans="1:6" x14ac:dyDescent="0.25">
      <c r="A1386" t="s">
        <v>1834</v>
      </c>
      <c r="B1386" t="s">
        <v>146</v>
      </c>
      <c r="C1386" t="s">
        <v>147</v>
      </c>
      <c r="D1386" t="str">
        <f>HYPERLINK("http://service.sap.com/sap/support/notes/1655996","1655996")</f>
        <v>1655996</v>
      </c>
      <c r="E1386">
        <v>1</v>
      </c>
      <c r="F1386" t="s">
        <v>2087</v>
      </c>
    </row>
    <row r="1387" spans="1:6" x14ac:dyDescent="0.25">
      <c r="A1387" t="s">
        <v>1834</v>
      </c>
      <c r="B1387" t="s">
        <v>146</v>
      </c>
      <c r="C1387" t="s">
        <v>147</v>
      </c>
      <c r="D1387" t="str">
        <f>HYPERLINK("http://service.sap.com/sap/support/notes/1661779","1661779")</f>
        <v>1661779</v>
      </c>
      <c r="E1387">
        <v>1</v>
      </c>
      <c r="F1387" t="s">
        <v>2088</v>
      </c>
    </row>
    <row r="1388" spans="1:6" x14ac:dyDescent="0.25">
      <c r="A1388" t="s">
        <v>1834</v>
      </c>
      <c r="B1388" t="s">
        <v>146</v>
      </c>
      <c r="C1388" t="s">
        <v>147</v>
      </c>
      <c r="D1388" t="str">
        <f>HYPERLINK("http://service.sap.com/sap/support/notes/1663414","1663414")</f>
        <v>1663414</v>
      </c>
      <c r="E1388">
        <v>1</v>
      </c>
      <c r="F1388" t="s">
        <v>2089</v>
      </c>
    </row>
    <row r="1389" spans="1:6" x14ac:dyDescent="0.25">
      <c r="A1389" t="s">
        <v>1834</v>
      </c>
      <c r="B1389" t="s">
        <v>146</v>
      </c>
      <c r="C1389" t="s">
        <v>147</v>
      </c>
      <c r="D1389" t="str">
        <f>HYPERLINK("http://service.sap.com/sap/support/notes/1668529","1668529")</f>
        <v>1668529</v>
      </c>
      <c r="E1389">
        <v>1</v>
      </c>
      <c r="F1389" t="s">
        <v>2090</v>
      </c>
    </row>
    <row r="1390" spans="1:6" x14ac:dyDescent="0.25">
      <c r="A1390" t="s">
        <v>1834</v>
      </c>
      <c r="B1390" t="s">
        <v>148</v>
      </c>
      <c r="C1390" t="s">
        <v>45</v>
      </c>
      <c r="D1390" t="str">
        <f>HYPERLINK("http://service.sap.com/sap/support/notes/1655690","1655690")</f>
        <v>1655690</v>
      </c>
      <c r="E1390">
        <v>2</v>
      </c>
      <c r="F1390" t="s">
        <v>2091</v>
      </c>
    </row>
    <row r="1391" spans="1:6" x14ac:dyDescent="0.25">
      <c r="A1391" t="s">
        <v>1834</v>
      </c>
      <c r="B1391" t="s">
        <v>148</v>
      </c>
      <c r="C1391" t="s">
        <v>45</v>
      </c>
      <c r="D1391" t="str">
        <f>HYPERLINK("http://service.sap.com/sap/support/notes/1660361","1660361")</f>
        <v>1660361</v>
      </c>
      <c r="E1391">
        <v>8</v>
      </c>
      <c r="F1391" t="s">
        <v>2092</v>
      </c>
    </row>
    <row r="1392" spans="1:6" x14ac:dyDescent="0.25">
      <c r="A1392" t="s">
        <v>1834</v>
      </c>
      <c r="B1392" t="s">
        <v>149</v>
      </c>
      <c r="C1392" t="s">
        <v>150</v>
      </c>
      <c r="D1392" t="str">
        <f>HYPERLINK("http://service.sap.com/sap/support/notes/1623112","1623112")</f>
        <v>1623112</v>
      </c>
      <c r="E1392">
        <v>2</v>
      </c>
      <c r="F1392" t="s">
        <v>2093</v>
      </c>
    </row>
    <row r="1393" spans="1:6" x14ac:dyDescent="0.25">
      <c r="A1393" t="s">
        <v>1834</v>
      </c>
      <c r="B1393" t="s">
        <v>149</v>
      </c>
      <c r="C1393" t="s">
        <v>150</v>
      </c>
      <c r="D1393" t="str">
        <f>HYPERLINK("http://service.sap.com/sap/support/notes/1648129","1648129")</f>
        <v>1648129</v>
      </c>
      <c r="E1393">
        <v>1</v>
      </c>
      <c r="F1393" t="s">
        <v>2094</v>
      </c>
    </row>
    <row r="1394" spans="1:6" x14ac:dyDescent="0.25">
      <c r="A1394" t="s">
        <v>1834</v>
      </c>
      <c r="B1394" t="s">
        <v>149</v>
      </c>
      <c r="C1394" t="s">
        <v>150</v>
      </c>
      <c r="D1394" t="str">
        <f>HYPERLINK("http://service.sap.com/sap/support/notes/1648130","1648130")</f>
        <v>1648130</v>
      </c>
      <c r="E1394">
        <v>2</v>
      </c>
      <c r="F1394" t="s">
        <v>2095</v>
      </c>
    </row>
    <row r="1395" spans="1:6" x14ac:dyDescent="0.25">
      <c r="A1395" t="s">
        <v>1834</v>
      </c>
      <c r="B1395" t="s">
        <v>149</v>
      </c>
      <c r="C1395" t="s">
        <v>150</v>
      </c>
      <c r="D1395" t="str">
        <f>HYPERLINK("http://service.sap.com/sap/support/notes/1655612","1655612")</f>
        <v>1655612</v>
      </c>
      <c r="E1395">
        <v>1</v>
      </c>
      <c r="F1395" t="s">
        <v>2096</v>
      </c>
    </row>
    <row r="1396" spans="1:6" x14ac:dyDescent="0.25">
      <c r="A1396" t="s">
        <v>1834</v>
      </c>
      <c r="B1396" t="s">
        <v>149</v>
      </c>
      <c r="C1396" t="s">
        <v>150</v>
      </c>
      <c r="D1396" t="str">
        <f>HYPERLINK("http://service.sap.com/sap/support/notes/1659048","1659048")</f>
        <v>1659048</v>
      </c>
      <c r="E1396">
        <v>1</v>
      </c>
      <c r="F1396" t="s">
        <v>2097</v>
      </c>
    </row>
    <row r="1397" spans="1:6" x14ac:dyDescent="0.25">
      <c r="A1397" t="s">
        <v>1834</v>
      </c>
      <c r="B1397" t="s">
        <v>149</v>
      </c>
      <c r="C1397" t="s">
        <v>150</v>
      </c>
      <c r="D1397" t="str">
        <f>HYPERLINK("http://service.sap.com/sap/support/notes/1662799","1662799")</f>
        <v>1662799</v>
      </c>
      <c r="E1397">
        <v>1</v>
      </c>
      <c r="F1397" t="s">
        <v>2098</v>
      </c>
    </row>
    <row r="1398" spans="1:6" x14ac:dyDescent="0.25">
      <c r="A1398" t="s">
        <v>1834</v>
      </c>
      <c r="B1398" t="s">
        <v>149</v>
      </c>
      <c r="C1398" t="s">
        <v>150</v>
      </c>
      <c r="D1398" t="str">
        <f>HYPERLINK("http://service.sap.com/sap/support/notes/1665960","1665960")</f>
        <v>1665960</v>
      </c>
      <c r="E1398">
        <v>7</v>
      </c>
      <c r="F1398" t="s">
        <v>2099</v>
      </c>
    </row>
    <row r="1399" spans="1:6" x14ac:dyDescent="0.25">
      <c r="A1399" t="s">
        <v>1834</v>
      </c>
      <c r="B1399" t="s">
        <v>149</v>
      </c>
      <c r="C1399" t="s">
        <v>150</v>
      </c>
      <c r="D1399" t="str">
        <f>HYPERLINK("http://service.sap.com/sap/support/notes/1666725","1666725")</f>
        <v>1666725</v>
      </c>
      <c r="E1399">
        <v>1</v>
      </c>
      <c r="F1399" t="s">
        <v>2100</v>
      </c>
    </row>
    <row r="1400" spans="1:6" x14ac:dyDescent="0.25">
      <c r="A1400" t="s">
        <v>1834</v>
      </c>
      <c r="B1400" t="s">
        <v>149</v>
      </c>
      <c r="C1400" t="s">
        <v>150</v>
      </c>
      <c r="D1400" t="str">
        <f>HYPERLINK("http://service.sap.com/sap/support/notes/1666947","1666947")</f>
        <v>1666947</v>
      </c>
      <c r="E1400">
        <v>1</v>
      </c>
      <c r="F1400" t="s">
        <v>2101</v>
      </c>
    </row>
    <row r="1401" spans="1:6" x14ac:dyDescent="0.25">
      <c r="A1401" t="s">
        <v>1834</v>
      </c>
      <c r="B1401" t="s">
        <v>149</v>
      </c>
      <c r="C1401" t="s">
        <v>150</v>
      </c>
      <c r="D1401" t="str">
        <f>HYPERLINK("http://service.sap.com/sap/support/notes/1667692","1667692")</f>
        <v>1667692</v>
      </c>
      <c r="E1401">
        <v>2</v>
      </c>
      <c r="F1401" t="s">
        <v>2102</v>
      </c>
    </row>
    <row r="1402" spans="1:6" x14ac:dyDescent="0.25">
      <c r="A1402" t="s">
        <v>1834</v>
      </c>
      <c r="B1402" t="s">
        <v>2103</v>
      </c>
      <c r="C1402" t="s">
        <v>132</v>
      </c>
    </row>
    <row r="1403" spans="1:6" x14ac:dyDescent="0.25">
      <c r="A1403" t="s">
        <v>1834</v>
      </c>
      <c r="B1403" t="s">
        <v>2104</v>
      </c>
      <c r="C1403" t="s">
        <v>145</v>
      </c>
      <c r="D1403" t="str">
        <f>HYPERLINK("http://service.sap.com/sap/support/notes/1659313","1659313")</f>
        <v>1659313</v>
      </c>
      <c r="E1403">
        <v>1</v>
      </c>
      <c r="F1403" t="s">
        <v>2105</v>
      </c>
    </row>
    <row r="1404" spans="1:6" x14ac:dyDescent="0.25">
      <c r="A1404" t="s">
        <v>1834</v>
      </c>
      <c r="B1404" t="s">
        <v>2104</v>
      </c>
      <c r="C1404" t="s">
        <v>145</v>
      </c>
      <c r="D1404" t="str">
        <f>HYPERLINK("http://service.sap.com/sap/support/notes/1660244","1660244")</f>
        <v>1660244</v>
      </c>
      <c r="E1404">
        <v>1</v>
      </c>
      <c r="F1404" t="s">
        <v>2106</v>
      </c>
    </row>
    <row r="1405" spans="1:6" x14ac:dyDescent="0.25">
      <c r="A1405" t="s">
        <v>1834</v>
      </c>
      <c r="B1405" t="s">
        <v>2104</v>
      </c>
      <c r="C1405" t="s">
        <v>145</v>
      </c>
      <c r="D1405" t="str">
        <f>HYPERLINK("http://service.sap.com/sap/support/notes/1660245","1660245")</f>
        <v>1660245</v>
      </c>
      <c r="E1405">
        <v>1</v>
      </c>
      <c r="F1405" t="s">
        <v>2107</v>
      </c>
    </row>
    <row r="1406" spans="1:6" x14ac:dyDescent="0.25">
      <c r="A1406" t="s">
        <v>1834</v>
      </c>
      <c r="B1406" t="s">
        <v>152</v>
      </c>
      <c r="C1406" t="s">
        <v>47</v>
      </c>
      <c r="D1406" t="str">
        <f>HYPERLINK("http://service.sap.com/sap/support/notes/1623069","1623069")</f>
        <v>1623069</v>
      </c>
      <c r="E1406">
        <v>4</v>
      </c>
      <c r="F1406" t="s">
        <v>2108</v>
      </c>
    </row>
    <row r="1407" spans="1:6" x14ac:dyDescent="0.25">
      <c r="A1407" t="s">
        <v>1834</v>
      </c>
      <c r="B1407" t="s">
        <v>152</v>
      </c>
      <c r="C1407" t="s">
        <v>47</v>
      </c>
      <c r="D1407" t="str">
        <f>HYPERLINK("http://service.sap.com/sap/support/notes/1624556","1624556")</f>
        <v>1624556</v>
      </c>
      <c r="E1407">
        <v>2</v>
      </c>
      <c r="F1407" t="s">
        <v>2109</v>
      </c>
    </row>
    <row r="1408" spans="1:6" x14ac:dyDescent="0.25">
      <c r="A1408" t="s">
        <v>1834</v>
      </c>
      <c r="B1408" t="s">
        <v>155</v>
      </c>
      <c r="C1408" t="s">
        <v>49</v>
      </c>
      <c r="D1408" t="str">
        <f>HYPERLINK("http://service.sap.com/sap/support/notes/1642325","1642325")</f>
        <v>1642325</v>
      </c>
      <c r="E1408">
        <v>3</v>
      </c>
      <c r="F1408" t="s">
        <v>2110</v>
      </c>
    </row>
    <row r="1409" spans="1:6" x14ac:dyDescent="0.25">
      <c r="A1409" t="s">
        <v>1834</v>
      </c>
      <c r="B1409" t="s">
        <v>155</v>
      </c>
      <c r="C1409" t="s">
        <v>49</v>
      </c>
      <c r="D1409" t="str">
        <f>HYPERLINK("http://service.sap.com/sap/support/notes/1646301","1646301")</f>
        <v>1646301</v>
      </c>
      <c r="E1409">
        <v>1</v>
      </c>
      <c r="F1409" t="s">
        <v>2111</v>
      </c>
    </row>
    <row r="1410" spans="1:6" x14ac:dyDescent="0.25">
      <c r="A1410" t="s">
        <v>1834</v>
      </c>
      <c r="B1410" t="s">
        <v>155</v>
      </c>
      <c r="C1410" t="s">
        <v>49</v>
      </c>
      <c r="D1410" t="str">
        <f>HYPERLINK("http://service.sap.com/sap/support/notes/1654738","1654738")</f>
        <v>1654738</v>
      </c>
      <c r="E1410">
        <v>3</v>
      </c>
      <c r="F1410" t="s">
        <v>2112</v>
      </c>
    </row>
    <row r="1411" spans="1:6" x14ac:dyDescent="0.25">
      <c r="A1411" t="s">
        <v>1834</v>
      </c>
      <c r="B1411" t="s">
        <v>155</v>
      </c>
      <c r="C1411" t="s">
        <v>49</v>
      </c>
      <c r="D1411" t="str">
        <f>HYPERLINK("http://service.sap.com/sap/support/notes/1656432","1656432")</f>
        <v>1656432</v>
      </c>
      <c r="E1411">
        <v>1</v>
      </c>
      <c r="F1411" t="s">
        <v>2113</v>
      </c>
    </row>
    <row r="1412" spans="1:6" x14ac:dyDescent="0.25">
      <c r="A1412" t="s">
        <v>1834</v>
      </c>
      <c r="B1412" t="s">
        <v>155</v>
      </c>
      <c r="C1412" t="s">
        <v>49</v>
      </c>
      <c r="D1412" t="str">
        <f>HYPERLINK("http://service.sap.com/sap/support/notes/1657368","1657368")</f>
        <v>1657368</v>
      </c>
      <c r="E1412">
        <v>2</v>
      </c>
      <c r="F1412" t="s">
        <v>2114</v>
      </c>
    </row>
    <row r="1413" spans="1:6" x14ac:dyDescent="0.25">
      <c r="A1413" t="s">
        <v>1834</v>
      </c>
      <c r="B1413" t="s">
        <v>156</v>
      </c>
      <c r="C1413" t="s">
        <v>52</v>
      </c>
      <c r="D1413" t="str">
        <f>HYPERLINK("http://service.sap.com/sap/support/notes/1656041","1656041")</f>
        <v>1656041</v>
      </c>
      <c r="E1413">
        <v>1</v>
      </c>
      <c r="F1413" t="s">
        <v>2115</v>
      </c>
    </row>
    <row r="1414" spans="1:6" x14ac:dyDescent="0.25">
      <c r="A1414" t="s">
        <v>1834</v>
      </c>
      <c r="B1414" t="s">
        <v>156</v>
      </c>
      <c r="C1414" t="s">
        <v>52</v>
      </c>
      <c r="D1414" t="str">
        <f>HYPERLINK("http://service.sap.com/sap/support/notes/1656980","1656980")</f>
        <v>1656980</v>
      </c>
      <c r="E1414">
        <v>2</v>
      </c>
      <c r="F1414" t="s">
        <v>2116</v>
      </c>
    </row>
    <row r="1415" spans="1:6" x14ac:dyDescent="0.25">
      <c r="A1415" t="s">
        <v>1834</v>
      </c>
      <c r="B1415" t="s">
        <v>156</v>
      </c>
      <c r="C1415" t="s">
        <v>52</v>
      </c>
      <c r="D1415" t="str">
        <f>HYPERLINK("http://service.sap.com/sap/support/notes/1657655","1657655")</f>
        <v>1657655</v>
      </c>
      <c r="E1415">
        <v>1</v>
      </c>
      <c r="F1415" t="s">
        <v>2117</v>
      </c>
    </row>
    <row r="1416" spans="1:6" x14ac:dyDescent="0.25">
      <c r="A1416" t="s">
        <v>1834</v>
      </c>
      <c r="B1416" t="s">
        <v>156</v>
      </c>
      <c r="C1416" t="s">
        <v>52</v>
      </c>
      <c r="D1416" t="str">
        <f>HYPERLINK("http://service.sap.com/sap/support/notes/1658109","1658109")</f>
        <v>1658109</v>
      </c>
      <c r="E1416">
        <v>4</v>
      </c>
      <c r="F1416" t="s">
        <v>2118</v>
      </c>
    </row>
    <row r="1417" spans="1:6" x14ac:dyDescent="0.25">
      <c r="A1417" t="s">
        <v>1834</v>
      </c>
      <c r="B1417" t="s">
        <v>156</v>
      </c>
      <c r="C1417" t="s">
        <v>52</v>
      </c>
      <c r="D1417" t="str">
        <f>HYPERLINK("http://service.sap.com/sap/support/notes/1658780","1658780")</f>
        <v>1658780</v>
      </c>
      <c r="E1417">
        <v>2</v>
      </c>
      <c r="F1417" t="s">
        <v>2119</v>
      </c>
    </row>
    <row r="1418" spans="1:6" x14ac:dyDescent="0.25">
      <c r="A1418" t="s">
        <v>1834</v>
      </c>
      <c r="B1418" t="s">
        <v>156</v>
      </c>
      <c r="C1418" t="s">
        <v>52</v>
      </c>
      <c r="D1418" t="str">
        <f>HYPERLINK("http://service.sap.com/sap/support/notes/1661329","1661329")</f>
        <v>1661329</v>
      </c>
      <c r="E1418">
        <v>1</v>
      </c>
      <c r="F1418" t="s">
        <v>2120</v>
      </c>
    </row>
    <row r="1419" spans="1:6" x14ac:dyDescent="0.25">
      <c r="A1419" t="s">
        <v>1834</v>
      </c>
      <c r="B1419" t="s">
        <v>156</v>
      </c>
      <c r="C1419" t="s">
        <v>52</v>
      </c>
      <c r="D1419" t="str">
        <f>HYPERLINK("http://service.sap.com/sap/support/notes/1661955","1661955")</f>
        <v>1661955</v>
      </c>
      <c r="E1419">
        <v>1</v>
      </c>
      <c r="F1419" t="s">
        <v>2121</v>
      </c>
    </row>
    <row r="1420" spans="1:6" x14ac:dyDescent="0.25">
      <c r="A1420" t="s">
        <v>1834</v>
      </c>
      <c r="B1420" t="s">
        <v>156</v>
      </c>
      <c r="C1420" t="s">
        <v>52</v>
      </c>
      <c r="D1420" t="str">
        <f>HYPERLINK("http://service.sap.com/sap/support/notes/1663390","1663390")</f>
        <v>1663390</v>
      </c>
      <c r="E1420">
        <v>1</v>
      </c>
      <c r="F1420" t="s">
        <v>2122</v>
      </c>
    </row>
    <row r="1421" spans="1:6" x14ac:dyDescent="0.25">
      <c r="A1421" t="s">
        <v>1834</v>
      </c>
      <c r="B1421" t="s">
        <v>156</v>
      </c>
      <c r="C1421" t="s">
        <v>52</v>
      </c>
      <c r="D1421" t="str">
        <f>HYPERLINK("http://service.sap.com/sap/support/notes/1665053","1665053")</f>
        <v>1665053</v>
      </c>
      <c r="E1421">
        <v>1</v>
      </c>
      <c r="F1421" t="s">
        <v>2123</v>
      </c>
    </row>
    <row r="1422" spans="1:6" x14ac:dyDescent="0.25">
      <c r="A1422" t="s">
        <v>1834</v>
      </c>
      <c r="B1422" t="s">
        <v>156</v>
      </c>
      <c r="C1422" t="s">
        <v>52</v>
      </c>
      <c r="D1422" t="str">
        <f>HYPERLINK("http://service.sap.com/sap/support/notes/1665709","1665709")</f>
        <v>1665709</v>
      </c>
      <c r="E1422">
        <v>1</v>
      </c>
      <c r="F1422" t="s">
        <v>2124</v>
      </c>
    </row>
    <row r="1423" spans="1:6" x14ac:dyDescent="0.25">
      <c r="A1423" t="s">
        <v>1834</v>
      </c>
      <c r="B1423" t="s">
        <v>156</v>
      </c>
      <c r="C1423" t="s">
        <v>52</v>
      </c>
      <c r="D1423" t="str">
        <f>HYPERLINK("http://service.sap.com/sap/support/notes/1668500","1668500")</f>
        <v>1668500</v>
      </c>
      <c r="E1423">
        <v>1</v>
      </c>
      <c r="F1423" t="s">
        <v>2125</v>
      </c>
    </row>
    <row r="1424" spans="1:6" x14ac:dyDescent="0.25">
      <c r="A1424" t="s">
        <v>1834</v>
      </c>
      <c r="B1424" t="s">
        <v>158</v>
      </c>
      <c r="C1424" t="s">
        <v>54</v>
      </c>
      <c r="D1424" t="str">
        <f>HYPERLINK("http://service.sap.com/sap/support/notes/1662364","1662364")</f>
        <v>1662364</v>
      </c>
      <c r="E1424">
        <v>3</v>
      </c>
      <c r="F1424" t="s">
        <v>2126</v>
      </c>
    </row>
    <row r="1425" spans="1:6" x14ac:dyDescent="0.25">
      <c r="A1425" t="s">
        <v>1834</v>
      </c>
      <c r="B1425" t="s">
        <v>158</v>
      </c>
      <c r="C1425" t="s">
        <v>54</v>
      </c>
      <c r="D1425" t="str">
        <f>HYPERLINK("http://service.sap.com/sap/support/notes/1665624","1665624")</f>
        <v>1665624</v>
      </c>
      <c r="E1425">
        <v>2</v>
      </c>
      <c r="F1425" t="s">
        <v>2127</v>
      </c>
    </row>
    <row r="1426" spans="1:6" x14ac:dyDescent="0.25">
      <c r="A1426" t="s">
        <v>1834</v>
      </c>
      <c r="B1426" t="s">
        <v>158</v>
      </c>
      <c r="C1426" t="s">
        <v>54</v>
      </c>
      <c r="D1426" t="str">
        <f>HYPERLINK("http://service.sap.com/sap/support/notes/1666185","1666185")</f>
        <v>1666185</v>
      </c>
      <c r="E1426">
        <v>1</v>
      </c>
      <c r="F1426" t="s">
        <v>2128</v>
      </c>
    </row>
    <row r="1427" spans="1:6" x14ac:dyDescent="0.25">
      <c r="A1427" t="s">
        <v>1834</v>
      </c>
      <c r="B1427" t="s">
        <v>159</v>
      </c>
      <c r="C1427" t="s">
        <v>160</v>
      </c>
      <c r="D1427" t="str">
        <f>HYPERLINK("http://service.sap.com/sap/support/notes/1656438","1656438")</f>
        <v>1656438</v>
      </c>
      <c r="E1427">
        <v>2</v>
      </c>
      <c r="F1427" t="s">
        <v>2129</v>
      </c>
    </row>
    <row r="1428" spans="1:6" x14ac:dyDescent="0.25">
      <c r="A1428" t="s">
        <v>1834</v>
      </c>
      <c r="B1428" t="s">
        <v>159</v>
      </c>
      <c r="C1428" t="s">
        <v>160</v>
      </c>
      <c r="D1428" t="str">
        <f>HYPERLINK("http://service.sap.com/sap/support/notes/1663278","1663278")</f>
        <v>1663278</v>
      </c>
      <c r="E1428">
        <v>2</v>
      </c>
      <c r="F1428" t="s">
        <v>2130</v>
      </c>
    </row>
    <row r="1429" spans="1:6" x14ac:dyDescent="0.25">
      <c r="A1429" t="s">
        <v>1834</v>
      </c>
      <c r="B1429" t="s">
        <v>159</v>
      </c>
      <c r="C1429" t="s">
        <v>160</v>
      </c>
      <c r="D1429" t="str">
        <f>HYPERLINK("http://service.sap.com/sap/support/notes/1664225","1664225")</f>
        <v>1664225</v>
      </c>
      <c r="E1429">
        <v>2</v>
      </c>
      <c r="F1429" t="s">
        <v>2131</v>
      </c>
    </row>
    <row r="1430" spans="1:6" x14ac:dyDescent="0.25">
      <c r="A1430" t="s">
        <v>1834</v>
      </c>
      <c r="B1430" t="s">
        <v>159</v>
      </c>
      <c r="C1430" t="s">
        <v>160</v>
      </c>
      <c r="D1430" t="str">
        <f>HYPERLINK("http://service.sap.com/sap/support/notes/1666771","1666771")</f>
        <v>1666771</v>
      </c>
      <c r="E1430">
        <v>1</v>
      </c>
      <c r="F1430" t="s">
        <v>2132</v>
      </c>
    </row>
    <row r="1431" spans="1:6" x14ac:dyDescent="0.25">
      <c r="A1431" t="s">
        <v>1834</v>
      </c>
      <c r="B1431" t="s">
        <v>163</v>
      </c>
      <c r="C1431" t="s">
        <v>56</v>
      </c>
      <c r="D1431" t="str">
        <f>HYPERLINK("http://service.sap.com/sap/support/notes/1655025","1655025")</f>
        <v>1655025</v>
      </c>
      <c r="E1431">
        <v>2</v>
      </c>
      <c r="F1431" t="s">
        <v>2133</v>
      </c>
    </row>
    <row r="1432" spans="1:6" x14ac:dyDescent="0.25">
      <c r="A1432" t="s">
        <v>1834</v>
      </c>
      <c r="B1432" t="s">
        <v>163</v>
      </c>
      <c r="C1432" t="s">
        <v>56</v>
      </c>
      <c r="D1432" t="str">
        <f>HYPERLINK("http://service.sap.com/sap/support/notes/1655030","1655030")</f>
        <v>1655030</v>
      </c>
      <c r="E1432">
        <v>2</v>
      </c>
      <c r="F1432" t="s">
        <v>2134</v>
      </c>
    </row>
    <row r="1433" spans="1:6" x14ac:dyDescent="0.25">
      <c r="A1433" t="s">
        <v>1834</v>
      </c>
      <c r="B1433" t="s">
        <v>163</v>
      </c>
      <c r="C1433" t="s">
        <v>56</v>
      </c>
      <c r="D1433" t="str">
        <f>HYPERLINK("http://service.sap.com/sap/support/notes/1655431","1655431")</f>
        <v>1655431</v>
      </c>
      <c r="E1433">
        <v>2</v>
      </c>
      <c r="F1433" t="s">
        <v>2135</v>
      </c>
    </row>
    <row r="1434" spans="1:6" x14ac:dyDescent="0.25">
      <c r="A1434" t="s">
        <v>1834</v>
      </c>
      <c r="B1434" t="s">
        <v>163</v>
      </c>
      <c r="C1434" t="s">
        <v>56</v>
      </c>
      <c r="D1434" t="str">
        <f>HYPERLINK("http://service.sap.com/sap/support/notes/1660956","1660956")</f>
        <v>1660956</v>
      </c>
      <c r="E1434">
        <v>2</v>
      </c>
      <c r="F1434" t="s">
        <v>2136</v>
      </c>
    </row>
    <row r="1435" spans="1:6" x14ac:dyDescent="0.25">
      <c r="A1435" t="s">
        <v>1834</v>
      </c>
      <c r="B1435" t="s">
        <v>163</v>
      </c>
      <c r="C1435" t="s">
        <v>56</v>
      </c>
      <c r="D1435" t="str">
        <f>HYPERLINK("http://service.sap.com/sap/support/notes/1662829","1662829")</f>
        <v>1662829</v>
      </c>
      <c r="E1435">
        <v>1</v>
      </c>
      <c r="F1435" t="s">
        <v>2137</v>
      </c>
    </row>
    <row r="1436" spans="1:6" x14ac:dyDescent="0.25">
      <c r="A1436" t="s">
        <v>1834</v>
      </c>
      <c r="B1436" t="s">
        <v>163</v>
      </c>
      <c r="C1436" t="s">
        <v>56</v>
      </c>
      <c r="D1436" t="str">
        <f>HYPERLINK("http://service.sap.com/sap/support/notes/1666175","1666175")</f>
        <v>1666175</v>
      </c>
      <c r="E1436">
        <v>1</v>
      </c>
      <c r="F1436" t="s">
        <v>2138</v>
      </c>
    </row>
    <row r="1437" spans="1:6" x14ac:dyDescent="0.25">
      <c r="A1437" t="s">
        <v>1834</v>
      </c>
      <c r="B1437" t="s">
        <v>163</v>
      </c>
      <c r="C1437" t="s">
        <v>56</v>
      </c>
      <c r="D1437" t="str">
        <f>HYPERLINK("http://service.sap.com/sap/support/notes/1668182","1668182")</f>
        <v>1668182</v>
      </c>
      <c r="E1437">
        <v>1</v>
      </c>
      <c r="F1437" t="s">
        <v>2139</v>
      </c>
    </row>
    <row r="1438" spans="1:6" x14ac:dyDescent="0.25">
      <c r="A1438" t="s">
        <v>1834</v>
      </c>
      <c r="B1438" t="s">
        <v>164</v>
      </c>
      <c r="C1438" t="s">
        <v>165</v>
      </c>
      <c r="D1438" t="str">
        <f>HYPERLINK("http://service.sap.com/sap/support/notes/1628577","1628577")</f>
        <v>1628577</v>
      </c>
      <c r="E1438">
        <v>1</v>
      </c>
      <c r="F1438" t="s">
        <v>2140</v>
      </c>
    </row>
    <row r="1439" spans="1:6" x14ac:dyDescent="0.25">
      <c r="A1439" t="s">
        <v>1834</v>
      </c>
      <c r="B1439" t="s">
        <v>164</v>
      </c>
      <c r="C1439" t="s">
        <v>165</v>
      </c>
      <c r="D1439" t="str">
        <f>HYPERLINK("http://service.sap.com/sap/support/notes/1662611","1662611")</f>
        <v>1662611</v>
      </c>
      <c r="E1439">
        <v>2</v>
      </c>
      <c r="F1439" t="s">
        <v>2141</v>
      </c>
    </row>
    <row r="1440" spans="1:6" x14ac:dyDescent="0.25">
      <c r="A1440" t="s">
        <v>1834</v>
      </c>
      <c r="B1440" t="s">
        <v>164</v>
      </c>
      <c r="C1440" t="s">
        <v>165</v>
      </c>
      <c r="D1440" t="str">
        <f>HYPERLINK("http://service.sap.com/sap/support/notes/1662663","1662663")</f>
        <v>1662663</v>
      </c>
      <c r="E1440">
        <v>1</v>
      </c>
      <c r="F1440" t="s">
        <v>2142</v>
      </c>
    </row>
    <row r="1441" spans="1:6" x14ac:dyDescent="0.25">
      <c r="A1441" t="s">
        <v>1834</v>
      </c>
      <c r="B1441" t="s">
        <v>164</v>
      </c>
      <c r="C1441" t="s">
        <v>165</v>
      </c>
      <c r="D1441" t="str">
        <f>HYPERLINK("http://service.sap.com/sap/support/notes/1663205","1663205")</f>
        <v>1663205</v>
      </c>
      <c r="E1441">
        <v>1</v>
      </c>
      <c r="F1441" t="s">
        <v>2143</v>
      </c>
    </row>
    <row r="1442" spans="1:6" x14ac:dyDescent="0.25">
      <c r="A1442" t="s">
        <v>1834</v>
      </c>
      <c r="B1442" t="s">
        <v>164</v>
      </c>
      <c r="C1442" t="s">
        <v>165</v>
      </c>
      <c r="D1442" t="str">
        <f>HYPERLINK("http://service.sap.com/sap/support/notes/1664103","1664103")</f>
        <v>1664103</v>
      </c>
      <c r="E1442">
        <v>1</v>
      </c>
      <c r="F1442" t="s">
        <v>2144</v>
      </c>
    </row>
    <row r="1443" spans="1:6" x14ac:dyDescent="0.25">
      <c r="A1443" t="s">
        <v>1834</v>
      </c>
      <c r="B1443" t="s">
        <v>164</v>
      </c>
      <c r="C1443" t="s">
        <v>165</v>
      </c>
      <c r="D1443" t="str">
        <f>HYPERLINK("http://service.sap.com/sap/support/notes/1664348","1664348")</f>
        <v>1664348</v>
      </c>
      <c r="E1443">
        <v>2</v>
      </c>
      <c r="F1443" t="s">
        <v>2145</v>
      </c>
    </row>
    <row r="1444" spans="1:6" x14ac:dyDescent="0.25">
      <c r="A1444" t="s">
        <v>1834</v>
      </c>
      <c r="B1444" t="s">
        <v>164</v>
      </c>
      <c r="C1444" t="s">
        <v>165</v>
      </c>
      <c r="D1444" t="str">
        <f>HYPERLINK("http://service.sap.com/sap/support/notes/1665090","1665090")</f>
        <v>1665090</v>
      </c>
      <c r="E1444">
        <v>1</v>
      </c>
      <c r="F1444" t="s">
        <v>2146</v>
      </c>
    </row>
    <row r="1445" spans="1:6" x14ac:dyDescent="0.25">
      <c r="A1445" t="s">
        <v>1834</v>
      </c>
      <c r="B1445" t="s">
        <v>164</v>
      </c>
      <c r="C1445" t="s">
        <v>165</v>
      </c>
      <c r="D1445" t="str">
        <f>HYPERLINK("http://service.sap.com/sap/support/notes/1665788","1665788")</f>
        <v>1665788</v>
      </c>
      <c r="E1445">
        <v>1</v>
      </c>
      <c r="F1445" t="s">
        <v>2147</v>
      </c>
    </row>
    <row r="1446" spans="1:6" x14ac:dyDescent="0.25">
      <c r="A1446" t="s">
        <v>1834</v>
      </c>
      <c r="B1446" t="s">
        <v>164</v>
      </c>
      <c r="C1446" t="s">
        <v>165</v>
      </c>
      <c r="D1446" t="str">
        <f>HYPERLINK("http://service.sap.com/sap/support/notes/1668768","1668768")</f>
        <v>1668768</v>
      </c>
      <c r="E1446">
        <v>1</v>
      </c>
      <c r="F1446" t="s">
        <v>2148</v>
      </c>
    </row>
    <row r="1447" spans="1:6" x14ac:dyDescent="0.25">
      <c r="A1447" t="s">
        <v>1834</v>
      </c>
      <c r="B1447" t="s">
        <v>164</v>
      </c>
      <c r="C1447" t="s">
        <v>165</v>
      </c>
      <c r="D1447" t="str">
        <f>HYPERLINK("http://service.sap.com/sap/support/notes/1669152","1669152")</f>
        <v>1669152</v>
      </c>
      <c r="E1447">
        <v>2</v>
      </c>
      <c r="F1447" t="s">
        <v>2149</v>
      </c>
    </row>
    <row r="1448" spans="1:6" x14ac:dyDescent="0.25">
      <c r="A1448" t="s">
        <v>1834</v>
      </c>
      <c r="B1448" t="s">
        <v>164</v>
      </c>
      <c r="C1448" t="s">
        <v>165</v>
      </c>
      <c r="D1448" t="str">
        <f>HYPERLINK("http://service.sap.com/sap/support/notes/1669296","1669296")</f>
        <v>1669296</v>
      </c>
      <c r="E1448">
        <v>2</v>
      </c>
      <c r="F1448" t="s">
        <v>2150</v>
      </c>
    </row>
    <row r="1449" spans="1:6" x14ac:dyDescent="0.25">
      <c r="A1449" t="s">
        <v>1834</v>
      </c>
      <c r="B1449" t="s">
        <v>166</v>
      </c>
      <c r="C1449" t="s">
        <v>167</v>
      </c>
      <c r="D1449" t="str">
        <f>HYPERLINK("http://service.sap.com/sap/support/notes/1657673","1657673")</f>
        <v>1657673</v>
      </c>
      <c r="E1449">
        <v>5</v>
      </c>
      <c r="F1449" t="s">
        <v>2151</v>
      </c>
    </row>
    <row r="1450" spans="1:6" x14ac:dyDescent="0.25">
      <c r="A1450" t="s">
        <v>1834</v>
      </c>
      <c r="B1450" t="s">
        <v>166</v>
      </c>
      <c r="C1450" t="s">
        <v>167</v>
      </c>
      <c r="D1450" t="str">
        <f>HYPERLINK("http://service.sap.com/sap/support/notes/1659375","1659375")</f>
        <v>1659375</v>
      </c>
      <c r="E1450">
        <v>1</v>
      </c>
      <c r="F1450" t="s">
        <v>2152</v>
      </c>
    </row>
    <row r="1451" spans="1:6" x14ac:dyDescent="0.25">
      <c r="A1451" t="s">
        <v>1834</v>
      </c>
      <c r="B1451" t="s">
        <v>166</v>
      </c>
      <c r="C1451" t="s">
        <v>167</v>
      </c>
      <c r="D1451" t="str">
        <f>HYPERLINK("http://service.sap.com/sap/support/notes/1661220","1661220")</f>
        <v>1661220</v>
      </c>
      <c r="E1451">
        <v>1</v>
      </c>
      <c r="F1451" t="s">
        <v>2153</v>
      </c>
    </row>
    <row r="1452" spans="1:6" x14ac:dyDescent="0.25">
      <c r="A1452" t="s">
        <v>1834</v>
      </c>
      <c r="B1452" t="s">
        <v>166</v>
      </c>
      <c r="C1452" t="s">
        <v>167</v>
      </c>
      <c r="D1452" t="str">
        <f>HYPERLINK("http://service.sap.com/sap/support/notes/1662271","1662271")</f>
        <v>1662271</v>
      </c>
      <c r="E1452">
        <v>1</v>
      </c>
      <c r="F1452" t="s">
        <v>2154</v>
      </c>
    </row>
    <row r="1453" spans="1:6" x14ac:dyDescent="0.25">
      <c r="A1453" t="s">
        <v>1834</v>
      </c>
      <c r="B1453" t="s">
        <v>166</v>
      </c>
      <c r="C1453" t="s">
        <v>167</v>
      </c>
      <c r="D1453" t="str">
        <f>HYPERLINK("http://service.sap.com/sap/support/notes/1664693","1664693")</f>
        <v>1664693</v>
      </c>
      <c r="E1453">
        <v>1</v>
      </c>
      <c r="F1453" t="s">
        <v>2155</v>
      </c>
    </row>
    <row r="1454" spans="1:6" x14ac:dyDescent="0.25">
      <c r="A1454" t="s">
        <v>1834</v>
      </c>
      <c r="B1454" t="s">
        <v>166</v>
      </c>
      <c r="C1454" t="s">
        <v>167</v>
      </c>
      <c r="D1454" t="str">
        <f>HYPERLINK("http://service.sap.com/sap/support/notes/1665353","1665353")</f>
        <v>1665353</v>
      </c>
      <c r="E1454">
        <v>2</v>
      </c>
      <c r="F1454" t="s">
        <v>2156</v>
      </c>
    </row>
    <row r="1455" spans="1:6" x14ac:dyDescent="0.25">
      <c r="A1455" t="s">
        <v>1834</v>
      </c>
      <c r="B1455" t="s">
        <v>166</v>
      </c>
      <c r="C1455" t="s">
        <v>167</v>
      </c>
      <c r="D1455" t="str">
        <f>HYPERLINK("http://service.sap.com/sap/support/notes/1665426","1665426")</f>
        <v>1665426</v>
      </c>
      <c r="E1455">
        <v>1</v>
      </c>
      <c r="F1455" t="s">
        <v>2157</v>
      </c>
    </row>
    <row r="1456" spans="1:6" x14ac:dyDescent="0.25">
      <c r="A1456" t="s">
        <v>1834</v>
      </c>
      <c r="B1456" t="s">
        <v>166</v>
      </c>
      <c r="C1456" t="s">
        <v>167</v>
      </c>
      <c r="D1456" t="str">
        <f>HYPERLINK("http://service.sap.com/sap/support/notes/1665993","1665993")</f>
        <v>1665993</v>
      </c>
      <c r="E1456">
        <v>1</v>
      </c>
      <c r="F1456" t="s">
        <v>2158</v>
      </c>
    </row>
    <row r="1457" spans="1:6" x14ac:dyDescent="0.25">
      <c r="A1457" t="s">
        <v>1834</v>
      </c>
      <c r="B1457" t="s">
        <v>166</v>
      </c>
      <c r="C1457" t="s">
        <v>167</v>
      </c>
      <c r="D1457" t="str">
        <f>HYPERLINK("http://service.sap.com/sap/support/notes/1668002","1668002")</f>
        <v>1668002</v>
      </c>
      <c r="E1457">
        <v>4</v>
      </c>
      <c r="F1457" t="s">
        <v>2159</v>
      </c>
    </row>
    <row r="1458" spans="1:6" x14ac:dyDescent="0.25">
      <c r="A1458" t="s">
        <v>1834</v>
      </c>
      <c r="B1458" t="s">
        <v>168</v>
      </c>
      <c r="C1458" t="s">
        <v>169</v>
      </c>
      <c r="D1458" t="str">
        <f>HYPERLINK("http://service.sap.com/sap/support/notes/1606337","1606337")</f>
        <v>1606337</v>
      </c>
      <c r="E1458">
        <v>1</v>
      </c>
      <c r="F1458" t="s">
        <v>2160</v>
      </c>
    </row>
    <row r="1459" spans="1:6" x14ac:dyDescent="0.25">
      <c r="A1459" t="s">
        <v>1834</v>
      </c>
      <c r="B1459" t="s">
        <v>168</v>
      </c>
      <c r="C1459" t="s">
        <v>169</v>
      </c>
      <c r="D1459" t="str">
        <f>HYPERLINK("http://service.sap.com/sap/support/notes/1648143","1648143")</f>
        <v>1648143</v>
      </c>
      <c r="E1459">
        <v>5</v>
      </c>
      <c r="F1459" t="s">
        <v>2161</v>
      </c>
    </row>
    <row r="1460" spans="1:6" x14ac:dyDescent="0.25">
      <c r="A1460" t="s">
        <v>1834</v>
      </c>
      <c r="B1460" t="s">
        <v>168</v>
      </c>
      <c r="C1460" t="s">
        <v>169</v>
      </c>
      <c r="D1460" t="str">
        <f>HYPERLINK("http://service.sap.com/sap/support/notes/1660711","1660711")</f>
        <v>1660711</v>
      </c>
      <c r="E1460">
        <v>1</v>
      </c>
      <c r="F1460" t="s">
        <v>2162</v>
      </c>
    </row>
    <row r="1461" spans="1:6" x14ac:dyDescent="0.25">
      <c r="A1461" t="s">
        <v>1834</v>
      </c>
      <c r="B1461" t="s">
        <v>168</v>
      </c>
      <c r="C1461" t="s">
        <v>169</v>
      </c>
      <c r="D1461" t="str">
        <f>HYPERLINK("http://service.sap.com/sap/support/notes/1666924","1666924")</f>
        <v>1666924</v>
      </c>
      <c r="E1461">
        <v>1</v>
      </c>
      <c r="F1461" t="s">
        <v>2163</v>
      </c>
    </row>
    <row r="1462" spans="1:6" x14ac:dyDescent="0.25">
      <c r="A1462" t="s">
        <v>1834</v>
      </c>
      <c r="B1462" t="s">
        <v>168</v>
      </c>
      <c r="C1462" t="s">
        <v>169</v>
      </c>
      <c r="D1462" t="str">
        <f>HYPERLINK("http://service.sap.com/sap/support/notes/1667219","1667219")</f>
        <v>1667219</v>
      </c>
      <c r="E1462">
        <v>1</v>
      </c>
      <c r="F1462" t="s">
        <v>2164</v>
      </c>
    </row>
    <row r="1463" spans="1:6" x14ac:dyDescent="0.25">
      <c r="A1463" t="s">
        <v>1834</v>
      </c>
      <c r="B1463" t="s">
        <v>168</v>
      </c>
      <c r="C1463" t="s">
        <v>169</v>
      </c>
      <c r="D1463" t="str">
        <f>HYPERLINK("http://service.sap.com/sap/support/notes/1667326","1667326")</f>
        <v>1667326</v>
      </c>
      <c r="E1463">
        <v>1</v>
      </c>
      <c r="F1463" t="s">
        <v>2165</v>
      </c>
    </row>
    <row r="1464" spans="1:6" x14ac:dyDescent="0.25">
      <c r="A1464" t="s">
        <v>1834</v>
      </c>
      <c r="B1464" t="s">
        <v>168</v>
      </c>
      <c r="C1464" t="s">
        <v>169</v>
      </c>
      <c r="D1464" t="str">
        <f>HYPERLINK("http://service.sap.com/sap/support/notes/1667776","1667776")</f>
        <v>1667776</v>
      </c>
      <c r="E1464">
        <v>1</v>
      </c>
      <c r="F1464" t="s">
        <v>2166</v>
      </c>
    </row>
    <row r="1465" spans="1:6" x14ac:dyDescent="0.25">
      <c r="A1465" t="s">
        <v>1834</v>
      </c>
      <c r="B1465" t="s">
        <v>171</v>
      </c>
      <c r="C1465" t="s">
        <v>172</v>
      </c>
      <c r="D1465" t="str">
        <f>HYPERLINK("http://service.sap.com/sap/support/notes/1631260","1631260")</f>
        <v>1631260</v>
      </c>
      <c r="E1465">
        <v>1</v>
      </c>
      <c r="F1465" t="s">
        <v>2167</v>
      </c>
    </row>
    <row r="1466" spans="1:6" x14ac:dyDescent="0.25">
      <c r="A1466" t="s">
        <v>1834</v>
      </c>
      <c r="B1466" t="s">
        <v>171</v>
      </c>
      <c r="C1466" t="s">
        <v>172</v>
      </c>
      <c r="D1466" t="str">
        <f>HYPERLINK("http://service.sap.com/sap/support/notes/1656256","1656256")</f>
        <v>1656256</v>
      </c>
      <c r="E1466">
        <v>1</v>
      </c>
      <c r="F1466" t="s">
        <v>2168</v>
      </c>
    </row>
    <row r="1467" spans="1:6" x14ac:dyDescent="0.25">
      <c r="A1467" t="s">
        <v>1834</v>
      </c>
      <c r="B1467" t="s">
        <v>171</v>
      </c>
      <c r="C1467" t="s">
        <v>172</v>
      </c>
      <c r="D1467" t="str">
        <f>HYPERLINK("http://service.sap.com/sap/support/notes/1669475","1669475")</f>
        <v>1669475</v>
      </c>
      <c r="E1467">
        <v>1</v>
      </c>
      <c r="F1467" t="s">
        <v>2169</v>
      </c>
    </row>
    <row r="1468" spans="1:6" x14ac:dyDescent="0.25">
      <c r="A1468" t="s">
        <v>1834</v>
      </c>
      <c r="B1468" t="s">
        <v>173</v>
      </c>
      <c r="C1468" t="s">
        <v>174</v>
      </c>
      <c r="D1468" t="str">
        <f>HYPERLINK("http://service.sap.com/sap/support/notes/1648623","1648623")</f>
        <v>1648623</v>
      </c>
      <c r="E1468">
        <v>1</v>
      </c>
      <c r="F1468" t="s">
        <v>2170</v>
      </c>
    </row>
    <row r="1469" spans="1:6" x14ac:dyDescent="0.25">
      <c r="A1469" t="s">
        <v>1834</v>
      </c>
      <c r="B1469" t="s">
        <v>173</v>
      </c>
      <c r="C1469" t="s">
        <v>174</v>
      </c>
      <c r="D1469" t="str">
        <f>HYPERLINK("http://service.sap.com/sap/support/notes/1648766","1648766")</f>
        <v>1648766</v>
      </c>
      <c r="E1469">
        <v>1</v>
      </c>
      <c r="F1469" t="s">
        <v>2171</v>
      </c>
    </row>
    <row r="1470" spans="1:6" x14ac:dyDescent="0.25">
      <c r="A1470" t="s">
        <v>1834</v>
      </c>
      <c r="B1470" t="s">
        <v>173</v>
      </c>
      <c r="C1470" t="s">
        <v>174</v>
      </c>
      <c r="D1470" t="str">
        <f>HYPERLINK("http://service.sap.com/sap/support/notes/1659510","1659510")</f>
        <v>1659510</v>
      </c>
      <c r="E1470">
        <v>2</v>
      </c>
      <c r="F1470" t="s">
        <v>2172</v>
      </c>
    </row>
    <row r="1471" spans="1:6" x14ac:dyDescent="0.25">
      <c r="A1471" t="s">
        <v>1834</v>
      </c>
      <c r="B1471" t="s">
        <v>175</v>
      </c>
      <c r="C1471" t="s">
        <v>176</v>
      </c>
      <c r="D1471" t="str">
        <f>HYPERLINK("http://service.sap.com/sap/support/notes/1625956","1625956")</f>
        <v>1625956</v>
      </c>
      <c r="E1471">
        <v>4</v>
      </c>
      <c r="F1471" t="s">
        <v>2173</v>
      </c>
    </row>
    <row r="1472" spans="1:6" x14ac:dyDescent="0.25">
      <c r="A1472" t="s">
        <v>1834</v>
      </c>
      <c r="B1472" t="s">
        <v>175</v>
      </c>
      <c r="C1472" t="s">
        <v>176</v>
      </c>
      <c r="D1472" t="str">
        <f>HYPERLINK("http://service.sap.com/sap/support/notes/1626382","1626382")</f>
        <v>1626382</v>
      </c>
      <c r="E1472">
        <v>3</v>
      </c>
      <c r="F1472" t="s">
        <v>2174</v>
      </c>
    </row>
    <row r="1473" spans="1:6" x14ac:dyDescent="0.25">
      <c r="A1473" t="s">
        <v>1834</v>
      </c>
      <c r="B1473" t="s">
        <v>175</v>
      </c>
      <c r="C1473" t="s">
        <v>176</v>
      </c>
      <c r="D1473" t="str">
        <f>HYPERLINK("http://service.sap.com/sap/support/notes/1634840","1634840")</f>
        <v>1634840</v>
      </c>
      <c r="E1473">
        <v>2</v>
      </c>
      <c r="F1473" t="s">
        <v>2175</v>
      </c>
    </row>
    <row r="1474" spans="1:6" x14ac:dyDescent="0.25">
      <c r="A1474" t="s">
        <v>1834</v>
      </c>
      <c r="B1474" t="s">
        <v>175</v>
      </c>
      <c r="C1474" t="s">
        <v>176</v>
      </c>
      <c r="D1474" t="str">
        <f>HYPERLINK("http://service.sap.com/sap/support/notes/1636372","1636372")</f>
        <v>1636372</v>
      </c>
      <c r="E1474">
        <v>2</v>
      </c>
      <c r="F1474" t="s">
        <v>2176</v>
      </c>
    </row>
    <row r="1475" spans="1:6" x14ac:dyDescent="0.25">
      <c r="A1475" t="s">
        <v>1834</v>
      </c>
      <c r="B1475" t="s">
        <v>175</v>
      </c>
      <c r="C1475" t="s">
        <v>176</v>
      </c>
      <c r="D1475" t="str">
        <f>HYPERLINK("http://service.sap.com/sap/support/notes/1638150","1638150")</f>
        <v>1638150</v>
      </c>
      <c r="E1475">
        <v>6</v>
      </c>
      <c r="F1475" t="s">
        <v>2177</v>
      </c>
    </row>
    <row r="1476" spans="1:6" x14ac:dyDescent="0.25">
      <c r="A1476" t="s">
        <v>1834</v>
      </c>
      <c r="B1476" t="s">
        <v>175</v>
      </c>
      <c r="C1476" t="s">
        <v>176</v>
      </c>
      <c r="D1476" t="str">
        <f>HYPERLINK("http://service.sap.com/sap/support/notes/1640366","1640366")</f>
        <v>1640366</v>
      </c>
      <c r="E1476">
        <v>2</v>
      </c>
      <c r="F1476" t="s">
        <v>2178</v>
      </c>
    </row>
    <row r="1477" spans="1:6" x14ac:dyDescent="0.25">
      <c r="A1477" t="s">
        <v>1834</v>
      </c>
      <c r="B1477" t="s">
        <v>175</v>
      </c>
      <c r="C1477" t="s">
        <v>176</v>
      </c>
      <c r="D1477" t="str">
        <f>HYPERLINK("http://service.sap.com/sap/support/notes/1650063","1650063")</f>
        <v>1650063</v>
      </c>
      <c r="E1477">
        <v>2</v>
      </c>
      <c r="F1477" t="s">
        <v>2179</v>
      </c>
    </row>
    <row r="1478" spans="1:6" x14ac:dyDescent="0.25">
      <c r="A1478" t="s">
        <v>1834</v>
      </c>
      <c r="B1478" t="s">
        <v>175</v>
      </c>
      <c r="C1478" t="s">
        <v>176</v>
      </c>
      <c r="D1478" t="str">
        <f>HYPERLINK("http://service.sap.com/sap/support/notes/1650877","1650877")</f>
        <v>1650877</v>
      </c>
      <c r="E1478">
        <v>1</v>
      </c>
      <c r="F1478" t="s">
        <v>2180</v>
      </c>
    </row>
    <row r="1479" spans="1:6" x14ac:dyDescent="0.25">
      <c r="A1479" t="s">
        <v>1834</v>
      </c>
      <c r="B1479" t="s">
        <v>175</v>
      </c>
      <c r="C1479" t="s">
        <v>176</v>
      </c>
      <c r="D1479" t="str">
        <f>HYPERLINK("http://service.sap.com/sap/support/notes/1653729","1653729")</f>
        <v>1653729</v>
      </c>
      <c r="E1479">
        <v>7</v>
      </c>
      <c r="F1479" t="s">
        <v>2181</v>
      </c>
    </row>
    <row r="1480" spans="1:6" x14ac:dyDescent="0.25">
      <c r="A1480" t="s">
        <v>1834</v>
      </c>
      <c r="B1480" t="s">
        <v>175</v>
      </c>
      <c r="C1480" t="s">
        <v>176</v>
      </c>
      <c r="D1480" t="str">
        <f>HYPERLINK("http://service.sap.com/sap/support/notes/1655220","1655220")</f>
        <v>1655220</v>
      </c>
      <c r="E1480">
        <v>2</v>
      </c>
      <c r="F1480" t="s">
        <v>2182</v>
      </c>
    </row>
    <row r="1481" spans="1:6" x14ac:dyDescent="0.25">
      <c r="A1481" t="s">
        <v>1834</v>
      </c>
      <c r="B1481" t="s">
        <v>175</v>
      </c>
      <c r="C1481" t="s">
        <v>176</v>
      </c>
      <c r="D1481" t="str">
        <f>HYPERLINK("http://service.sap.com/sap/support/notes/1655404","1655404")</f>
        <v>1655404</v>
      </c>
      <c r="E1481">
        <v>2</v>
      </c>
      <c r="F1481" t="s">
        <v>2183</v>
      </c>
    </row>
    <row r="1482" spans="1:6" x14ac:dyDescent="0.25">
      <c r="A1482" t="s">
        <v>1834</v>
      </c>
      <c r="B1482" t="s">
        <v>175</v>
      </c>
      <c r="C1482" t="s">
        <v>176</v>
      </c>
      <c r="D1482" t="str">
        <f>HYPERLINK("http://service.sap.com/sap/support/notes/1656086","1656086")</f>
        <v>1656086</v>
      </c>
      <c r="E1482">
        <v>2</v>
      </c>
      <c r="F1482" t="s">
        <v>2184</v>
      </c>
    </row>
    <row r="1483" spans="1:6" x14ac:dyDescent="0.25">
      <c r="A1483" t="s">
        <v>1834</v>
      </c>
      <c r="B1483" t="s">
        <v>175</v>
      </c>
      <c r="C1483" t="s">
        <v>176</v>
      </c>
      <c r="D1483" t="str">
        <f>HYPERLINK("http://service.sap.com/sap/support/notes/1664213","1664213")</f>
        <v>1664213</v>
      </c>
      <c r="E1483">
        <v>3</v>
      </c>
      <c r="F1483" t="s">
        <v>2185</v>
      </c>
    </row>
    <row r="1484" spans="1:6" x14ac:dyDescent="0.25">
      <c r="A1484" t="s">
        <v>1834</v>
      </c>
      <c r="B1484" t="s">
        <v>175</v>
      </c>
      <c r="C1484" t="s">
        <v>176</v>
      </c>
      <c r="D1484" t="str">
        <f>HYPERLINK("http://service.sap.com/sap/support/notes/1665450","1665450")</f>
        <v>1665450</v>
      </c>
      <c r="E1484">
        <v>2</v>
      </c>
      <c r="F1484" t="s">
        <v>2186</v>
      </c>
    </row>
    <row r="1485" spans="1:6" x14ac:dyDescent="0.25">
      <c r="A1485" t="s">
        <v>1834</v>
      </c>
      <c r="B1485" t="s">
        <v>177</v>
      </c>
      <c r="C1485" t="s">
        <v>178</v>
      </c>
      <c r="D1485" t="str">
        <f>HYPERLINK("http://service.sap.com/sap/support/notes/1635266","1635266")</f>
        <v>1635266</v>
      </c>
      <c r="E1485">
        <v>2</v>
      </c>
      <c r="F1485" t="s">
        <v>2187</v>
      </c>
    </row>
    <row r="1486" spans="1:6" x14ac:dyDescent="0.25">
      <c r="A1486" t="s">
        <v>1834</v>
      </c>
      <c r="B1486" t="s">
        <v>177</v>
      </c>
      <c r="C1486" t="s">
        <v>178</v>
      </c>
      <c r="D1486" t="str">
        <f>HYPERLINK("http://service.sap.com/sap/support/notes/1647014","1647014")</f>
        <v>1647014</v>
      </c>
      <c r="E1486">
        <v>3</v>
      </c>
      <c r="F1486" t="s">
        <v>2188</v>
      </c>
    </row>
    <row r="1487" spans="1:6" x14ac:dyDescent="0.25">
      <c r="A1487" t="s">
        <v>1834</v>
      </c>
      <c r="B1487" t="s">
        <v>177</v>
      </c>
      <c r="C1487" t="s">
        <v>178</v>
      </c>
      <c r="D1487" t="str">
        <f>HYPERLINK("http://service.sap.com/sap/support/notes/1647416","1647416")</f>
        <v>1647416</v>
      </c>
      <c r="E1487">
        <v>1</v>
      </c>
      <c r="F1487" t="s">
        <v>2189</v>
      </c>
    </row>
    <row r="1488" spans="1:6" x14ac:dyDescent="0.25">
      <c r="A1488" t="s">
        <v>1834</v>
      </c>
      <c r="B1488" t="s">
        <v>177</v>
      </c>
      <c r="C1488" t="s">
        <v>178</v>
      </c>
      <c r="D1488" t="str">
        <f>HYPERLINK("http://service.sap.com/sap/support/notes/1661188","1661188")</f>
        <v>1661188</v>
      </c>
      <c r="E1488">
        <v>4</v>
      </c>
      <c r="F1488" t="s">
        <v>2190</v>
      </c>
    </row>
    <row r="1489" spans="1:6" x14ac:dyDescent="0.25">
      <c r="A1489" t="s">
        <v>1834</v>
      </c>
      <c r="B1489" t="s">
        <v>177</v>
      </c>
      <c r="C1489" t="s">
        <v>178</v>
      </c>
      <c r="D1489" t="str">
        <f>HYPERLINK("http://service.sap.com/sap/support/notes/1662770","1662770")</f>
        <v>1662770</v>
      </c>
      <c r="E1489">
        <v>2</v>
      </c>
      <c r="F1489" t="s">
        <v>2191</v>
      </c>
    </row>
    <row r="1490" spans="1:6" x14ac:dyDescent="0.25">
      <c r="A1490" t="s">
        <v>1834</v>
      </c>
      <c r="B1490" t="s">
        <v>177</v>
      </c>
      <c r="C1490" t="s">
        <v>178</v>
      </c>
      <c r="D1490" t="str">
        <f>HYPERLINK("http://service.sap.com/sap/support/notes/1663258","1663258")</f>
        <v>1663258</v>
      </c>
      <c r="E1490">
        <v>2</v>
      </c>
      <c r="F1490" t="s">
        <v>2192</v>
      </c>
    </row>
    <row r="1491" spans="1:6" x14ac:dyDescent="0.25">
      <c r="A1491" t="s">
        <v>1834</v>
      </c>
      <c r="B1491" t="s">
        <v>179</v>
      </c>
      <c r="C1491" t="s">
        <v>180</v>
      </c>
      <c r="D1491" t="str">
        <f>HYPERLINK("http://service.sap.com/sap/support/notes/1651568","1651568")</f>
        <v>1651568</v>
      </c>
      <c r="E1491">
        <v>1</v>
      </c>
      <c r="F1491" t="s">
        <v>2193</v>
      </c>
    </row>
    <row r="1492" spans="1:6" x14ac:dyDescent="0.25">
      <c r="A1492" t="s">
        <v>1834</v>
      </c>
      <c r="B1492" t="s">
        <v>179</v>
      </c>
      <c r="C1492" t="s">
        <v>180</v>
      </c>
      <c r="D1492" t="str">
        <f>HYPERLINK("http://service.sap.com/sap/support/notes/1653175","1653175")</f>
        <v>1653175</v>
      </c>
      <c r="E1492">
        <v>2</v>
      </c>
      <c r="F1492" t="s">
        <v>2194</v>
      </c>
    </row>
    <row r="1493" spans="1:6" x14ac:dyDescent="0.25">
      <c r="A1493" t="s">
        <v>1834</v>
      </c>
      <c r="B1493" t="s">
        <v>179</v>
      </c>
      <c r="C1493" t="s">
        <v>180</v>
      </c>
      <c r="D1493" t="str">
        <f>HYPERLINK("http://service.sap.com/sap/support/notes/1655253","1655253")</f>
        <v>1655253</v>
      </c>
      <c r="E1493">
        <v>3</v>
      </c>
      <c r="F1493" t="s">
        <v>2195</v>
      </c>
    </row>
    <row r="1494" spans="1:6" x14ac:dyDescent="0.25">
      <c r="A1494" t="s">
        <v>1834</v>
      </c>
      <c r="B1494" t="s">
        <v>179</v>
      </c>
      <c r="C1494" t="s">
        <v>180</v>
      </c>
      <c r="D1494" t="str">
        <f>HYPERLINK("http://service.sap.com/sap/support/notes/1657857","1657857")</f>
        <v>1657857</v>
      </c>
      <c r="E1494">
        <v>2</v>
      </c>
      <c r="F1494" t="s">
        <v>2196</v>
      </c>
    </row>
    <row r="1495" spans="1:6" x14ac:dyDescent="0.25">
      <c r="A1495" t="s">
        <v>1834</v>
      </c>
      <c r="B1495" t="s">
        <v>179</v>
      </c>
      <c r="C1495" t="s">
        <v>180</v>
      </c>
      <c r="D1495" t="str">
        <f>HYPERLINK("http://service.sap.com/sap/support/notes/1657907","1657907")</f>
        <v>1657907</v>
      </c>
      <c r="E1495">
        <v>2</v>
      </c>
      <c r="F1495" t="s">
        <v>2197</v>
      </c>
    </row>
    <row r="1496" spans="1:6" x14ac:dyDescent="0.25">
      <c r="A1496" t="s">
        <v>1834</v>
      </c>
      <c r="B1496" t="s">
        <v>179</v>
      </c>
      <c r="C1496" t="s">
        <v>180</v>
      </c>
      <c r="D1496" t="str">
        <f>HYPERLINK("http://service.sap.com/sap/support/notes/1660599","1660599")</f>
        <v>1660599</v>
      </c>
      <c r="E1496">
        <v>6</v>
      </c>
      <c r="F1496" t="s">
        <v>2198</v>
      </c>
    </row>
    <row r="1497" spans="1:6" x14ac:dyDescent="0.25">
      <c r="A1497" t="s">
        <v>1834</v>
      </c>
      <c r="B1497" t="s">
        <v>179</v>
      </c>
      <c r="C1497" t="s">
        <v>180</v>
      </c>
      <c r="D1497" t="str">
        <f>HYPERLINK("http://service.sap.com/sap/support/notes/1660752","1660752")</f>
        <v>1660752</v>
      </c>
      <c r="E1497">
        <v>1</v>
      </c>
      <c r="F1497" t="s">
        <v>2199</v>
      </c>
    </row>
    <row r="1498" spans="1:6" x14ac:dyDescent="0.25">
      <c r="A1498" t="s">
        <v>1834</v>
      </c>
      <c r="B1498" t="s">
        <v>179</v>
      </c>
      <c r="C1498" t="s">
        <v>180</v>
      </c>
      <c r="D1498" t="str">
        <f>HYPERLINK("http://service.sap.com/sap/support/notes/1663484","1663484")</f>
        <v>1663484</v>
      </c>
      <c r="E1498">
        <v>2</v>
      </c>
      <c r="F1498" t="s">
        <v>2200</v>
      </c>
    </row>
    <row r="1499" spans="1:6" x14ac:dyDescent="0.25">
      <c r="A1499" t="s">
        <v>1834</v>
      </c>
      <c r="B1499" t="s">
        <v>179</v>
      </c>
      <c r="C1499" t="s">
        <v>180</v>
      </c>
      <c r="D1499" t="str">
        <f>HYPERLINK("http://service.sap.com/sap/support/notes/1667191","1667191")</f>
        <v>1667191</v>
      </c>
      <c r="E1499">
        <v>2</v>
      </c>
      <c r="F1499" t="s">
        <v>2201</v>
      </c>
    </row>
    <row r="1500" spans="1:6" x14ac:dyDescent="0.25">
      <c r="A1500" t="s">
        <v>1834</v>
      </c>
      <c r="B1500" t="s">
        <v>179</v>
      </c>
      <c r="C1500" t="s">
        <v>180</v>
      </c>
      <c r="D1500" t="str">
        <f>HYPERLINK("http://service.sap.com/sap/support/notes/1668721","1668721")</f>
        <v>1668721</v>
      </c>
      <c r="E1500">
        <v>2</v>
      </c>
      <c r="F1500" t="s">
        <v>2202</v>
      </c>
    </row>
    <row r="1501" spans="1:6" x14ac:dyDescent="0.25">
      <c r="A1501" t="s">
        <v>1834</v>
      </c>
      <c r="B1501" t="s">
        <v>179</v>
      </c>
      <c r="C1501" t="s">
        <v>180</v>
      </c>
      <c r="D1501" t="str">
        <f>HYPERLINK("http://service.sap.com/sap/support/notes/1669441","1669441")</f>
        <v>1669441</v>
      </c>
      <c r="E1501">
        <v>1</v>
      </c>
      <c r="F1501" t="s">
        <v>2203</v>
      </c>
    </row>
    <row r="1502" spans="1:6" x14ac:dyDescent="0.25">
      <c r="A1502" t="s">
        <v>1834</v>
      </c>
      <c r="B1502" t="s">
        <v>181</v>
      </c>
      <c r="C1502" t="s">
        <v>182</v>
      </c>
      <c r="D1502" t="str">
        <f>HYPERLINK("http://service.sap.com/sap/support/notes/1548002","1548002")</f>
        <v>1548002</v>
      </c>
      <c r="E1502">
        <v>1</v>
      </c>
      <c r="F1502" t="s">
        <v>2204</v>
      </c>
    </row>
    <row r="1503" spans="1:6" x14ac:dyDescent="0.25">
      <c r="A1503" t="s">
        <v>1834</v>
      </c>
      <c r="B1503" t="s">
        <v>185</v>
      </c>
      <c r="C1503" t="s">
        <v>186</v>
      </c>
      <c r="D1503" t="str">
        <f>HYPERLINK("http://service.sap.com/sap/support/notes/1663454","1663454")</f>
        <v>1663454</v>
      </c>
      <c r="E1503">
        <v>1</v>
      </c>
      <c r="F1503" t="s">
        <v>2205</v>
      </c>
    </row>
    <row r="1504" spans="1:6" x14ac:dyDescent="0.25">
      <c r="A1504" t="s">
        <v>1834</v>
      </c>
      <c r="B1504" t="s">
        <v>185</v>
      </c>
      <c r="C1504" t="s">
        <v>186</v>
      </c>
      <c r="D1504" t="str">
        <f>HYPERLINK("http://service.sap.com/sap/support/notes/1666734","1666734")</f>
        <v>1666734</v>
      </c>
      <c r="E1504">
        <v>1</v>
      </c>
      <c r="F1504" t="s">
        <v>2206</v>
      </c>
    </row>
    <row r="1505" spans="1:6" x14ac:dyDescent="0.25">
      <c r="A1505" t="s">
        <v>1834</v>
      </c>
      <c r="B1505" t="s">
        <v>188</v>
      </c>
      <c r="C1505" t="s">
        <v>60</v>
      </c>
      <c r="D1505" t="str">
        <f>HYPERLINK("http://service.sap.com/sap/support/notes/1662033","1662033")</f>
        <v>1662033</v>
      </c>
      <c r="E1505">
        <v>1</v>
      </c>
      <c r="F1505" t="s">
        <v>2207</v>
      </c>
    </row>
    <row r="1506" spans="1:6" x14ac:dyDescent="0.25">
      <c r="A1506" t="s">
        <v>1834</v>
      </c>
      <c r="B1506" t="s">
        <v>188</v>
      </c>
      <c r="C1506" t="s">
        <v>60</v>
      </c>
      <c r="D1506" t="str">
        <f>HYPERLINK("http://service.sap.com/sap/support/notes/1669013","1669013")</f>
        <v>1669013</v>
      </c>
      <c r="E1506">
        <v>1</v>
      </c>
      <c r="F1506" t="s">
        <v>2208</v>
      </c>
    </row>
    <row r="1507" spans="1:6" x14ac:dyDescent="0.25">
      <c r="A1507" t="s">
        <v>1834</v>
      </c>
      <c r="B1507" t="s">
        <v>188</v>
      </c>
      <c r="C1507" t="s">
        <v>60</v>
      </c>
      <c r="D1507" t="str">
        <f>HYPERLINK("http://service.sap.com/sap/support/notes/1669187","1669187")</f>
        <v>1669187</v>
      </c>
      <c r="E1507">
        <v>1</v>
      </c>
      <c r="F1507" t="s">
        <v>2209</v>
      </c>
    </row>
    <row r="1508" spans="1:6" x14ac:dyDescent="0.25">
      <c r="A1508" t="s">
        <v>1834</v>
      </c>
      <c r="B1508" t="s">
        <v>189</v>
      </c>
      <c r="C1508" t="s">
        <v>190</v>
      </c>
      <c r="D1508" t="str">
        <f>HYPERLINK("http://service.sap.com/sap/support/notes/1661841","1661841")</f>
        <v>1661841</v>
      </c>
      <c r="E1508">
        <v>3</v>
      </c>
      <c r="F1508" t="s">
        <v>2210</v>
      </c>
    </row>
    <row r="1509" spans="1:6" x14ac:dyDescent="0.25">
      <c r="A1509" t="s">
        <v>1834</v>
      </c>
      <c r="B1509" t="s">
        <v>189</v>
      </c>
      <c r="C1509" t="s">
        <v>190</v>
      </c>
      <c r="D1509" t="str">
        <f>HYPERLINK("http://service.sap.com/sap/support/notes/1662886","1662886")</f>
        <v>1662886</v>
      </c>
      <c r="E1509">
        <v>2</v>
      </c>
      <c r="F1509" t="s">
        <v>2211</v>
      </c>
    </row>
    <row r="1510" spans="1:6" x14ac:dyDescent="0.25">
      <c r="A1510" t="s">
        <v>1834</v>
      </c>
      <c r="B1510" t="s">
        <v>189</v>
      </c>
      <c r="C1510" t="s">
        <v>190</v>
      </c>
      <c r="D1510" t="str">
        <f>HYPERLINK("http://service.sap.com/sap/support/notes/1665729","1665729")</f>
        <v>1665729</v>
      </c>
      <c r="E1510">
        <v>2</v>
      </c>
      <c r="F1510" t="s">
        <v>2212</v>
      </c>
    </row>
    <row r="1511" spans="1:6" x14ac:dyDescent="0.25">
      <c r="A1511" t="s">
        <v>1834</v>
      </c>
      <c r="B1511" t="s">
        <v>191</v>
      </c>
      <c r="C1511" t="s">
        <v>62</v>
      </c>
      <c r="D1511" t="str">
        <f>HYPERLINK("http://service.sap.com/sap/support/notes/1591831","1591831")</f>
        <v>1591831</v>
      </c>
      <c r="E1511">
        <v>4</v>
      </c>
      <c r="F1511" t="s">
        <v>615</v>
      </c>
    </row>
    <row r="1512" spans="1:6" x14ac:dyDescent="0.25">
      <c r="A1512" t="s">
        <v>1834</v>
      </c>
      <c r="B1512" t="s">
        <v>195</v>
      </c>
      <c r="C1512" t="s">
        <v>132</v>
      </c>
      <c r="D1512" t="str">
        <f>HYPERLINK("http://service.sap.com/sap/support/notes/1665864","1665864")</f>
        <v>1665864</v>
      </c>
      <c r="E1512">
        <v>1</v>
      </c>
      <c r="F1512" t="s">
        <v>2213</v>
      </c>
    </row>
    <row r="1513" spans="1:6" x14ac:dyDescent="0.25">
      <c r="A1513" t="s">
        <v>1834</v>
      </c>
      <c r="B1513" t="s">
        <v>196</v>
      </c>
      <c r="C1513" t="s">
        <v>197</v>
      </c>
      <c r="D1513" t="str">
        <f>HYPERLINK("http://service.sap.com/sap/support/notes/1656942","1656942")</f>
        <v>1656942</v>
      </c>
      <c r="E1513">
        <v>3</v>
      </c>
      <c r="F1513" t="s">
        <v>2214</v>
      </c>
    </row>
    <row r="1514" spans="1:6" x14ac:dyDescent="0.25">
      <c r="A1514" t="s">
        <v>1834</v>
      </c>
      <c r="B1514" t="s">
        <v>198</v>
      </c>
      <c r="C1514" t="s">
        <v>199</v>
      </c>
      <c r="D1514" t="str">
        <f>HYPERLINK("http://service.sap.com/sap/support/notes/1528128","1528128")</f>
        <v>1528128</v>
      </c>
      <c r="E1514">
        <v>2</v>
      </c>
      <c r="F1514" t="s">
        <v>2215</v>
      </c>
    </row>
    <row r="1515" spans="1:6" x14ac:dyDescent="0.25">
      <c r="A1515" t="s">
        <v>1834</v>
      </c>
      <c r="B1515" t="s">
        <v>200</v>
      </c>
      <c r="C1515" t="s">
        <v>201</v>
      </c>
      <c r="D1515" t="str">
        <f>HYPERLINK("http://service.sap.com/sap/support/notes/1652177","1652177")</f>
        <v>1652177</v>
      </c>
      <c r="E1515">
        <v>2</v>
      </c>
      <c r="F1515" t="s">
        <v>2216</v>
      </c>
    </row>
    <row r="1516" spans="1:6" x14ac:dyDescent="0.25">
      <c r="A1516" t="s">
        <v>1834</v>
      </c>
      <c r="B1516" t="s">
        <v>205</v>
      </c>
      <c r="C1516" t="s">
        <v>206</v>
      </c>
      <c r="D1516" t="str">
        <f>HYPERLINK("http://service.sap.com/sap/support/notes/1556217","1556217")</f>
        <v>1556217</v>
      </c>
      <c r="E1516">
        <v>6</v>
      </c>
      <c r="F1516" t="s">
        <v>2217</v>
      </c>
    </row>
    <row r="1517" spans="1:6" x14ac:dyDescent="0.25">
      <c r="A1517" t="s">
        <v>1834</v>
      </c>
      <c r="B1517" t="s">
        <v>205</v>
      </c>
      <c r="C1517" t="s">
        <v>206</v>
      </c>
      <c r="D1517" t="str">
        <f>HYPERLINK("http://service.sap.com/sap/support/notes/1584790","1584790")</f>
        <v>1584790</v>
      </c>
      <c r="E1517">
        <v>3</v>
      </c>
      <c r="F1517" t="s">
        <v>2218</v>
      </c>
    </row>
    <row r="1518" spans="1:6" x14ac:dyDescent="0.25">
      <c r="A1518" t="s">
        <v>1834</v>
      </c>
      <c r="B1518" t="s">
        <v>205</v>
      </c>
      <c r="C1518" t="s">
        <v>206</v>
      </c>
      <c r="D1518" t="str">
        <f>HYPERLINK("http://service.sap.com/sap/support/notes/1648672","1648672")</f>
        <v>1648672</v>
      </c>
      <c r="E1518">
        <v>1</v>
      </c>
      <c r="F1518" t="s">
        <v>2219</v>
      </c>
    </row>
    <row r="1519" spans="1:6" x14ac:dyDescent="0.25">
      <c r="A1519" t="s">
        <v>1834</v>
      </c>
      <c r="B1519" t="s">
        <v>205</v>
      </c>
      <c r="C1519" t="s">
        <v>206</v>
      </c>
      <c r="D1519" t="str">
        <f>HYPERLINK("http://service.sap.com/sap/support/notes/1658122","1658122")</f>
        <v>1658122</v>
      </c>
      <c r="E1519">
        <v>2</v>
      </c>
      <c r="F1519" t="s">
        <v>814</v>
      </c>
    </row>
    <row r="1520" spans="1:6" x14ac:dyDescent="0.25">
      <c r="A1520" t="s">
        <v>1834</v>
      </c>
      <c r="B1520" t="s">
        <v>207</v>
      </c>
      <c r="C1520" t="s">
        <v>208</v>
      </c>
    </row>
    <row r="1521" spans="1:6" x14ac:dyDescent="0.25">
      <c r="A1521" t="s">
        <v>1834</v>
      </c>
      <c r="B1521" t="s">
        <v>209</v>
      </c>
      <c r="C1521" t="s">
        <v>210</v>
      </c>
    </row>
    <row r="1522" spans="1:6" x14ac:dyDescent="0.25">
      <c r="A1522" t="s">
        <v>1834</v>
      </c>
      <c r="B1522" t="s">
        <v>2220</v>
      </c>
      <c r="C1522" t="s">
        <v>136</v>
      </c>
    </row>
    <row r="1523" spans="1:6" x14ac:dyDescent="0.25">
      <c r="A1523" t="s">
        <v>1834</v>
      </c>
      <c r="B1523" t="s">
        <v>2221</v>
      </c>
      <c r="C1523" t="s">
        <v>77</v>
      </c>
      <c r="D1523" t="str">
        <f>HYPERLINK("http://service.sap.com/sap/support/notes/1654247","1654247")</f>
        <v>1654247</v>
      </c>
      <c r="E1523">
        <v>14</v>
      </c>
      <c r="F1523" t="s">
        <v>2222</v>
      </c>
    </row>
    <row r="1524" spans="1:6" x14ac:dyDescent="0.25">
      <c r="A1524" t="s">
        <v>1834</v>
      </c>
      <c r="B1524" t="s">
        <v>2221</v>
      </c>
      <c r="C1524" t="s">
        <v>77</v>
      </c>
      <c r="D1524" t="str">
        <f>HYPERLINK("http://service.sap.com/sap/support/notes/1658644","1658644")</f>
        <v>1658644</v>
      </c>
      <c r="E1524">
        <v>2</v>
      </c>
      <c r="F1524" t="s">
        <v>2223</v>
      </c>
    </row>
    <row r="1525" spans="1:6" x14ac:dyDescent="0.25">
      <c r="A1525" t="s">
        <v>1834</v>
      </c>
      <c r="B1525" t="s">
        <v>2224</v>
      </c>
      <c r="C1525" t="s">
        <v>2225</v>
      </c>
    </row>
    <row r="1526" spans="1:6" x14ac:dyDescent="0.25">
      <c r="A1526" t="s">
        <v>1834</v>
      </c>
      <c r="B1526" t="s">
        <v>2226</v>
      </c>
      <c r="C1526" t="s">
        <v>2227</v>
      </c>
    </row>
    <row r="1527" spans="1:6" x14ac:dyDescent="0.25">
      <c r="A1527" t="s">
        <v>1834</v>
      </c>
      <c r="B1527" t="s">
        <v>2228</v>
      </c>
      <c r="C1527" t="s">
        <v>2229</v>
      </c>
      <c r="D1527" t="str">
        <f>HYPERLINK("http://service.sap.com/sap/support/notes/1660054","1660054")</f>
        <v>1660054</v>
      </c>
      <c r="E1527">
        <v>1</v>
      </c>
      <c r="F1527" t="s">
        <v>2230</v>
      </c>
    </row>
    <row r="1528" spans="1:6" x14ac:dyDescent="0.25">
      <c r="A1528" t="s">
        <v>2231</v>
      </c>
      <c r="B1528" t="s">
        <v>15</v>
      </c>
      <c r="C1528" t="s">
        <v>16</v>
      </c>
    </row>
    <row r="1529" spans="1:6" x14ac:dyDescent="0.25">
      <c r="A1529" t="s">
        <v>2231</v>
      </c>
      <c r="B1529" t="s">
        <v>17</v>
      </c>
      <c r="C1529" t="s">
        <v>18</v>
      </c>
    </row>
    <row r="1530" spans="1:6" x14ac:dyDescent="0.25">
      <c r="A1530" t="s">
        <v>2231</v>
      </c>
      <c r="B1530" t="s">
        <v>19</v>
      </c>
      <c r="C1530" t="s">
        <v>20</v>
      </c>
      <c r="D1530" t="str">
        <f>HYPERLINK("http://service.sap.com/sap/support/notes/1654710","1654710")</f>
        <v>1654710</v>
      </c>
      <c r="E1530">
        <v>1</v>
      </c>
      <c r="F1530" t="s">
        <v>1836</v>
      </c>
    </row>
    <row r="1531" spans="1:6" x14ac:dyDescent="0.25">
      <c r="A1531" t="s">
        <v>2231</v>
      </c>
      <c r="B1531" t="s">
        <v>19</v>
      </c>
      <c r="C1531" t="s">
        <v>20</v>
      </c>
      <c r="D1531" t="str">
        <f>HYPERLINK("http://service.sap.com/sap/support/notes/1672399","1672399")</f>
        <v>1672399</v>
      </c>
      <c r="E1531">
        <v>1</v>
      </c>
      <c r="F1531" t="s">
        <v>2232</v>
      </c>
    </row>
    <row r="1532" spans="1:6" x14ac:dyDescent="0.25">
      <c r="A1532" t="s">
        <v>2231</v>
      </c>
      <c r="B1532" t="s">
        <v>21</v>
      </c>
      <c r="C1532" t="s">
        <v>12</v>
      </c>
    </row>
    <row r="1533" spans="1:6" x14ac:dyDescent="0.25">
      <c r="A1533" t="s">
        <v>2231</v>
      </c>
      <c r="B1533" t="s">
        <v>29</v>
      </c>
      <c r="C1533" t="s">
        <v>30</v>
      </c>
    </row>
    <row r="1534" spans="1:6" x14ac:dyDescent="0.25">
      <c r="A1534" t="s">
        <v>2231</v>
      </c>
      <c r="B1534" t="s">
        <v>31</v>
      </c>
      <c r="C1534" t="s">
        <v>32</v>
      </c>
      <c r="D1534" t="str">
        <f>HYPERLINK("http://service.sap.com/sap/support/notes/1670815","1670815")</f>
        <v>1670815</v>
      </c>
      <c r="E1534">
        <v>1</v>
      </c>
      <c r="F1534" t="s">
        <v>2233</v>
      </c>
    </row>
    <row r="1535" spans="1:6" x14ac:dyDescent="0.25">
      <c r="A1535" t="s">
        <v>2231</v>
      </c>
      <c r="B1535" t="s">
        <v>682</v>
      </c>
      <c r="C1535" t="s">
        <v>84</v>
      </c>
      <c r="D1535" t="str">
        <f>HYPERLINK("http://service.sap.com/sap/support/notes/1672695","1672695")</f>
        <v>1672695</v>
      </c>
      <c r="E1535">
        <v>1</v>
      </c>
      <c r="F1535" t="s">
        <v>2234</v>
      </c>
    </row>
    <row r="1536" spans="1:6" x14ac:dyDescent="0.25">
      <c r="A1536" t="s">
        <v>2231</v>
      </c>
      <c r="B1536" t="s">
        <v>39</v>
      </c>
      <c r="C1536" t="s">
        <v>40</v>
      </c>
      <c r="D1536" t="str">
        <f>HYPERLINK("http://service.sap.com/sap/support/notes/1657046","1657046")</f>
        <v>1657046</v>
      </c>
      <c r="E1536">
        <v>1</v>
      </c>
      <c r="F1536" t="s">
        <v>2235</v>
      </c>
    </row>
    <row r="1537" spans="1:6" x14ac:dyDescent="0.25">
      <c r="A1537" t="s">
        <v>2231</v>
      </c>
      <c r="B1537" t="s">
        <v>41</v>
      </c>
      <c r="C1537" t="s">
        <v>42</v>
      </c>
    </row>
    <row r="1538" spans="1:6" x14ac:dyDescent="0.25">
      <c r="A1538" t="s">
        <v>2231</v>
      </c>
      <c r="B1538" t="s">
        <v>43</v>
      </c>
      <c r="C1538" t="s">
        <v>44</v>
      </c>
      <c r="D1538" t="str">
        <f>HYPERLINK("http://service.sap.com/sap/support/notes/1667395","1667395")</f>
        <v>1667395</v>
      </c>
      <c r="E1538">
        <v>1</v>
      </c>
      <c r="F1538" t="s">
        <v>2236</v>
      </c>
    </row>
    <row r="1539" spans="1:6" x14ac:dyDescent="0.25">
      <c r="A1539" t="s">
        <v>2231</v>
      </c>
      <c r="B1539" t="s">
        <v>46</v>
      </c>
      <c r="C1539" t="s">
        <v>47</v>
      </c>
      <c r="D1539" t="str">
        <f>HYPERLINK("http://service.sap.com/sap/support/notes/1671334","1671334")</f>
        <v>1671334</v>
      </c>
      <c r="E1539">
        <v>1</v>
      </c>
      <c r="F1539" t="s">
        <v>2234</v>
      </c>
    </row>
    <row r="1540" spans="1:6" x14ac:dyDescent="0.25">
      <c r="A1540" t="s">
        <v>2231</v>
      </c>
      <c r="B1540" t="s">
        <v>51</v>
      </c>
      <c r="C1540" t="s">
        <v>52</v>
      </c>
      <c r="D1540" t="str">
        <f>HYPERLINK("http://service.sap.com/sap/support/notes/1655538","1655538")</f>
        <v>1655538</v>
      </c>
      <c r="E1540">
        <v>1</v>
      </c>
      <c r="F1540" t="s">
        <v>2237</v>
      </c>
    </row>
    <row r="1541" spans="1:6" x14ac:dyDescent="0.25">
      <c r="A1541" t="s">
        <v>2231</v>
      </c>
      <c r="B1541" t="s">
        <v>53</v>
      </c>
      <c r="C1541" t="s">
        <v>54</v>
      </c>
      <c r="D1541" t="str">
        <f>HYPERLINK("http://service.sap.com/sap/support/notes/1655428","1655428")</f>
        <v>1655428</v>
      </c>
      <c r="E1541">
        <v>2</v>
      </c>
      <c r="F1541" t="s">
        <v>2238</v>
      </c>
    </row>
    <row r="1542" spans="1:6" x14ac:dyDescent="0.25">
      <c r="A1542" t="s">
        <v>2231</v>
      </c>
      <c r="B1542" t="s">
        <v>256</v>
      </c>
      <c r="C1542" t="s">
        <v>165</v>
      </c>
      <c r="D1542" t="str">
        <f>HYPERLINK("http://service.sap.com/sap/support/notes/1652421","1652421")</f>
        <v>1652421</v>
      </c>
      <c r="E1542">
        <v>2</v>
      </c>
      <c r="F1542" t="s">
        <v>2239</v>
      </c>
    </row>
    <row r="1543" spans="1:6" x14ac:dyDescent="0.25">
      <c r="A1543" t="s">
        <v>2231</v>
      </c>
      <c r="B1543" t="s">
        <v>256</v>
      </c>
      <c r="C1543" t="s">
        <v>165</v>
      </c>
      <c r="D1543" t="str">
        <f>HYPERLINK("http://service.sap.com/sap/support/notes/1671290","1671290")</f>
        <v>1671290</v>
      </c>
      <c r="E1543">
        <v>2</v>
      </c>
      <c r="F1543" t="s">
        <v>2240</v>
      </c>
    </row>
    <row r="1544" spans="1:6" x14ac:dyDescent="0.25">
      <c r="A1544" t="s">
        <v>2231</v>
      </c>
      <c r="B1544" t="s">
        <v>256</v>
      </c>
      <c r="C1544" t="s">
        <v>165</v>
      </c>
      <c r="D1544" t="str">
        <f>HYPERLINK("http://service.sap.com/sap/support/notes/1671965","1671965")</f>
        <v>1671965</v>
      </c>
      <c r="E1544">
        <v>2</v>
      </c>
      <c r="F1544" t="s">
        <v>2241</v>
      </c>
    </row>
    <row r="1545" spans="1:6" x14ac:dyDescent="0.25">
      <c r="A1545" t="s">
        <v>2231</v>
      </c>
      <c r="B1545" t="s">
        <v>57</v>
      </c>
      <c r="C1545" t="s">
        <v>58</v>
      </c>
      <c r="D1545" t="str">
        <f>HYPERLINK("http://service.sap.com/sap/support/notes/1116407","1116407")</f>
        <v>1116407</v>
      </c>
      <c r="E1545">
        <v>113</v>
      </c>
      <c r="F1545" t="s">
        <v>664</v>
      </c>
    </row>
    <row r="1546" spans="1:6" x14ac:dyDescent="0.25">
      <c r="A1546" t="s">
        <v>2231</v>
      </c>
      <c r="B1546" t="s">
        <v>57</v>
      </c>
      <c r="C1546" t="s">
        <v>58</v>
      </c>
      <c r="D1546" t="str">
        <f>HYPERLINK("http://service.sap.com/sap/support/notes/1660788","1660788")</f>
        <v>1660788</v>
      </c>
      <c r="E1546">
        <v>3</v>
      </c>
      <c r="F1546" t="s">
        <v>2242</v>
      </c>
    </row>
    <row r="1547" spans="1:6" x14ac:dyDescent="0.25">
      <c r="A1547" t="s">
        <v>2231</v>
      </c>
      <c r="B1547" t="s">
        <v>57</v>
      </c>
      <c r="C1547" t="s">
        <v>58</v>
      </c>
      <c r="D1547" t="str">
        <f>HYPERLINK("http://service.sap.com/sap/support/notes/1669348","1669348")</f>
        <v>1669348</v>
      </c>
      <c r="E1547">
        <v>3</v>
      </c>
      <c r="F1547" t="s">
        <v>2243</v>
      </c>
    </row>
    <row r="1548" spans="1:6" x14ac:dyDescent="0.25">
      <c r="A1548" t="s">
        <v>2231</v>
      </c>
      <c r="B1548" t="s">
        <v>57</v>
      </c>
      <c r="C1548" t="s">
        <v>58</v>
      </c>
      <c r="D1548" t="str">
        <f>HYPERLINK("http://service.sap.com/sap/support/notes/1671630","1671630")</f>
        <v>1671630</v>
      </c>
      <c r="E1548">
        <v>1</v>
      </c>
      <c r="F1548" t="s">
        <v>2244</v>
      </c>
    </row>
    <row r="1549" spans="1:6" x14ac:dyDescent="0.25">
      <c r="A1549" t="s">
        <v>2231</v>
      </c>
      <c r="B1549" t="s">
        <v>57</v>
      </c>
      <c r="C1549" t="s">
        <v>58</v>
      </c>
      <c r="D1549" t="str">
        <f>HYPERLINK("http://service.sap.com/sap/support/notes/1674716","1674716")</f>
        <v>1674716</v>
      </c>
      <c r="E1549">
        <v>1</v>
      </c>
      <c r="F1549" t="s">
        <v>2245</v>
      </c>
    </row>
    <row r="1550" spans="1:6" x14ac:dyDescent="0.25">
      <c r="A1550" t="s">
        <v>2231</v>
      </c>
      <c r="B1550" t="s">
        <v>258</v>
      </c>
      <c r="C1550" t="s">
        <v>186</v>
      </c>
      <c r="D1550" t="str">
        <f>HYPERLINK("http://service.sap.com/sap/support/notes/1672819","1672819")</f>
        <v>1672819</v>
      </c>
      <c r="E1550">
        <v>1</v>
      </c>
      <c r="F1550" t="s">
        <v>2234</v>
      </c>
    </row>
    <row r="1551" spans="1:6" x14ac:dyDescent="0.25">
      <c r="A1551" t="s">
        <v>2231</v>
      </c>
      <c r="B1551" t="s">
        <v>61</v>
      </c>
      <c r="C1551" t="s">
        <v>62</v>
      </c>
      <c r="D1551" t="str">
        <f>HYPERLINK("http://service.sap.com/sap/support/notes/1665150","1665150")</f>
        <v>1665150</v>
      </c>
      <c r="E1551">
        <v>3</v>
      </c>
      <c r="F1551" t="s">
        <v>2246</v>
      </c>
    </row>
    <row r="1552" spans="1:6" x14ac:dyDescent="0.25">
      <c r="A1552" t="s">
        <v>2231</v>
      </c>
      <c r="B1552" t="s">
        <v>66</v>
      </c>
      <c r="C1552" t="s">
        <v>67</v>
      </c>
    </row>
    <row r="1553" spans="1:6" x14ac:dyDescent="0.25">
      <c r="A1553" t="s">
        <v>2231</v>
      </c>
      <c r="B1553" t="s">
        <v>70</v>
      </c>
      <c r="C1553" t="s">
        <v>71</v>
      </c>
      <c r="D1553" t="str">
        <f>HYPERLINK("http://service.sap.com/sap/support/notes/1651414","1651414")</f>
        <v>1651414</v>
      </c>
      <c r="E1553">
        <v>2</v>
      </c>
      <c r="F1553" t="s">
        <v>2247</v>
      </c>
    </row>
    <row r="1554" spans="1:6" x14ac:dyDescent="0.25">
      <c r="A1554" t="s">
        <v>2231</v>
      </c>
      <c r="B1554" t="s">
        <v>70</v>
      </c>
      <c r="C1554" t="s">
        <v>71</v>
      </c>
      <c r="D1554" t="str">
        <f>HYPERLINK("http://service.sap.com/sap/support/notes/1657269","1657269")</f>
        <v>1657269</v>
      </c>
      <c r="E1554">
        <v>4</v>
      </c>
      <c r="F1554" t="s">
        <v>2248</v>
      </c>
    </row>
    <row r="1555" spans="1:6" x14ac:dyDescent="0.25">
      <c r="A1555" t="s">
        <v>2231</v>
      </c>
      <c r="B1555" t="s">
        <v>70</v>
      </c>
      <c r="C1555" t="s">
        <v>71</v>
      </c>
      <c r="D1555" t="str">
        <f>HYPERLINK("http://service.sap.com/sap/support/notes/1665844","1665844")</f>
        <v>1665844</v>
      </c>
      <c r="E1555">
        <v>3</v>
      </c>
      <c r="F1555" t="s">
        <v>2249</v>
      </c>
    </row>
    <row r="1556" spans="1:6" x14ac:dyDescent="0.25">
      <c r="A1556" t="s">
        <v>2231</v>
      </c>
      <c r="B1556" t="s">
        <v>70</v>
      </c>
      <c r="C1556" t="s">
        <v>71</v>
      </c>
      <c r="D1556" t="str">
        <f>HYPERLINK("http://service.sap.com/sap/support/notes/1671699","1671699")</f>
        <v>1671699</v>
      </c>
      <c r="E1556">
        <v>2</v>
      </c>
      <c r="F1556" t="s">
        <v>2250</v>
      </c>
    </row>
    <row r="1557" spans="1:6" x14ac:dyDescent="0.25">
      <c r="A1557" t="s">
        <v>2231</v>
      </c>
      <c r="B1557" t="s">
        <v>70</v>
      </c>
      <c r="C1557" t="s">
        <v>71</v>
      </c>
      <c r="D1557" t="str">
        <f>HYPERLINK("http://service.sap.com/sap/support/notes/1673689","1673689")</f>
        <v>1673689</v>
      </c>
      <c r="E1557">
        <v>5</v>
      </c>
      <c r="F1557" t="s">
        <v>2251</v>
      </c>
    </row>
    <row r="1558" spans="1:6" x14ac:dyDescent="0.25">
      <c r="A1558" t="s">
        <v>2231</v>
      </c>
      <c r="B1558" t="s">
        <v>72</v>
      </c>
      <c r="C1558" t="s">
        <v>73</v>
      </c>
    </row>
    <row r="1559" spans="1:6" x14ac:dyDescent="0.25">
      <c r="A1559" t="s">
        <v>2231</v>
      </c>
      <c r="B1559" t="s">
        <v>364</v>
      </c>
      <c r="C1559" t="s">
        <v>365</v>
      </c>
      <c r="D1559" t="str">
        <f>HYPERLINK("http://service.sap.com/sap/support/notes/1645153","1645153")</f>
        <v>1645153</v>
      </c>
      <c r="E1559">
        <v>1</v>
      </c>
      <c r="F1559" t="s">
        <v>576</v>
      </c>
    </row>
    <row r="1560" spans="1:6" x14ac:dyDescent="0.25">
      <c r="A1560" t="s">
        <v>2231</v>
      </c>
      <c r="B1560" t="s">
        <v>366</v>
      </c>
      <c r="C1560" t="s">
        <v>367</v>
      </c>
      <c r="D1560" t="str">
        <f>HYPERLINK("http://service.sap.com/sap/support/notes/749211","749211")</f>
        <v>749211</v>
      </c>
      <c r="E1560">
        <v>4</v>
      </c>
      <c r="F1560" t="s">
        <v>2252</v>
      </c>
    </row>
    <row r="1561" spans="1:6" x14ac:dyDescent="0.25">
      <c r="A1561" t="s">
        <v>2231</v>
      </c>
      <c r="B1561" t="s">
        <v>2253</v>
      </c>
      <c r="C1561" t="s">
        <v>2254</v>
      </c>
      <c r="D1561" t="str">
        <f>HYPERLINK("http://service.sap.com/sap/support/notes/1658275","1658275")</f>
        <v>1658275</v>
      </c>
      <c r="E1561">
        <v>1</v>
      </c>
      <c r="F1561" t="s">
        <v>2255</v>
      </c>
    </row>
    <row r="1562" spans="1:6" x14ac:dyDescent="0.25">
      <c r="A1562" t="s">
        <v>2231</v>
      </c>
      <c r="B1562" t="s">
        <v>284</v>
      </c>
      <c r="C1562" t="s">
        <v>393</v>
      </c>
    </row>
    <row r="1563" spans="1:6" x14ac:dyDescent="0.25">
      <c r="A1563" t="s">
        <v>2231</v>
      </c>
      <c r="B1563" t="s">
        <v>301</v>
      </c>
      <c r="C1563" t="s">
        <v>302</v>
      </c>
      <c r="D1563" t="str">
        <f>HYPERLINK("http://service.sap.com/sap/support/notes/1670770","1670770")</f>
        <v>1670770</v>
      </c>
      <c r="E1563">
        <v>1</v>
      </c>
      <c r="F1563" t="s">
        <v>2256</v>
      </c>
    </row>
    <row r="1564" spans="1:6" x14ac:dyDescent="0.25">
      <c r="A1564" t="s">
        <v>2231</v>
      </c>
      <c r="B1564" t="s">
        <v>76</v>
      </c>
      <c r="C1564" t="s">
        <v>77</v>
      </c>
    </row>
    <row r="1565" spans="1:6" x14ac:dyDescent="0.25">
      <c r="A1565" t="s">
        <v>2231</v>
      </c>
      <c r="B1565" t="s">
        <v>78</v>
      </c>
      <c r="C1565" t="s">
        <v>79</v>
      </c>
      <c r="D1565" t="str">
        <f>HYPERLINK("http://service.sap.com/sap/support/notes/1670392","1670392")</f>
        <v>1670392</v>
      </c>
      <c r="E1565">
        <v>1</v>
      </c>
      <c r="F1565" t="s">
        <v>2257</v>
      </c>
    </row>
    <row r="1566" spans="1:6" x14ac:dyDescent="0.25">
      <c r="A1566" t="s">
        <v>2231</v>
      </c>
      <c r="B1566" t="s">
        <v>78</v>
      </c>
      <c r="C1566" t="s">
        <v>79</v>
      </c>
      <c r="D1566" t="str">
        <f>HYPERLINK("http://service.sap.com/sap/support/notes/1670397","1670397")</f>
        <v>1670397</v>
      </c>
      <c r="E1566">
        <v>1</v>
      </c>
      <c r="F1566" t="s">
        <v>1878</v>
      </c>
    </row>
    <row r="1567" spans="1:6" x14ac:dyDescent="0.25">
      <c r="A1567" t="s">
        <v>2231</v>
      </c>
      <c r="B1567" t="s">
        <v>80</v>
      </c>
      <c r="C1567" t="s">
        <v>32</v>
      </c>
      <c r="D1567" t="str">
        <f>HYPERLINK("http://service.sap.com/sap/support/notes/1630419","1630419")</f>
        <v>1630419</v>
      </c>
      <c r="E1567">
        <v>4</v>
      </c>
      <c r="F1567" t="s">
        <v>2258</v>
      </c>
    </row>
    <row r="1568" spans="1:6" x14ac:dyDescent="0.25">
      <c r="A1568" t="s">
        <v>2231</v>
      </c>
      <c r="B1568" t="s">
        <v>80</v>
      </c>
      <c r="C1568" t="s">
        <v>32</v>
      </c>
      <c r="D1568" t="str">
        <f>HYPERLINK("http://service.sap.com/sap/support/notes/1665910","1665910")</f>
        <v>1665910</v>
      </c>
      <c r="E1568">
        <v>8</v>
      </c>
      <c r="F1568" t="s">
        <v>2259</v>
      </c>
    </row>
    <row r="1569" spans="1:6" x14ac:dyDescent="0.25">
      <c r="A1569" t="s">
        <v>2231</v>
      </c>
      <c r="B1569" t="s">
        <v>80</v>
      </c>
      <c r="C1569" t="s">
        <v>32</v>
      </c>
      <c r="D1569" t="str">
        <f>HYPERLINK("http://service.sap.com/sap/support/notes/1666510","1666510")</f>
        <v>1666510</v>
      </c>
      <c r="E1569">
        <v>2</v>
      </c>
      <c r="F1569" t="s">
        <v>2260</v>
      </c>
    </row>
    <row r="1570" spans="1:6" x14ac:dyDescent="0.25">
      <c r="A1570" t="s">
        <v>2231</v>
      </c>
      <c r="B1570" t="s">
        <v>80</v>
      </c>
      <c r="C1570" t="s">
        <v>32</v>
      </c>
      <c r="D1570" t="str">
        <f>HYPERLINK("http://service.sap.com/sap/support/notes/1671887","1671887")</f>
        <v>1671887</v>
      </c>
      <c r="E1570">
        <v>1</v>
      </c>
      <c r="F1570" t="s">
        <v>2261</v>
      </c>
    </row>
    <row r="1571" spans="1:6" x14ac:dyDescent="0.25">
      <c r="A1571" t="s">
        <v>2231</v>
      </c>
      <c r="B1571" t="s">
        <v>80</v>
      </c>
      <c r="C1571" t="s">
        <v>32</v>
      </c>
      <c r="D1571" t="str">
        <f>HYPERLINK("http://service.sap.com/sap/support/notes/1672494","1672494")</f>
        <v>1672494</v>
      </c>
      <c r="E1571">
        <v>2</v>
      </c>
      <c r="F1571" t="s">
        <v>2262</v>
      </c>
    </row>
    <row r="1572" spans="1:6" x14ac:dyDescent="0.25">
      <c r="A1572" t="s">
        <v>2231</v>
      </c>
      <c r="B1572" t="s">
        <v>80</v>
      </c>
      <c r="C1572" t="s">
        <v>32</v>
      </c>
      <c r="D1572" t="str">
        <f>HYPERLINK("http://service.sap.com/sap/support/notes/1673260","1673260")</f>
        <v>1673260</v>
      </c>
      <c r="E1572">
        <v>1</v>
      </c>
      <c r="F1572" t="s">
        <v>2263</v>
      </c>
    </row>
    <row r="1573" spans="1:6" x14ac:dyDescent="0.25">
      <c r="A1573" t="s">
        <v>2231</v>
      </c>
      <c r="B1573" t="s">
        <v>80</v>
      </c>
      <c r="C1573" t="s">
        <v>32</v>
      </c>
      <c r="D1573" t="str">
        <f>HYPERLINK("http://service.sap.com/sap/support/notes/1675450","1675450")</f>
        <v>1675450</v>
      </c>
      <c r="E1573">
        <v>2</v>
      </c>
      <c r="F1573" t="s">
        <v>2264</v>
      </c>
    </row>
    <row r="1574" spans="1:6" x14ac:dyDescent="0.25">
      <c r="A1574" t="s">
        <v>2231</v>
      </c>
      <c r="B1574" t="s">
        <v>83</v>
      </c>
      <c r="C1574" t="s">
        <v>84</v>
      </c>
      <c r="D1574" t="str">
        <f>HYPERLINK("http://service.sap.com/sap/support/notes/1636588","1636588")</f>
        <v>1636588</v>
      </c>
      <c r="E1574">
        <v>2</v>
      </c>
      <c r="F1574" t="s">
        <v>2265</v>
      </c>
    </row>
    <row r="1575" spans="1:6" x14ac:dyDescent="0.25">
      <c r="A1575" t="s">
        <v>2231</v>
      </c>
      <c r="B1575" t="s">
        <v>83</v>
      </c>
      <c r="C1575" t="s">
        <v>84</v>
      </c>
      <c r="D1575" t="str">
        <f>HYPERLINK("http://service.sap.com/sap/support/notes/1672112","1672112")</f>
        <v>1672112</v>
      </c>
      <c r="E1575">
        <v>1</v>
      </c>
      <c r="F1575" t="s">
        <v>2266</v>
      </c>
    </row>
    <row r="1576" spans="1:6" x14ac:dyDescent="0.25">
      <c r="A1576" t="s">
        <v>2231</v>
      </c>
      <c r="B1576" t="s">
        <v>83</v>
      </c>
      <c r="C1576" t="s">
        <v>84</v>
      </c>
      <c r="D1576" t="str">
        <f>HYPERLINK("http://service.sap.com/sap/support/notes/1672156","1672156")</f>
        <v>1672156</v>
      </c>
      <c r="E1576">
        <v>1</v>
      </c>
      <c r="F1576" t="s">
        <v>2267</v>
      </c>
    </row>
    <row r="1577" spans="1:6" x14ac:dyDescent="0.25">
      <c r="A1577" t="s">
        <v>2231</v>
      </c>
      <c r="B1577" t="s">
        <v>83</v>
      </c>
      <c r="C1577" t="s">
        <v>84</v>
      </c>
      <c r="D1577" t="str">
        <f>HYPERLINK("http://service.sap.com/sap/support/notes/1673865","1673865")</f>
        <v>1673865</v>
      </c>
      <c r="E1577">
        <v>1</v>
      </c>
      <c r="F1577" t="s">
        <v>2268</v>
      </c>
    </row>
    <row r="1578" spans="1:6" x14ac:dyDescent="0.25">
      <c r="A1578" t="s">
        <v>2231</v>
      </c>
      <c r="B1578" t="s">
        <v>83</v>
      </c>
      <c r="C1578" t="s">
        <v>84</v>
      </c>
      <c r="D1578" t="str">
        <f>HYPERLINK("http://service.sap.com/sap/support/notes/1673880","1673880")</f>
        <v>1673880</v>
      </c>
      <c r="E1578">
        <v>2</v>
      </c>
      <c r="F1578" t="s">
        <v>2269</v>
      </c>
    </row>
    <row r="1579" spans="1:6" x14ac:dyDescent="0.25">
      <c r="A1579" t="s">
        <v>2231</v>
      </c>
      <c r="B1579" t="s">
        <v>83</v>
      </c>
      <c r="C1579" t="s">
        <v>84</v>
      </c>
      <c r="D1579" t="str">
        <f>HYPERLINK("http://service.sap.com/sap/support/notes/1674853","1674853")</f>
        <v>1674853</v>
      </c>
      <c r="E1579">
        <v>1</v>
      </c>
      <c r="F1579" t="s">
        <v>2270</v>
      </c>
    </row>
    <row r="1580" spans="1:6" x14ac:dyDescent="0.25">
      <c r="A1580" t="s">
        <v>2231</v>
      </c>
      <c r="B1580" t="s">
        <v>88</v>
      </c>
      <c r="C1580" t="s">
        <v>82</v>
      </c>
      <c r="D1580" t="str">
        <f>HYPERLINK("http://service.sap.com/sap/support/notes/1627530","1627530")</f>
        <v>1627530</v>
      </c>
      <c r="E1580">
        <v>3</v>
      </c>
      <c r="F1580" t="s">
        <v>2271</v>
      </c>
    </row>
    <row r="1581" spans="1:6" x14ac:dyDescent="0.25">
      <c r="A1581" t="s">
        <v>2231</v>
      </c>
      <c r="B1581" t="s">
        <v>88</v>
      </c>
      <c r="C1581" t="s">
        <v>82</v>
      </c>
      <c r="D1581" t="str">
        <f>HYPERLINK("http://service.sap.com/sap/support/notes/1632880","1632880")</f>
        <v>1632880</v>
      </c>
      <c r="E1581">
        <v>6</v>
      </c>
      <c r="F1581" t="s">
        <v>2272</v>
      </c>
    </row>
    <row r="1582" spans="1:6" x14ac:dyDescent="0.25">
      <c r="A1582" t="s">
        <v>2231</v>
      </c>
      <c r="B1582" t="s">
        <v>88</v>
      </c>
      <c r="C1582" t="s">
        <v>82</v>
      </c>
      <c r="D1582" t="str">
        <f>HYPERLINK("http://service.sap.com/sap/support/notes/1668552","1668552")</f>
        <v>1668552</v>
      </c>
      <c r="E1582">
        <v>2</v>
      </c>
      <c r="F1582" t="s">
        <v>404</v>
      </c>
    </row>
    <row r="1583" spans="1:6" x14ac:dyDescent="0.25">
      <c r="A1583" t="s">
        <v>2231</v>
      </c>
      <c r="B1583" t="s">
        <v>88</v>
      </c>
      <c r="C1583" t="s">
        <v>82</v>
      </c>
      <c r="D1583" t="str">
        <f>HYPERLINK("http://service.sap.com/sap/support/notes/1674542","1674542")</f>
        <v>1674542</v>
      </c>
      <c r="E1583">
        <v>1</v>
      </c>
      <c r="F1583" t="s">
        <v>2273</v>
      </c>
    </row>
    <row r="1584" spans="1:6" x14ac:dyDescent="0.25">
      <c r="A1584" t="s">
        <v>2231</v>
      </c>
      <c r="B1584" t="s">
        <v>89</v>
      </c>
      <c r="C1584" t="s">
        <v>34</v>
      </c>
      <c r="D1584" t="str">
        <f>HYPERLINK("http://service.sap.com/sap/support/notes/1656840","1656840")</f>
        <v>1656840</v>
      </c>
      <c r="E1584">
        <v>4</v>
      </c>
      <c r="F1584" t="s">
        <v>2274</v>
      </c>
    </row>
    <row r="1585" spans="1:6" x14ac:dyDescent="0.25">
      <c r="A1585" t="s">
        <v>2231</v>
      </c>
      <c r="B1585" t="s">
        <v>89</v>
      </c>
      <c r="C1585" t="s">
        <v>34</v>
      </c>
      <c r="D1585" t="str">
        <f>HYPERLINK("http://service.sap.com/sap/support/notes/1662947","1662947")</f>
        <v>1662947</v>
      </c>
      <c r="E1585">
        <v>2</v>
      </c>
      <c r="F1585" t="s">
        <v>1915</v>
      </c>
    </row>
    <row r="1586" spans="1:6" x14ac:dyDescent="0.25">
      <c r="A1586" t="s">
        <v>2231</v>
      </c>
      <c r="B1586" t="s">
        <v>89</v>
      </c>
      <c r="C1586" t="s">
        <v>34</v>
      </c>
      <c r="D1586" t="str">
        <f>HYPERLINK("http://service.sap.com/sap/support/notes/1667500","1667500")</f>
        <v>1667500</v>
      </c>
      <c r="E1586">
        <v>3</v>
      </c>
      <c r="F1586" t="s">
        <v>2275</v>
      </c>
    </row>
    <row r="1587" spans="1:6" x14ac:dyDescent="0.25">
      <c r="A1587" t="s">
        <v>2231</v>
      </c>
      <c r="B1587" t="s">
        <v>89</v>
      </c>
      <c r="C1587" t="s">
        <v>34</v>
      </c>
      <c r="D1587" t="str">
        <f>HYPERLINK("http://service.sap.com/sap/support/notes/1669640","1669640")</f>
        <v>1669640</v>
      </c>
      <c r="E1587">
        <v>3</v>
      </c>
      <c r="F1587" t="s">
        <v>2276</v>
      </c>
    </row>
    <row r="1588" spans="1:6" x14ac:dyDescent="0.25">
      <c r="A1588" t="s">
        <v>2231</v>
      </c>
      <c r="B1588" t="s">
        <v>89</v>
      </c>
      <c r="C1588" t="s">
        <v>34</v>
      </c>
      <c r="D1588" t="str">
        <f>HYPERLINK("http://service.sap.com/sap/support/notes/1669987","1669987")</f>
        <v>1669987</v>
      </c>
      <c r="E1588">
        <v>2</v>
      </c>
      <c r="F1588" t="s">
        <v>2277</v>
      </c>
    </row>
    <row r="1589" spans="1:6" x14ac:dyDescent="0.25">
      <c r="A1589" t="s">
        <v>2231</v>
      </c>
      <c r="B1589" t="s">
        <v>89</v>
      </c>
      <c r="C1589" t="s">
        <v>34</v>
      </c>
      <c r="D1589" t="str">
        <f>HYPERLINK("http://service.sap.com/sap/support/notes/1670404","1670404")</f>
        <v>1670404</v>
      </c>
      <c r="E1589">
        <v>1</v>
      </c>
      <c r="F1589" t="s">
        <v>2278</v>
      </c>
    </row>
    <row r="1590" spans="1:6" x14ac:dyDescent="0.25">
      <c r="A1590" t="s">
        <v>2231</v>
      </c>
      <c r="B1590" t="s">
        <v>89</v>
      </c>
      <c r="C1590" t="s">
        <v>34</v>
      </c>
      <c r="D1590" t="str">
        <f>HYPERLINK("http://service.sap.com/sap/support/notes/1670846","1670846")</f>
        <v>1670846</v>
      </c>
      <c r="E1590">
        <v>1</v>
      </c>
      <c r="F1590" t="s">
        <v>2279</v>
      </c>
    </row>
    <row r="1591" spans="1:6" x14ac:dyDescent="0.25">
      <c r="A1591" t="s">
        <v>2231</v>
      </c>
      <c r="B1591" t="s">
        <v>89</v>
      </c>
      <c r="C1591" t="s">
        <v>34</v>
      </c>
      <c r="D1591" t="str">
        <f>HYPERLINK("http://service.sap.com/sap/support/notes/1671230","1671230")</f>
        <v>1671230</v>
      </c>
      <c r="E1591">
        <v>2</v>
      </c>
      <c r="F1591" t="s">
        <v>2280</v>
      </c>
    </row>
    <row r="1592" spans="1:6" x14ac:dyDescent="0.25">
      <c r="A1592" t="s">
        <v>2231</v>
      </c>
      <c r="B1592" t="s">
        <v>89</v>
      </c>
      <c r="C1592" t="s">
        <v>34</v>
      </c>
      <c r="D1592" t="str">
        <f>HYPERLINK("http://service.sap.com/sap/support/notes/1671341","1671341")</f>
        <v>1671341</v>
      </c>
      <c r="E1592">
        <v>2</v>
      </c>
      <c r="F1592" t="s">
        <v>2281</v>
      </c>
    </row>
    <row r="1593" spans="1:6" x14ac:dyDescent="0.25">
      <c r="A1593" t="s">
        <v>2231</v>
      </c>
      <c r="B1593" t="s">
        <v>89</v>
      </c>
      <c r="C1593" t="s">
        <v>34</v>
      </c>
      <c r="D1593" t="str">
        <f>HYPERLINK("http://service.sap.com/sap/support/notes/1671478","1671478")</f>
        <v>1671478</v>
      </c>
      <c r="E1593">
        <v>2</v>
      </c>
      <c r="F1593" t="s">
        <v>2282</v>
      </c>
    </row>
    <row r="1594" spans="1:6" x14ac:dyDescent="0.25">
      <c r="A1594" t="s">
        <v>2231</v>
      </c>
      <c r="B1594" t="s">
        <v>89</v>
      </c>
      <c r="C1594" t="s">
        <v>34</v>
      </c>
      <c r="D1594" t="str">
        <f>HYPERLINK("http://service.sap.com/sap/support/notes/1671510","1671510")</f>
        <v>1671510</v>
      </c>
      <c r="E1594">
        <v>1</v>
      </c>
      <c r="F1594" t="s">
        <v>2283</v>
      </c>
    </row>
    <row r="1595" spans="1:6" x14ac:dyDescent="0.25">
      <c r="A1595" t="s">
        <v>2231</v>
      </c>
      <c r="B1595" t="s">
        <v>89</v>
      </c>
      <c r="C1595" t="s">
        <v>34</v>
      </c>
      <c r="D1595" t="str">
        <f>HYPERLINK("http://service.sap.com/sap/support/notes/1671566","1671566")</f>
        <v>1671566</v>
      </c>
      <c r="E1595">
        <v>1</v>
      </c>
      <c r="F1595" t="s">
        <v>2284</v>
      </c>
    </row>
    <row r="1596" spans="1:6" x14ac:dyDescent="0.25">
      <c r="A1596" t="s">
        <v>2231</v>
      </c>
      <c r="B1596" t="s">
        <v>89</v>
      </c>
      <c r="C1596" t="s">
        <v>34</v>
      </c>
      <c r="D1596" t="str">
        <f>HYPERLINK("http://service.sap.com/sap/support/notes/1672372","1672372")</f>
        <v>1672372</v>
      </c>
      <c r="E1596">
        <v>2</v>
      </c>
      <c r="F1596" t="s">
        <v>2285</v>
      </c>
    </row>
    <row r="1597" spans="1:6" x14ac:dyDescent="0.25">
      <c r="A1597" t="s">
        <v>2231</v>
      </c>
      <c r="B1597" t="s">
        <v>89</v>
      </c>
      <c r="C1597" t="s">
        <v>34</v>
      </c>
      <c r="D1597" t="str">
        <f>HYPERLINK("http://service.sap.com/sap/support/notes/1672761","1672761")</f>
        <v>1672761</v>
      </c>
      <c r="E1597">
        <v>1</v>
      </c>
      <c r="F1597" t="s">
        <v>2286</v>
      </c>
    </row>
    <row r="1598" spans="1:6" x14ac:dyDescent="0.25">
      <c r="A1598" t="s">
        <v>2231</v>
      </c>
      <c r="B1598" t="s">
        <v>89</v>
      </c>
      <c r="C1598" t="s">
        <v>34</v>
      </c>
      <c r="D1598" t="str">
        <f>HYPERLINK("http://service.sap.com/sap/support/notes/1672987","1672987")</f>
        <v>1672987</v>
      </c>
      <c r="E1598">
        <v>1</v>
      </c>
      <c r="F1598" t="s">
        <v>2287</v>
      </c>
    </row>
    <row r="1599" spans="1:6" x14ac:dyDescent="0.25">
      <c r="A1599" t="s">
        <v>2231</v>
      </c>
      <c r="B1599" t="s">
        <v>89</v>
      </c>
      <c r="C1599" t="s">
        <v>34</v>
      </c>
      <c r="D1599" t="str">
        <f>HYPERLINK("http://service.sap.com/sap/support/notes/1673388","1673388")</f>
        <v>1673388</v>
      </c>
      <c r="E1599">
        <v>2</v>
      </c>
      <c r="F1599" t="s">
        <v>2288</v>
      </c>
    </row>
    <row r="1600" spans="1:6" x14ac:dyDescent="0.25">
      <c r="A1600" t="s">
        <v>2231</v>
      </c>
      <c r="B1600" t="s">
        <v>89</v>
      </c>
      <c r="C1600" t="s">
        <v>34</v>
      </c>
      <c r="D1600" t="str">
        <f>HYPERLINK("http://service.sap.com/sap/support/notes/1673597","1673597")</f>
        <v>1673597</v>
      </c>
      <c r="E1600">
        <v>2</v>
      </c>
      <c r="F1600" t="s">
        <v>2289</v>
      </c>
    </row>
    <row r="1601" spans="1:6" x14ac:dyDescent="0.25">
      <c r="A1601" t="s">
        <v>2231</v>
      </c>
      <c r="B1601" t="s">
        <v>89</v>
      </c>
      <c r="C1601" t="s">
        <v>34</v>
      </c>
      <c r="D1601" t="str">
        <f>HYPERLINK("http://service.sap.com/sap/support/notes/1674934","1674934")</f>
        <v>1674934</v>
      </c>
      <c r="E1601">
        <v>3</v>
      </c>
      <c r="F1601" t="s">
        <v>2290</v>
      </c>
    </row>
    <row r="1602" spans="1:6" x14ac:dyDescent="0.25">
      <c r="A1602" t="s">
        <v>2231</v>
      </c>
      <c r="B1602" t="s">
        <v>91</v>
      </c>
      <c r="C1602" t="s">
        <v>92</v>
      </c>
      <c r="D1602" t="str">
        <f>HYPERLINK("http://service.sap.com/sap/support/notes/1646997","1646997")</f>
        <v>1646997</v>
      </c>
      <c r="E1602">
        <v>3</v>
      </c>
      <c r="F1602" t="s">
        <v>2291</v>
      </c>
    </row>
    <row r="1603" spans="1:6" x14ac:dyDescent="0.25">
      <c r="A1603" t="s">
        <v>2231</v>
      </c>
      <c r="B1603" t="s">
        <v>91</v>
      </c>
      <c r="C1603" t="s">
        <v>92</v>
      </c>
      <c r="D1603" t="str">
        <f>HYPERLINK("http://service.sap.com/sap/support/notes/1647861","1647861")</f>
        <v>1647861</v>
      </c>
      <c r="E1603">
        <v>4</v>
      </c>
      <c r="F1603" t="s">
        <v>2292</v>
      </c>
    </row>
    <row r="1604" spans="1:6" x14ac:dyDescent="0.25">
      <c r="A1604" t="s">
        <v>2231</v>
      </c>
      <c r="B1604" t="s">
        <v>91</v>
      </c>
      <c r="C1604" t="s">
        <v>92</v>
      </c>
      <c r="D1604" t="str">
        <f>HYPERLINK("http://service.sap.com/sap/support/notes/1651135","1651135")</f>
        <v>1651135</v>
      </c>
      <c r="E1604">
        <v>2</v>
      </c>
      <c r="F1604" t="s">
        <v>2293</v>
      </c>
    </row>
    <row r="1605" spans="1:6" x14ac:dyDescent="0.25">
      <c r="A1605" t="s">
        <v>2231</v>
      </c>
      <c r="B1605" t="s">
        <v>91</v>
      </c>
      <c r="C1605" t="s">
        <v>92</v>
      </c>
      <c r="D1605" t="str">
        <f>HYPERLINK("http://service.sap.com/sap/support/notes/1657199","1657199")</f>
        <v>1657199</v>
      </c>
      <c r="E1605">
        <v>2</v>
      </c>
      <c r="F1605" t="s">
        <v>2294</v>
      </c>
    </row>
    <row r="1606" spans="1:6" x14ac:dyDescent="0.25">
      <c r="A1606" t="s">
        <v>2231</v>
      </c>
      <c r="B1606" t="s">
        <v>91</v>
      </c>
      <c r="C1606" t="s">
        <v>92</v>
      </c>
      <c r="D1606" t="str">
        <f>HYPERLINK("http://service.sap.com/sap/support/notes/1657284","1657284")</f>
        <v>1657284</v>
      </c>
      <c r="E1606">
        <v>2</v>
      </c>
      <c r="F1606" t="s">
        <v>2295</v>
      </c>
    </row>
    <row r="1607" spans="1:6" x14ac:dyDescent="0.25">
      <c r="A1607" t="s">
        <v>2231</v>
      </c>
      <c r="B1607" t="s">
        <v>91</v>
      </c>
      <c r="C1607" t="s">
        <v>92</v>
      </c>
      <c r="D1607" t="str">
        <f>HYPERLINK("http://service.sap.com/sap/support/notes/1667587","1667587")</f>
        <v>1667587</v>
      </c>
      <c r="E1607">
        <v>3</v>
      </c>
      <c r="F1607" t="s">
        <v>2296</v>
      </c>
    </row>
    <row r="1608" spans="1:6" x14ac:dyDescent="0.25">
      <c r="A1608" t="s">
        <v>2231</v>
      </c>
      <c r="B1608" t="s">
        <v>91</v>
      </c>
      <c r="C1608" t="s">
        <v>92</v>
      </c>
      <c r="D1608" t="str">
        <f>HYPERLINK("http://service.sap.com/sap/support/notes/1670422","1670422")</f>
        <v>1670422</v>
      </c>
      <c r="E1608">
        <v>1</v>
      </c>
      <c r="F1608" t="s">
        <v>2297</v>
      </c>
    </row>
    <row r="1609" spans="1:6" x14ac:dyDescent="0.25">
      <c r="A1609" t="s">
        <v>2231</v>
      </c>
      <c r="B1609" t="s">
        <v>91</v>
      </c>
      <c r="C1609" t="s">
        <v>92</v>
      </c>
      <c r="D1609" t="str">
        <f>HYPERLINK("http://service.sap.com/sap/support/notes/1676110","1676110")</f>
        <v>1676110</v>
      </c>
      <c r="E1609">
        <v>1</v>
      </c>
      <c r="F1609" t="s">
        <v>2298</v>
      </c>
    </row>
    <row r="1610" spans="1:6" x14ac:dyDescent="0.25">
      <c r="A1610" t="s">
        <v>2231</v>
      </c>
      <c r="B1610" t="s">
        <v>94</v>
      </c>
      <c r="C1610" t="s">
        <v>95</v>
      </c>
      <c r="D1610" t="str">
        <f>HYPERLINK("http://service.sap.com/sap/support/notes/1657070","1657070")</f>
        <v>1657070</v>
      </c>
      <c r="E1610">
        <v>2</v>
      </c>
      <c r="F1610" t="s">
        <v>2299</v>
      </c>
    </row>
    <row r="1611" spans="1:6" x14ac:dyDescent="0.25">
      <c r="A1611" t="s">
        <v>2231</v>
      </c>
      <c r="B1611" t="s">
        <v>94</v>
      </c>
      <c r="C1611" t="s">
        <v>95</v>
      </c>
      <c r="D1611" t="str">
        <f>HYPERLINK("http://service.sap.com/sap/support/notes/1673145","1673145")</f>
        <v>1673145</v>
      </c>
      <c r="E1611">
        <v>2</v>
      </c>
      <c r="F1611" t="s">
        <v>2300</v>
      </c>
    </row>
    <row r="1612" spans="1:6" x14ac:dyDescent="0.25">
      <c r="A1612" t="s">
        <v>2231</v>
      </c>
      <c r="B1612" t="s">
        <v>306</v>
      </c>
      <c r="C1612" t="s">
        <v>132</v>
      </c>
      <c r="D1612" t="str">
        <f>HYPERLINK("http://service.sap.com/sap/support/notes/1669672","1669672")</f>
        <v>1669672</v>
      </c>
      <c r="E1612">
        <v>1</v>
      </c>
      <c r="F1612" t="s">
        <v>2301</v>
      </c>
    </row>
    <row r="1613" spans="1:6" x14ac:dyDescent="0.25">
      <c r="A1613" t="s">
        <v>2231</v>
      </c>
      <c r="B1613" t="s">
        <v>306</v>
      </c>
      <c r="C1613" t="s">
        <v>132</v>
      </c>
      <c r="D1613" t="str">
        <f>HYPERLINK("http://service.sap.com/sap/support/notes/1672646","1672646")</f>
        <v>1672646</v>
      </c>
      <c r="E1613">
        <v>1</v>
      </c>
      <c r="F1613" t="s">
        <v>2302</v>
      </c>
    </row>
    <row r="1614" spans="1:6" x14ac:dyDescent="0.25">
      <c r="A1614" t="s">
        <v>2231</v>
      </c>
      <c r="B1614" t="s">
        <v>306</v>
      </c>
      <c r="C1614" t="s">
        <v>132</v>
      </c>
      <c r="D1614" t="str">
        <f>HYPERLINK("http://service.sap.com/sap/support/notes/1673638","1673638")</f>
        <v>1673638</v>
      </c>
      <c r="E1614">
        <v>1</v>
      </c>
      <c r="F1614" t="s">
        <v>2303</v>
      </c>
    </row>
    <row r="1615" spans="1:6" x14ac:dyDescent="0.25">
      <c r="A1615" t="s">
        <v>2231</v>
      </c>
      <c r="B1615" t="s">
        <v>96</v>
      </c>
      <c r="C1615" t="s">
        <v>97</v>
      </c>
      <c r="D1615" t="str">
        <f>HYPERLINK("http://service.sap.com/sap/support/notes/980326","980326")</f>
        <v>980326</v>
      </c>
      <c r="E1615">
        <v>3</v>
      </c>
      <c r="F1615" t="s">
        <v>2304</v>
      </c>
    </row>
    <row r="1616" spans="1:6" x14ac:dyDescent="0.25">
      <c r="A1616" t="s">
        <v>2231</v>
      </c>
      <c r="B1616" t="s">
        <v>96</v>
      </c>
      <c r="C1616" t="s">
        <v>97</v>
      </c>
      <c r="D1616" t="str">
        <f>HYPERLINK("http://service.sap.com/sap/support/notes/1621894","1621894")</f>
        <v>1621894</v>
      </c>
      <c r="E1616">
        <v>1</v>
      </c>
      <c r="F1616" t="s">
        <v>2305</v>
      </c>
    </row>
    <row r="1617" spans="1:6" x14ac:dyDescent="0.25">
      <c r="A1617" t="s">
        <v>2231</v>
      </c>
      <c r="B1617" t="s">
        <v>96</v>
      </c>
      <c r="C1617" t="s">
        <v>97</v>
      </c>
      <c r="D1617" t="str">
        <f>HYPERLINK("http://service.sap.com/sap/support/notes/1670586","1670586")</f>
        <v>1670586</v>
      </c>
      <c r="E1617">
        <v>1</v>
      </c>
      <c r="F1617" t="s">
        <v>2306</v>
      </c>
    </row>
    <row r="1618" spans="1:6" x14ac:dyDescent="0.25">
      <c r="A1618" t="s">
        <v>2231</v>
      </c>
      <c r="B1618" t="s">
        <v>96</v>
      </c>
      <c r="C1618" t="s">
        <v>97</v>
      </c>
      <c r="D1618" t="str">
        <f>HYPERLINK("http://service.sap.com/sap/support/notes/1671717","1671717")</f>
        <v>1671717</v>
      </c>
      <c r="E1618">
        <v>1</v>
      </c>
      <c r="F1618" t="s">
        <v>2307</v>
      </c>
    </row>
    <row r="1619" spans="1:6" x14ac:dyDescent="0.25">
      <c r="A1619" t="s">
        <v>2231</v>
      </c>
      <c r="B1619" t="s">
        <v>96</v>
      </c>
      <c r="C1619" t="s">
        <v>97</v>
      </c>
      <c r="D1619" t="str">
        <f>HYPERLINK("http://service.sap.com/sap/support/notes/1672885","1672885")</f>
        <v>1672885</v>
      </c>
      <c r="E1619">
        <v>1</v>
      </c>
      <c r="F1619" t="s">
        <v>2308</v>
      </c>
    </row>
    <row r="1620" spans="1:6" x14ac:dyDescent="0.25">
      <c r="A1620" t="s">
        <v>2231</v>
      </c>
      <c r="B1620" t="s">
        <v>96</v>
      </c>
      <c r="C1620" t="s">
        <v>97</v>
      </c>
      <c r="D1620" t="str">
        <f>HYPERLINK("http://service.sap.com/sap/support/notes/1674459","1674459")</f>
        <v>1674459</v>
      </c>
      <c r="E1620">
        <v>1</v>
      </c>
      <c r="F1620" t="s">
        <v>2309</v>
      </c>
    </row>
    <row r="1621" spans="1:6" x14ac:dyDescent="0.25">
      <c r="A1621" t="s">
        <v>2231</v>
      </c>
      <c r="B1621" t="s">
        <v>98</v>
      </c>
      <c r="C1621" t="s">
        <v>99</v>
      </c>
      <c r="D1621" t="str">
        <f>HYPERLINK("http://service.sap.com/sap/support/notes/1661731","1661731")</f>
        <v>1661731</v>
      </c>
      <c r="E1621">
        <v>2</v>
      </c>
      <c r="F1621" t="s">
        <v>2310</v>
      </c>
    </row>
    <row r="1622" spans="1:6" x14ac:dyDescent="0.25">
      <c r="A1622" t="s">
        <v>2231</v>
      </c>
      <c r="B1622" t="s">
        <v>98</v>
      </c>
      <c r="C1622" t="s">
        <v>99</v>
      </c>
      <c r="D1622" t="str">
        <f>HYPERLINK("http://service.sap.com/sap/support/notes/1664762","1664762")</f>
        <v>1664762</v>
      </c>
      <c r="E1622">
        <v>3</v>
      </c>
      <c r="F1622" t="s">
        <v>2311</v>
      </c>
    </row>
    <row r="1623" spans="1:6" x14ac:dyDescent="0.25">
      <c r="A1623" t="s">
        <v>2231</v>
      </c>
      <c r="B1623" t="s">
        <v>98</v>
      </c>
      <c r="C1623" t="s">
        <v>99</v>
      </c>
      <c r="D1623" t="str">
        <f>HYPERLINK("http://service.sap.com/sap/support/notes/1671473","1671473")</f>
        <v>1671473</v>
      </c>
      <c r="E1623">
        <v>1</v>
      </c>
      <c r="F1623" t="s">
        <v>2312</v>
      </c>
    </row>
    <row r="1624" spans="1:6" x14ac:dyDescent="0.25">
      <c r="A1624" t="s">
        <v>2231</v>
      </c>
      <c r="B1624" t="s">
        <v>100</v>
      </c>
      <c r="C1624" t="s">
        <v>36</v>
      </c>
      <c r="D1624" t="str">
        <f>HYPERLINK("http://service.sap.com/sap/support/notes/1648731","1648731")</f>
        <v>1648731</v>
      </c>
      <c r="E1624">
        <v>1</v>
      </c>
      <c r="F1624" t="s">
        <v>2313</v>
      </c>
    </row>
    <row r="1625" spans="1:6" x14ac:dyDescent="0.25">
      <c r="A1625" t="s">
        <v>2231</v>
      </c>
      <c r="B1625" t="s">
        <v>100</v>
      </c>
      <c r="C1625" t="s">
        <v>36</v>
      </c>
      <c r="D1625" t="str">
        <f>HYPERLINK("http://service.sap.com/sap/support/notes/1668669","1668669")</f>
        <v>1668669</v>
      </c>
      <c r="E1625">
        <v>1</v>
      </c>
      <c r="F1625" t="s">
        <v>2314</v>
      </c>
    </row>
    <row r="1626" spans="1:6" x14ac:dyDescent="0.25">
      <c r="A1626" t="s">
        <v>2231</v>
      </c>
      <c r="B1626" t="s">
        <v>101</v>
      </c>
      <c r="C1626" t="s">
        <v>38</v>
      </c>
      <c r="D1626" t="str">
        <f>HYPERLINK("http://service.sap.com/sap/support/notes/1672405","1672405")</f>
        <v>1672405</v>
      </c>
      <c r="E1626">
        <v>1</v>
      </c>
      <c r="F1626" t="s">
        <v>2315</v>
      </c>
    </row>
    <row r="1627" spans="1:6" x14ac:dyDescent="0.25">
      <c r="A1627" t="s">
        <v>2231</v>
      </c>
      <c r="B1627" t="s">
        <v>102</v>
      </c>
      <c r="C1627" t="s">
        <v>103</v>
      </c>
      <c r="D1627" t="str">
        <f>HYPERLINK("http://service.sap.com/sap/support/notes/1657933","1657933")</f>
        <v>1657933</v>
      </c>
      <c r="E1627">
        <v>1</v>
      </c>
      <c r="F1627" t="s">
        <v>2316</v>
      </c>
    </row>
    <row r="1628" spans="1:6" x14ac:dyDescent="0.25">
      <c r="A1628" t="s">
        <v>2231</v>
      </c>
      <c r="B1628" t="s">
        <v>102</v>
      </c>
      <c r="C1628" t="s">
        <v>103</v>
      </c>
      <c r="D1628" t="str">
        <f>HYPERLINK("http://service.sap.com/sap/support/notes/1660533","1660533")</f>
        <v>1660533</v>
      </c>
      <c r="E1628">
        <v>8</v>
      </c>
      <c r="F1628" t="s">
        <v>2317</v>
      </c>
    </row>
    <row r="1629" spans="1:6" x14ac:dyDescent="0.25">
      <c r="A1629" t="s">
        <v>2231</v>
      </c>
      <c r="B1629" t="s">
        <v>102</v>
      </c>
      <c r="C1629" t="s">
        <v>103</v>
      </c>
      <c r="D1629" t="str">
        <f>HYPERLINK("http://service.sap.com/sap/support/notes/1670205","1670205")</f>
        <v>1670205</v>
      </c>
      <c r="E1629">
        <v>1</v>
      </c>
      <c r="F1629" t="s">
        <v>2318</v>
      </c>
    </row>
    <row r="1630" spans="1:6" x14ac:dyDescent="0.25">
      <c r="A1630" t="s">
        <v>2231</v>
      </c>
      <c r="B1630" t="s">
        <v>102</v>
      </c>
      <c r="C1630" t="s">
        <v>103</v>
      </c>
      <c r="D1630" t="str">
        <f>HYPERLINK("http://service.sap.com/sap/support/notes/1670773","1670773")</f>
        <v>1670773</v>
      </c>
      <c r="E1630">
        <v>2</v>
      </c>
      <c r="F1630" t="s">
        <v>2319</v>
      </c>
    </row>
    <row r="1631" spans="1:6" x14ac:dyDescent="0.25">
      <c r="A1631" t="s">
        <v>2231</v>
      </c>
      <c r="B1631" t="s">
        <v>104</v>
      </c>
      <c r="C1631" t="s">
        <v>105</v>
      </c>
      <c r="D1631" t="str">
        <f>HYPERLINK("http://service.sap.com/sap/support/notes/1624079","1624079")</f>
        <v>1624079</v>
      </c>
      <c r="E1631">
        <v>5</v>
      </c>
      <c r="F1631" t="s">
        <v>2320</v>
      </c>
    </row>
    <row r="1632" spans="1:6" x14ac:dyDescent="0.25">
      <c r="A1632" t="s">
        <v>2231</v>
      </c>
      <c r="B1632" t="s">
        <v>106</v>
      </c>
      <c r="C1632" t="s">
        <v>107</v>
      </c>
    </row>
    <row r="1633" spans="1:6" x14ac:dyDescent="0.25">
      <c r="A1633" t="s">
        <v>2231</v>
      </c>
      <c r="B1633" t="s">
        <v>108</v>
      </c>
      <c r="C1633" t="s">
        <v>109</v>
      </c>
      <c r="D1633" t="str">
        <f>HYPERLINK("http://service.sap.com/sap/support/notes/1668435","1668435")</f>
        <v>1668435</v>
      </c>
      <c r="E1633">
        <v>1</v>
      </c>
      <c r="F1633" t="s">
        <v>2321</v>
      </c>
    </row>
    <row r="1634" spans="1:6" x14ac:dyDescent="0.25">
      <c r="A1634" t="s">
        <v>2231</v>
      </c>
      <c r="B1634" t="s">
        <v>108</v>
      </c>
      <c r="C1634" t="s">
        <v>109</v>
      </c>
      <c r="D1634" t="str">
        <f>HYPERLINK("http://service.sap.com/sap/support/notes/1669020","1669020")</f>
        <v>1669020</v>
      </c>
      <c r="E1634">
        <v>1</v>
      </c>
      <c r="F1634" t="s">
        <v>2322</v>
      </c>
    </row>
    <row r="1635" spans="1:6" x14ac:dyDescent="0.25">
      <c r="A1635" t="s">
        <v>2231</v>
      </c>
      <c r="B1635" t="s">
        <v>108</v>
      </c>
      <c r="C1635" t="s">
        <v>109</v>
      </c>
      <c r="D1635" t="str">
        <f>HYPERLINK("http://service.sap.com/sap/support/notes/1670443","1670443")</f>
        <v>1670443</v>
      </c>
      <c r="E1635">
        <v>5</v>
      </c>
      <c r="F1635" t="s">
        <v>2323</v>
      </c>
    </row>
    <row r="1636" spans="1:6" x14ac:dyDescent="0.25">
      <c r="A1636" t="s">
        <v>2231</v>
      </c>
      <c r="B1636" t="s">
        <v>609</v>
      </c>
      <c r="C1636" t="s">
        <v>610</v>
      </c>
      <c r="D1636" t="str">
        <f>HYPERLINK("http://service.sap.com/sap/support/notes/1671281","1671281")</f>
        <v>1671281</v>
      </c>
      <c r="E1636">
        <v>3</v>
      </c>
      <c r="F1636" t="s">
        <v>2324</v>
      </c>
    </row>
    <row r="1637" spans="1:6" x14ac:dyDescent="0.25">
      <c r="A1637" t="s">
        <v>2231</v>
      </c>
      <c r="B1637" t="s">
        <v>312</v>
      </c>
      <c r="C1637" t="s">
        <v>313</v>
      </c>
      <c r="D1637" t="str">
        <f>HYPERLINK("http://service.sap.com/sap/support/notes/1671673","1671673")</f>
        <v>1671673</v>
      </c>
      <c r="E1637">
        <v>2</v>
      </c>
      <c r="F1637" t="s">
        <v>2325</v>
      </c>
    </row>
    <row r="1638" spans="1:6" x14ac:dyDescent="0.25">
      <c r="A1638" t="s">
        <v>2231</v>
      </c>
      <c r="B1638" t="s">
        <v>312</v>
      </c>
      <c r="C1638" t="s">
        <v>313</v>
      </c>
      <c r="D1638" t="str">
        <f>HYPERLINK("http://service.sap.com/sap/support/notes/1672326","1672326")</f>
        <v>1672326</v>
      </c>
      <c r="E1638">
        <v>3</v>
      </c>
      <c r="F1638" t="s">
        <v>2326</v>
      </c>
    </row>
    <row r="1639" spans="1:6" x14ac:dyDescent="0.25">
      <c r="A1639" t="s">
        <v>2231</v>
      </c>
      <c r="B1639" t="s">
        <v>312</v>
      </c>
      <c r="C1639" t="s">
        <v>313</v>
      </c>
      <c r="D1639" t="str">
        <f>HYPERLINK("http://service.sap.com/sap/support/notes/1672770","1672770")</f>
        <v>1672770</v>
      </c>
      <c r="E1639">
        <v>1</v>
      </c>
      <c r="F1639" t="s">
        <v>2327</v>
      </c>
    </row>
    <row r="1640" spans="1:6" x14ac:dyDescent="0.25">
      <c r="A1640" t="s">
        <v>2231</v>
      </c>
      <c r="B1640" t="s">
        <v>114</v>
      </c>
      <c r="C1640" t="s">
        <v>115</v>
      </c>
    </row>
    <row r="1641" spans="1:6" x14ac:dyDescent="0.25">
      <c r="A1641" t="s">
        <v>2231</v>
      </c>
      <c r="B1641" t="s">
        <v>116</v>
      </c>
      <c r="C1641" t="s">
        <v>117</v>
      </c>
      <c r="D1641" t="str">
        <f>HYPERLINK("http://service.sap.com/sap/support/notes/1657830","1657830")</f>
        <v>1657830</v>
      </c>
      <c r="E1641">
        <v>2</v>
      </c>
      <c r="F1641" t="s">
        <v>2328</v>
      </c>
    </row>
    <row r="1642" spans="1:6" x14ac:dyDescent="0.25">
      <c r="A1642" t="s">
        <v>2231</v>
      </c>
      <c r="B1642" t="s">
        <v>116</v>
      </c>
      <c r="C1642" t="s">
        <v>117</v>
      </c>
      <c r="D1642" t="str">
        <f>HYPERLINK("http://service.sap.com/sap/support/notes/1667435","1667435")</f>
        <v>1667435</v>
      </c>
      <c r="E1642">
        <v>2</v>
      </c>
      <c r="F1642" t="s">
        <v>2329</v>
      </c>
    </row>
    <row r="1643" spans="1:6" x14ac:dyDescent="0.25">
      <c r="A1643" t="s">
        <v>2231</v>
      </c>
      <c r="B1643" t="s">
        <v>116</v>
      </c>
      <c r="C1643" t="s">
        <v>117</v>
      </c>
      <c r="D1643" t="str">
        <f>HYPERLINK("http://service.sap.com/sap/support/notes/1669861","1669861")</f>
        <v>1669861</v>
      </c>
      <c r="E1643">
        <v>2</v>
      </c>
      <c r="F1643" t="s">
        <v>2330</v>
      </c>
    </row>
    <row r="1644" spans="1:6" x14ac:dyDescent="0.25">
      <c r="A1644" t="s">
        <v>2231</v>
      </c>
      <c r="B1644" t="s">
        <v>118</v>
      </c>
      <c r="C1644" t="s">
        <v>119</v>
      </c>
      <c r="D1644" t="str">
        <f>HYPERLINK("http://service.sap.com/sap/support/notes/1670180","1670180")</f>
        <v>1670180</v>
      </c>
      <c r="E1644">
        <v>1</v>
      </c>
      <c r="F1644" t="s">
        <v>2331</v>
      </c>
    </row>
    <row r="1645" spans="1:6" x14ac:dyDescent="0.25">
      <c r="A1645" t="s">
        <v>2231</v>
      </c>
      <c r="B1645" t="s">
        <v>120</v>
      </c>
      <c r="C1645" t="s">
        <v>121</v>
      </c>
      <c r="D1645" t="str">
        <f>HYPERLINK("http://service.sap.com/sap/support/notes/1671967","1671967")</f>
        <v>1671967</v>
      </c>
      <c r="E1645">
        <v>1</v>
      </c>
      <c r="F1645" t="s">
        <v>2332</v>
      </c>
    </row>
    <row r="1646" spans="1:6" x14ac:dyDescent="0.25">
      <c r="A1646" t="s">
        <v>2231</v>
      </c>
      <c r="B1646" t="s">
        <v>120</v>
      </c>
      <c r="C1646" t="s">
        <v>121</v>
      </c>
      <c r="D1646" t="str">
        <f>HYPERLINK("http://service.sap.com/sap/support/notes/1672508","1672508")</f>
        <v>1672508</v>
      </c>
      <c r="E1646">
        <v>1</v>
      </c>
      <c r="F1646" t="s">
        <v>2333</v>
      </c>
    </row>
    <row r="1647" spans="1:6" x14ac:dyDescent="0.25">
      <c r="A1647" t="s">
        <v>2231</v>
      </c>
      <c r="B1647" t="s">
        <v>120</v>
      </c>
      <c r="C1647" t="s">
        <v>121</v>
      </c>
      <c r="D1647" t="str">
        <f>HYPERLINK("http://service.sap.com/sap/support/notes/1672535","1672535")</f>
        <v>1672535</v>
      </c>
      <c r="E1647">
        <v>1</v>
      </c>
      <c r="F1647" t="s">
        <v>2334</v>
      </c>
    </row>
    <row r="1648" spans="1:6" x14ac:dyDescent="0.25">
      <c r="A1648" t="s">
        <v>2231</v>
      </c>
      <c r="B1648" t="s">
        <v>120</v>
      </c>
      <c r="C1648" t="s">
        <v>121</v>
      </c>
      <c r="D1648" t="str">
        <f>HYPERLINK("http://service.sap.com/sap/support/notes/1675224","1675224")</f>
        <v>1675224</v>
      </c>
      <c r="E1648">
        <v>1</v>
      </c>
      <c r="F1648" t="s">
        <v>2335</v>
      </c>
    </row>
    <row r="1649" spans="1:6" x14ac:dyDescent="0.25">
      <c r="A1649" t="s">
        <v>2231</v>
      </c>
      <c r="B1649" t="s">
        <v>122</v>
      </c>
      <c r="C1649" t="s">
        <v>123</v>
      </c>
      <c r="D1649" t="str">
        <f>HYPERLINK("http://service.sap.com/sap/support/notes/1672490","1672490")</f>
        <v>1672490</v>
      </c>
      <c r="E1649">
        <v>2</v>
      </c>
      <c r="F1649" t="s">
        <v>2336</v>
      </c>
    </row>
    <row r="1650" spans="1:6" x14ac:dyDescent="0.25">
      <c r="A1650" t="s">
        <v>2231</v>
      </c>
      <c r="B1650" t="s">
        <v>122</v>
      </c>
      <c r="C1650" t="s">
        <v>123</v>
      </c>
      <c r="D1650" t="str">
        <f>HYPERLINK("http://service.sap.com/sap/support/notes/1673793","1673793")</f>
        <v>1673793</v>
      </c>
      <c r="E1650">
        <v>2</v>
      </c>
      <c r="F1650" t="s">
        <v>2337</v>
      </c>
    </row>
    <row r="1651" spans="1:6" x14ac:dyDescent="0.25">
      <c r="A1651" t="s">
        <v>2231</v>
      </c>
      <c r="B1651" t="s">
        <v>122</v>
      </c>
      <c r="C1651" t="s">
        <v>123</v>
      </c>
      <c r="D1651" t="str">
        <f>HYPERLINK("http://service.sap.com/sap/support/notes/1673913","1673913")</f>
        <v>1673913</v>
      </c>
      <c r="E1651">
        <v>1</v>
      </c>
      <c r="F1651" t="s">
        <v>2338</v>
      </c>
    </row>
    <row r="1652" spans="1:6" x14ac:dyDescent="0.25">
      <c r="A1652" t="s">
        <v>2231</v>
      </c>
      <c r="B1652" t="s">
        <v>124</v>
      </c>
      <c r="C1652" t="s">
        <v>82</v>
      </c>
      <c r="D1652" t="str">
        <f>HYPERLINK("http://service.sap.com/sap/support/notes/1662557","1662557")</f>
        <v>1662557</v>
      </c>
      <c r="E1652">
        <v>2</v>
      </c>
      <c r="F1652" t="s">
        <v>2339</v>
      </c>
    </row>
    <row r="1653" spans="1:6" x14ac:dyDescent="0.25">
      <c r="A1653" t="s">
        <v>2231</v>
      </c>
      <c r="B1653" t="s">
        <v>124</v>
      </c>
      <c r="C1653" t="s">
        <v>82</v>
      </c>
      <c r="D1653" t="str">
        <f>HYPERLINK("http://service.sap.com/sap/support/notes/1664777","1664777")</f>
        <v>1664777</v>
      </c>
      <c r="E1653">
        <v>1</v>
      </c>
      <c r="F1653" t="s">
        <v>2003</v>
      </c>
    </row>
    <row r="1654" spans="1:6" x14ac:dyDescent="0.25">
      <c r="A1654" t="s">
        <v>2231</v>
      </c>
      <c r="B1654" t="s">
        <v>124</v>
      </c>
      <c r="C1654" t="s">
        <v>82</v>
      </c>
      <c r="D1654" t="str">
        <f>HYPERLINK("http://service.sap.com/sap/support/notes/1669159","1669159")</f>
        <v>1669159</v>
      </c>
      <c r="E1654">
        <v>1</v>
      </c>
      <c r="F1654" t="s">
        <v>2340</v>
      </c>
    </row>
    <row r="1655" spans="1:6" x14ac:dyDescent="0.25">
      <c r="A1655" t="s">
        <v>2231</v>
      </c>
      <c r="B1655" t="s">
        <v>124</v>
      </c>
      <c r="C1655" t="s">
        <v>82</v>
      </c>
      <c r="D1655" t="str">
        <f>HYPERLINK("http://service.sap.com/sap/support/notes/1669420","1669420")</f>
        <v>1669420</v>
      </c>
      <c r="E1655">
        <v>1</v>
      </c>
      <c r="F1655" t="s">
        <v>2341</v>
      </c>
    </row>
    <row r="1656" spans="1:6" x14ac:dyDescent="0.25">
      <c r="A1656" t="s">
        <v>2231</v>
      </c>
      <c r="B1656" t="s">
        <v>124</v>
      </c>
      <c r="C1656" t="s">
        <v>82</v>
      </c>
      <c r="D1656" t="str">
        <f>HYPERLINK("http://service.sap.com/sap/support/notes/1669532","1669532")</f>
        <v>1669532</v>
      </c>
      <c r="E1656">
        <v>1</v>
      </c>
      <c r="F1656" t="s">
        <v>2342</v>
      </c>
    </row>
    <row r="1657" spans="1:6" x14ac:dyDescent="0.25">
      <c r="A1657" t="s">
        <v>2231</v>
      </c>
      <c r="B1657" t="s">
        <v>124</v>
      </c>
      <c r="C1657" t="s">
        <v>82</v>
      </c>
      <c r="D1657" t="str">
        <f>HYPERLINK("http://service.sap.com/sap/support/notes/1671322","1671322")</f>
        <v>1671322</v>
      </c>
      <c r="E1657">
        <v>3</v>
      </c>
      <c r="F1657" t="s">
        <v>2343</v>
      </c>
    </row>
    <row r="1658" spans="1:6" x14ac:dyDescent="0.25">
      <c r="A1658" t="s">
        <v>2231</v>
      </c>
      <c r="B1658" t="s">
        <v>124</v>
      </c>
      <c r="C1658" t="s">
        <v>82</v>
      </c>
      <c r="D1658" t="str">
        <f>HYPERLINK("http://service.sap.com/sap/support/notes/1672477","1672477")</f>
        <v>1672477</v>
      </c>
      <c r="E1658">
        <v>1</v>
      </c>
      <c r="F1658" t="s">
        <v>2344</v>
      </c>
    </row>
    <row r="1659" spans="1:6" x14ac:dyDescent="0.25">
      <c r="A1659" t="s">
        <v>2231</v>
      </c>
      <c r="B1659" t="s">
        <v>127</v>
      </c>
      <c r="C1659" t="s">
        <v>128</v>
      </c>
      <c r="D1659" t="str">
        <f>HYPERLINK("http://service.sap.com/sap/support/notes/1665890","1665890")</f>
        <v>1665890</v>
      </c>
      <c r="E1659">
        <v>2</v>
      </c>
      <c r="F1659" t="s">
        <v>2345</v>
      </c>
    </row>
    <row r="1660" spans="1:6" x14ac:dyDescent="0.25">
      <c r="A1660" t="s">
        <v>2231</v>
      </c>
      <c r="B1660" t="s">
        <v>127</v>
      </c>
      <c r="C1660" t="s">
        <v>128</v>
      </c>
      <c r="D1660" t="str">
        <f>HYPERLINK("http://service.sap.com/sap/support/notes/1674255","1674255")</f>
        <v>1674255</v>
      </c>
      <c r="E1660">
        <v>3</v>
      </c>
      <c r="F1660" t="s">
        <v>2346</v>
      </c>
    </row>
    <row r="1661" spans="1:6" x14ac:dyDescent="0.25">
      <c r="A1661" t="s">
        <v>2231</v>
      </c>
      <c r="B1661" t="s">
        <v>129</v>
      </c>
      <c r="C1661" t="s">
        <v>130</v>
      </c>
      <c r="D1661" t="str">
        <f>HYPERLINK("http://service.sap.com/sap/support/notes/1675311","1675311")</f>
        <v>1675311</v>
      </c>
      <c r="E1661">
        <v>2</v>
      </c>
      <c r="F1661" t="s">
        <v>2347</v>
      </c>
    </row>
    <row r="1662" spans="1:6" x14ac:dyDescent="0.25">
      <c r="A1662" t="s">
        <v>2231</v>
      </c>
      <c r="B1662" t="s">
        <v>135</v>
      </c>
      <c r="C1662" t="s">
        <v>136</v>
      </c>
      <c r="D1662" t="str">
        <f>HYPERLINK("http://service.sap.com/sap/support/notes/1651071","1651071")</f>
        <v>1651071</v>
      </c>
      <c r="E1662">
        <v>3</v>
      </c>
      <c r="F1662" t="s">
        <v>2348</v>
      </c>
    </row>
    <row r="1663" spans="1:6" x14ac:dyDescent="0.25">
      <c r="A1663" t="s">
        <v>2231</v>
      </c>
      <c r="B1663" t="s">
        <v>135</v>
      </c>
      <c r="C1663" t="s">
        <v>136</v>
      </c>
      <c r="D1663" t="str">
        <f>HYPERLINK("http://service.sap.com/sap/support/notes/1651600","1651600")</f>
        <v>1651600</v>
      </c>
      <c r="E1663">
        <v>2</v>
      </c>
      <c r="F1663" t="s">
        <v>2349</v>
      </c>
    </row>
    <row r="1664" spans="1:6" x14ac:dyDescent="0.25">
      <c r="A1664" t="s">
        <v>2231</v>
      </c>
      <c r="B1664" t="s">
        <v>135</v>
      </c>
      <c r="C1664" t="s">
        <v>136</v>
      </c>
      <c r="D1664" t="str">
        <f>HYPERLINK("http://service.sap.com/sap/support/notes/1652037","1652037")</f>
        <v>1652037</v>
      </c>
      <c r="E1664">
        <v>2</v>
      </c>
      <c r="F1664" t="s">
        <v>2350</v>
      </c>
    </row>
    <row r="1665" spans="1:6" x14ac:dyDescent="0.25">
      <c r="A1665" t="s">
        <v>2231</v>
      </c>
      <c r="B1665" t="s">
        <v>135</v>
      </c>
      <c r="C1665" t="s">
        <v>136</v>
      </c>
      <c r="D1665" t="str">
        <f>HYPERLINK("http://service.sap.com/sap/support/notes/1655280","1655280")</f>
        <v>1655280</v>
      </c>
      <c r="E1665">
        <v>2</v>
      </c>
      <c r="F1665" t="s">
        <v>2351</v>
      </c>
    </row>
    <row r="1666" spans="1:6" x14ac:dyDescent="0.25">
      <c r="A1666" t="s">
        <v>2231</v>
      </c>
      <c r="B1666" t="s">
        <v>135</v>
      </c>
      <c r="C1666" t="s">
        <v>136</v>
      </c>
      <c r="D1666" t="str">
        <f>HYPERLINK("http://service.sap.com/sap/support/notes/1657224","1657224")</f>
        <v>1657224</v>
      </c>
      <c r="E1666">
        <v>4</v>
      </c>
      <c r="F1666" t="s">
        <v>2352</v>
      </c>
    </row>
    <row r="1667" spans="1:6" x14ac:dyDescent="0.25">
      <c r="A1667" t="s">
        <v>2231</v>
      </c>
      <c r="B1667" t="s">
        <v>135</v>
      </c>
      <c r="C1667" t="s">
        <v>136</v>
      </c>
      <c r="D1667" t="str">
        <f>HYPERLINK("http://service.sap.com/sap/support/notes/1668390","1668390")</f>
        <v>1668390</v>
      </c>
      <c r="E1667">
        <v>2</v>
      </c>
      <c r="F1667" t="s">
        <v>2353</v>
      </c>
    </row>
    <row r="1668" spans="1:6" x14ac:dyDescent="0.25">
      <c r="A1668" t="s">
        <v>2231</v>
      </c>
      <c r="B1668" t="s">
        <v>135</v>
      </c>
      <c r="C1668" t="s">
        <v>136</v>
      </c>
      <c r="D1668" t="str">
        <f>HYPERLINK("http://service.sap.com/sap/support/notes/1669314","1669314")</f>
        <v>1669314</v>
      </c>
      <c r="E1668">
        <v>3</v>
      </c>
      <c r="F1668" t="s">
        <v>2354</v>
      </c>
    </row>
    <row r="1669" spans="1:6" x14ac:dyDescent="0.25">
      <c r="A1669" t="s">
        <v>2231</v>
      </c>
      <c r="B1669" t="s">
        <v>135</v>
      </c>
      <c r="C1669" t="s">
        <v>136</v>
      </c>
      <c r="D1669" t="str">
        <f>HYPERLINK("http://service.sap.com/sap/support/notes/1669319","1669319")</f>
        <v>1669319</v>
      </c>
      <c r="E1669">
        <v>2</v>
      </c>
      <c r="F1669" t="s">
        <v>2355</v>
      </c>
    </row>
    <row r="1670" spans="1:6" x14ac:dyDescent="0.25">
      <c r="A1670" t="s">
        <v>2231</v>
      </c>
      <c r="B1670" t="s">
        <v>135</v>
      </c>
      <c r="C1670" t="s">
        <v>136</v>
      </c>
      <c r="D1670" t="str">
        <f>HYPERLINK("http://service.sap.com/sap/support/notes/1669321","1669321")</f>
        <v>1669321</v>
      </c>
      <c r="E1670">
        <v>5</v>
      </c>
      <c r="F1670" t="s">
        <v>2356</v>
      </c>
    </row>
    <row r="1671" spans="1:6" x14ac:dyDescent="0.25">
      <c r="A1671" t="s">
        <v>2231</v>
      </c>
      <c r="B1671" t="s">
        <v>135</v>
      </c>
      <c r="C1671" t="s">
        <v>136</v>
      </c>
      <c r="D1671" t="str">
        <f>HYPERLINK("http://service.sap.com/sap/support/notes/1669374","1669374")</f>
        <v>1669374</v>
      </c>
      <c r="E1671">
        <v>2</v>
      </c>
      <c r="F1671" t="s">
        <v>2357</v>
      </c>
    </row>
    <row r="1672" spans="1:6" x14ac:dyDescent="0.25">
      <c r="A1672" t="s">
        <v>2231</v>
      </c>
      <c r="B1672" t="s">
        <v>135</v>
      </c>
      <c r="C1672" t="s">
        <v>136</v>
      </c>
      <c r="D1672" t="str">
        <f>HYPERLINK("http://service.sap.com/sap/support/notes/1670291","1670291")</f>
        <v>1670291</v>
      </c>
      <c r="E1672">
        <v>3</v>
      </c>
      <c r="F1672" t="s">
        <v>2358</v>
      </c>
    </row>
    <row r="1673" spans="1:6" x14ac:dyDescent="0.25">
      <c r="A1673" t="s">
        <v>2231</v>
      </c>
      <c r="B1673" t="s">
        <v>135</v>
      </c>
      <c r="C1673" t="s">
        <v>136</v>
      </c>
      <c r="D1673" t="str">
        <f>HYPERLINK("http://service.sap.com/sap/support/notes/1670304","1670304")</f>
        <v>1670304</v>
      </c>
      <c r="E1673">
        <v>3</v>
      </c>
      <c r="F1673" t="s">
        <v>2359</v>
      </c>
    </row>
    <row r="1674" spans="1:6" x14ac:dyDescent="0.25">
      <c r="A1674" t="s">
        <v>2231</v>
      </c>
      <c r="B1674" t="s">
        <v>135</v>
      </c>
      <c r="C1674" t="s">
        <v>136</v>
      </c>
      <c r="D1674" t="str">
        <f>HYPERLINK("http://service.sap.com/sap/support/notes/1670825","1670825")</f>
        <v>1670825</v>
      </c>
      <c r="E1674">
        <v>2</v>
      </c>
      <c r="F1674" t="s">
        <v>2360</v>
      </c>
    </row>
    <row r="1675" spans="1:6" x14ac:dyDescent="0.25">
      <c r="A1675" t="s">
        <v>2231</v>
      </c>
      <c r="B1675" t="s">
        <v>135</v>
      </c>
      <c r="C1675" t="s">
        <v>136</v>
      </c>
      <c r="D1675" t="str">
        <f>HYPERLINK("http://service.sap.com/sap/support/notes/1672002","1672002")</f>
        <v>1672002</v>
      </c>
      <c r="E1675">
        <v>1</v>
      </c>
      <c r="F1675" t="s">
        <v>2361</v>
      </c>
    </row>
    <row r="1676" spans="1:6" x14ac:dyDescent="0.25">
      <c r="A1676" t="s">
        <v>2231</v>
      </c>
      <c r="B1676" t="s">
        <v>135</v>
      </c>
      <c r="C1676" t="s">
        <v>136</v>
      </c>
      <c r="D1676" t="str">
        <f>HYPERLINK("http://service.sap.com/sap/support/notes/1673977","1673977")</f>
        <v>1673977</v>
      </c>
      <c r="E1676">
        <v>2</v>
      </c>
      <c r="F1676" t="s">
        <v>2362</v>
      </c>
    </row>
    <row r="1677" spans="1:6" x14ac:dyDescent="0.25">
      <c r="A1677" t="s">
        <v>2231</v>
      </c>
      <c r="B1677" t="s">
        <v>135</v>
      </c>
      <c r="C1677" t="s">
        <v>136</v>
      </c>
      <c r="D1677" t="str">
        <f>HYPERLINK("http://service.sap.com/sap/support/notes/1673978","1673978")</f>
        <v>1673978</v>
      </c>
      <c r="E1677">
        <v>2</v>
      </c>
      <c r="F1677" t="s">
        <v>2363</v>
      </c>
    </row>
    <row r="1678" spans="1:6" x14ac:dyDescent="0.25">
      <c r="A1678" t="s">
        <v>2231</v>
      </c>
      <c r="B1678" t="s">
        <v>135</v>
      </c>
      <c r="C1678" t="s">
        <v>136</v>
      </c>
      <c r="D1678" t="str">
        <f>HYPERLINK("http://service.sap.com/sap/support/notes/1674353","1674353")</f>
        <v>1674353</v>
      </c>
      <c r="E1678">
        <v>2</v>
      </c>
      <c r="F1678" t="s">
        <v>2364</v>
      </c>
    </row>
    <row r="1679" spans="1:6" x14ac:dyDescent="0.25">
      <c r="A1679" t="s">
        <v>2231</v>
      </c>
      <c r="B1679" t="s">
        <v>135</v>
      </c>
      <c r="C1679" t="s">
        <v>136</v>
      </c>
      <c r="D1679" t="str">
        <f>HYPERLINK("http://service.sap.com/sap/support/notes/1674354","1674354")</f>
        <v>1674354</v>
      </c>
      <c r="E1679">
        <v>2</v>
      </c>
      <c r="F1679" t="s">
        <v>2365</v>
      </c>
    </row>
    <row r="1680" spans="1:6" x14ac:dyDescent="0.25">
      <c r="A1680" t="s">
        <v>2231</v>
      </c>
      <c r="B1680" t="s">
        <v>137</v>
      </c>
      <c r="C1680" t="s">
        <v>40</v>
      </c>
      <c r="D1680" t="str">
        <f>HYPERLINK("http://service.sap.com/sap/support/notes/1661373","1661373")</f>
        <v>1661373</v>
      </c>
      <c r="E1680">
        <v>3</v>
      </c>
      <c r="F1680" t="s">
        <v>2366</v>
      </c>
    </row>
    <row r="1681" spans="1:6" x14ac:dyDescent="0.25">
      <c r="A1681" t="s">
        <v>2231</v>
      </c>
      <c r="B1681" t="s">
        <v>137</v>
      </c>
      <c r="C1681" t="s">
        <v>40</v>
      </c>
      <c r="D1681" t="str">
        <f>HYPERLINK("http://service.sap.com/sap/support/notes/1667220","1667220")</f>
        <v>1667220</v>
      </c>
      <c r="E1681">
        <v>4</v>
      </c>
      <c r="F1681" t="s">
        <v>2367</v>
      </c>
    </row>
    <row r="1682" spans="1:6" x14ac:dyDescent="0.25">
      <c r="A1682" t="s">
        <v>2231</v>
      </c>
      <c r="B1682" t="s">
        <v>138</v>
      </c>
      <c r="C1682" t="s">
        <v>42</v>
      </c>
      <c r="D1682" t="str">
        <f>HYPERLINK("http://service.sap.com/sap/support/notes/1669169","1669169")</f>
        <v>1669169</v>
      </c>
      <c r="E1682">
        <v>2</v>
      </c>
      <c r="F1682" t="s">
        <v>2368</v>
      </c>
    </row>
    <row r="1683" spans="1:6" x14ac:dyDescent="0.25">
      <c r="A1683" t="s">
        <v>2231</v>
      </c>
      <c r="B1683" t="s">
        <v>138</v>
      </c>
      <c r="C1683" t="s">
        <v>42</v>
      </c>
      <c r="D1683" t="str">
        <f>HYPERLINK("http://service.sap.com/sap/support/notes/1670814","1670814")</f>
        <v>1670814</v>
      </c>
      <c r="E1683">
        <v>2</v>
      </c>
      <c r="F1683" t="s">
        <v>2369</v>
      </c>
    </row>
    <row r="1684" spans="1:6" x14ac:dyDescent="0.25">
      <c r="A1684" t="s">
        <v>2231</v>
      </c>
      <c r="B1684" t="s">
        <v>138</v>
      </c>
      <c r="C1684" t="s">
        <v>42</v>
      </c>
      <c r="D1684" t="str">
        <f>HYPERLINK("http://service.sap.com/sap/support/notes/1673525","1673525")</f>
        <v>1673525</v>
      </c>
      <c r="E1684">
        <v>4</v>
      </c>
      <c r="F1684" t="s">
        <v>2370</v>
      </c>
    </row>
    <row r="1685" spans="1:6" x14ac:dyDescent="0.25">
      <c r="A1685" t="s">
        <v>2231</v>
      </c>
      <c r="B1685" t="s">
        <v>138</v>
      </c>
      <c r="C1685" t="s">
        <v>42</v>
      </c>
      <c r="D1685" t="str">
        <f>HYPERLINK("http://service.sap.com/sap/support/notes/1674695","1674695")</f>
        <v>1674695</v>
      </c>
      <c r="E1685">
        <v>1</v>
      </c>
      <c r="F1685" t="s">
        <v>2371</v>
      </c>
    </row>
    <row r="1686" spans="1:6" x14ac:dyDescent="0.25">
      <c r="A1686" t="s">
        <v>2231</v>
      </c>
      <c r="B1686" t="s">
        <v>138</v>
      </c>
      <c r="C1686" t="s">
        <v>42</v>
      </c>
      <c r="D1686" t="str">
        <f>HYPERLINK("http://service.sap.com/sap/support/notes/1674751","1674751")</f>
        <v>1674751</v>
      </c>
      <c r="E1686">
        <v>7</v>
      </c>
      <c r="F1686" t="s">
        <v>2372</v>
      </c>
    </row>
    <row r="1687" spans="1:6" x14ac:dyDescent="0.25">
      <c r="A1687" t="s">
        <v>2231</v>
      </c>
      <c r="B1687" t="s">
        <v>139</v>
      </c>
      <c r="C1687" t="s">
        <v>140</v>
      </c>
      <c r="D1687" t="str">
        <f>HYPERLINK("http://service.sap.com/sap/support/notes/1643214","1643214")</f>
        <v>1643214</v>
      </c>
      <c r="E1687">
        <v>2</v>
      </c>
      <c r="F1687" t="s">
        <v>2373</v>
      </c>
    </row>
    <row r="1688" spans="1:6" x14ac:dyDescent="0.25">
      <c r="A1688" t="s">
        <v>2231</v>
      </c>
      <c r="B1688" t="s">
        <v>139</v>
      </c>
      <c r="C1688" t="s">
        <v>140</v>
      </c>
      <c r="D1688" t="str">
        <f>HYPERLINK("http://service.sap.com/sap/support/notes/1664987","1664987")</f>
        <v>1664987</v>
      </c>
      <c r="E1688">
        <v>2</v>
      </c>
      <c r="F1688" t="s">
        <v>2374</v>
      </c>
    </row>
    <row r="1689" spans="1:6" x14ac:dyDescent="0.25">
      <c r="A1689" t="s">
        <v>2231</v>
      </c>
      <c r="B1689" t="s">
        <v>374</v>
      </c>
      <c r="C1689" t="s">
        <v>313</v>
      </c>
    </row>
    <row r="1690" spans="1:6" x14ac:dyDescent="0.25">
      <c r="A1690" t="s">
        <v>2231</v>
      </c>
      <c r="B1690" t="s">
        <v>375</v>
      </c>
      <c r="C1690" t="s">
        <v>376</v>
      </c>
      <c r="D1690" t="str">
        <f>HYPERLINK("http://service.sap.com/sap/support/notes/1649172","1649172")</f>
        <v>1649172</v>
      </c>
      <c r="E1690">
        <v>3</v>
      </c>
      <c r="F1690" t="s">
        <v>2375</v>
      </c>
    </row>
    <row r="1691" spans="1:6" x14ac:dyDescent="0.25">
      <c r="A1691" t="s">
        <v>2231</v>
      </c>
      <c r="B1691" t="s">
        <v>375</v>
      </c>
      <c r="C1691" t="s">
        <v>376</v>
      </c>
      <c r="D1691" t="str">
        <f>HYPERLINK("http://service.sap.com/sap/support/notes/1664223","1664223")</f>
        <v>1664223</v>
      </c>
      <c r="E1691">
        <v>3</v>
      </c>
      <c r="F1691" t="s">
        <v>2376</v>
      </c>
    </row>
    <row r="1692" spans="1:6" x14ac:dyDescent="0.25">
      <c r="A1692" t="s">
        <v>2231</v>
      </c>
      <c r="B1692" t="s">
        <v>322</v>
      </c>
      <c r="C1692" t="s">
        <v>115</v>
      </c>
    </row>
    <row r="1693" spans="1:6" x14ac:dyDescent="0.25">
      <c r="A1693" t="s">
        <v>2231</v>
      </c>
      <c r="B1693" t="s">
        <v>398</v>
      </c>
      <c r="C1693" t="s">
        <v>123</v>
      </c>
      <c r="D1693" t="str">
        <f>HYPERLINK("http://service.sap.com/sap/support/notes/1663960","1663960")</f>
        <v>1663960</v>
      </c>
      <c r="E1693">
        <v>2</v>
      </c>
      <c r="F1693" t="s">
        <v>2377</v>
      </c>
    </row>
    <row r="1694" spans="1:6" x14ac:dyDescent="0.25">
      <c r="A1694" t="s">
        <v>2231</v>
      </c>
      <c r="B1694" t="s">
        <v>143</v>
      </c>
      <c r="C1694" t="s">
        <v>132</v>
      </c>
    </row>
    <row r="1695" spans="1:6" x14ac:dyDescent="0.25">
      <c r="A1695" t="s">
        <v>2231</v>
      </c>
      <c r="B1695" t="s">
        <v>144</v>
      </c>
      <c r="C1695" t="s">
        <v>145</v>
      </c>
      <c r="D1695" t="str">
        <f>HYPERLINK("http://service.sap.com/sap/support/notes/1605596","1605596")</f>
        <v>1605596</v>
      </c>
      <c r="E1695">
        <v>2</v>
      </c>
      <c r="F1695" t="s">
        <v>2378</v>
      </c>
    </row>
    <row r="1696" spans="1:6" x14ac:dyDescent="0.25">
      <c r="A1696" t="s">
        <v>2231</v>
      </c>
      <c r="B1696" t="s">
        <v>144</v>
      </c>
      <c r="C1696" t="s">
        <v>145</v>
      </c>
      <c r="D1696" t="str">
        <f>HYPERLINK("http://service.sap.com/sap/support/notes/1612137","1612137")</f>
        <v>1612137</v>
      </c>
      <c r="E1696">
        <v>2</v>
      </c>
      <c r="F1696" t="s">
        <v>2379</v>
      </c>
    </row>
    <row r="1697" spans="1:6" x14ac:dyDescent="0.25">
      <c r="A1697" t="s">
        <v>2231</v>
      </c>
      <c r="B1697" t="s">
        <v>144</v>
      </c>
      <c r="C1697" t="s">
        <v>145</v>
      </c>
      <c r="D1697" t="str">
        <f>HYPERLINK("http://service.sap.com/sap/support/notes/1637023","1637023")</f>
        <v>1637023</v>
      </c>
      <c r="E1697">
        <v>3</v>
      </c>
      <c r="F1697" t="s">
        <v>2380</v>
      </c>
    </row>
    <row r="1698" spans="1:6" x14ac:dyDescent="0.25">
      <c r="A1698" t="s">
        <v>2231</v>
      </c>
      <c r="B1698" t="s">
        <v>146</v>
      </c>
      <c r="C1698" t="s">
        <v>147</v>
      </c>
      <c r="D1698" t="str">
        <f>HYPERLINK("http://service.sap.com/sap/support/notes/1670088","1670088")</f>
        <v>1670088</v>
      </c>
      <c r="E1698">
        <v>1</v>
      </c>
      <c r="F1698" t="s">
        <v>2381</v>
      </c>
    </row>
    <row r="1699" spans="1:6" x14ac:dyDescent="0.25">
      <c r="A1699" t="s">
        <v>2231</v>
      </c>
      <c r="B1699" t="s">
        <v>149</v>
      </c>
      <c r="C1699" t="s">
        <v>150</v>
      </c>
      <c r="D1699" t="str">
        <f>HYPERLINK("http://service.sap.com/sap/support/notes/1661927","1661927")</f>
        <v>1661927</v>
      </c>
      <c r="E1699">
        <v>1</v>
      </c>
      <c r="F1699" t="s">
        <v>2382</v>
      </c>
    </row>
    <row r="1700" spans="1:6" x14ac:dyDescent="0.25">
      <c r="A1700" t="s">
        <v>2231</v>
      </c>
      <c r="B1700" t="s">
        <v>149</v>
      </c>
      <c r="C1700" t="s">
        <v>150</v>
      </c>
      <c r="D1700" t="str">
        <f>HYPERLINK("http://service.sap.com/sap/support/notes/1665625","1665625")</f>
        <v>1665625</v>
      </c>
      <c r="E1700">
        <v>1</v>
      </c>
      <c r="F1700" t="s">
        <v>2383</v>
      </c>
    </row>
    <row r="1701" spans="1:6" x14ac:dyDescent="0.25">
      <c r="A1701" t="s">
        <v>2231</v>
      </c>
      <c r="B1701" t="s">
        <v>149</v>
      </c>
      <c r="C1701" t="s">
        <v>150</v>
      </c>
      <c r="D1701" t="str">
        <f>HYPERLINK("http://service.sap.com/sap/support/notes/1666948","1666948")</f>
        <v>1666948</v>
      </c>
      <c r="E1701">
        <v>1</v>
      </c>
      <c r="F1701" t="s">
        <v>2384</v>
      </c>
    </row>
    <row r="1702" spans="1:6" x14ac:dyDescent="0.25">
      <c r="A1702" t="s">
        <v>2231</v>
      </c>
      <c r="B1702" t="s">
        <v>149</v>
      </c>
      <c r="C1702" t="s">
        <v>150</v>
      </c>
      <c r="D1702" t="str">
        <f>HYPERLINK("http://service.sap.com/sap/support/notes/1670679","1670679")</f>
        <v>1670679</v>
      </c>
      <c r="E1702">
        <v>2</v>
      </c>
      <c r="F1702" t="s">
        <v>2385</v>
      </c>
    </row>
    <row r="1703" spans="1:6" x14ac:dyDescent="0.25">
      <c r="A1703" t="s">
        <v>2231</v>
      </c>
      <c r="B1703" t="s">
        <v>149</v>
      </c>
      <c r="C1703" t="s">
        <v>150</v>
      </c>
      <c r="D1703" t="str">
        <f>HYPERLINK("http://service.sap.com/sap/support/notes/1671432","1671432")</f>
        <v>1671432</v>
      </c>
      <c r="E1703">
        <v>2</v>
      </c>
      <c r="F1703" t="s">
        <v>2386</v>
      </c>
    </row>
    <row r="1704" spans="1:6" x14ac:dyDescent="0.25">
      <c r="A1704" t="s">
        <v>2231</v>
      </c>
      <c r="B1704" t="s">
        <v>149</v>
      </c>
      <c r="C1704" t="s">
        <v>150</v>
      </c>
      <c r="D1704" t="str">
        <f>HYPERLINK("http://service.sap.com/sap/support/notes/1672234","1672234")</f>
        <v>1672234</v>
      </c>
      <c r="E1704">
        <v>1</v>
      </c>
      <c r="F1704" t="s">
        <v>2387</v>
      </c>
    </row>
    <row r="1705" spans="1:6" x14ac:dyDescent="0.25">
      <c r="A1705" t="s">
        <v>2231</v>
      </c>
      <c r="B1705" t="s">
        <v>2103</v>
      </c>
      <c r="C1705" t="s">
        <v>132</v>
      </c>
      <c r="D1705" t="str">
        <f>HYPERLINK("http://service.sap.com/sap/support/notes/1665461","1665461")</f>
        <v>1665461</v>
      </c>
      <c r="E1705">
        <v>1</v>
      </c>
      <c r="F1705" t="s">
        <v>2388</v>
      </c>
    </row>
    <row r="1706" spans="1:6" x14ac:dyDescent="0.25">
      <c r="A1706" t="s">
        <v>2231</v>
      </c>
      <c r="B1706" t="s">
        <v>152</v>
      </c>
      <c r="C1706" t="s">
        <v>47</v>
      </c>
      <c r="D1706" t="str">
        <f>HYPERLINK("http://service.sap.com/sap/support/notes/1337155","1337155")</f>
        <v>1337155</v>
      </c>
      <c r="E1706">
        <v>1</v>
      </c>
      <c r="F1706" t="s">
        <v>2389</v>
      </c>
    </row>
    <row r="1707" spans="1:6" x14ac:dyDescent="0.25">
      <c r="A1707" t="s">
        <v>2231</v>
      </c>
      <c r="B1707" t="s">
        <v>152</v>
      </c>
      <c r="C1707" t="s">
        <v>47</v>
      </c>
      <c r="D1707" t="str">
        <f>HYPERLINK("http://service.sap.com/sap/support/notes/1589714","1589714")</f>
        <v>1589714</v>
      </c>
      <c r="E1707">
        <v>4</v>
      </c>
      <c r="F1707" t="s">
        <v>2390</v>
      </c>
    </row>
    <row r="1708" spans="1:6" x14ac:dyDescent="0.25">
      <c r="A1708" t="s">
        <v>2231</v>
      </c>
      <c r="B1708" t="s">
        <v>152</v>
      </c>
      <c r="C1708" t="s">
        <v>47</v>
      </c>
      <c r="D1708" t="str">
        <f>HYPERLINK("http://service.sap.com/sap/support/notes/1641480","1641480")</f>
        <v>1641480</v>
      </c>
      <c r="E1708">
        <v>7</v>
      </c>
      <c r="F1708" t="s">
        <v>2391</v>
      </c>
    </row>
    <row r="1709" spans="1:6" x14ac:dyDescent="0.25">
      <c r="A1709" t="s">
        <v>2231</v>
      </c>
      <c r="B1709" t="s">
        <v>152</v>
      </c>
      <c r="C1709" t="s">
        <v>47</v>
      </c>
      <c r="D1709" t="str">
        <f>HYPERLINK("http://service.sap.com/sap/support/notes/1649195","1649195")</f>
        <v>1649195</v>
      </c>
      <c r="E1709">
        <v>2</v>
      </c>
      <c r="F1709" t="s">
        <v>2392</v>
      </c>
    </row>
    <row r="1710" spans="1:6" x14ac:dyDescent="0.25">
      <c r="A1710" t="s">
        <v>2231</v>
      </c>
      <c r="B1710" t="s">
        <v>152</v>
      </c>
      <c r="C1710" t="s">
        <v>47</v>
      </c>
      <c r="D1710" t="str">
        <f>HYPERLINK("http://service.sap.com/sap/support/notes/1661843","1661843")</f>
        <v>1661843</v>
      </c>
      <c r="E1710">
        <v>4</v>
      </c>
      <c r="F1710" t="s">
        <v>2393</v>
      </c>
    </row>
    <row r="1711" spans="1:6" x14ac:dyDescent="0.25">
      <c r="A1711" t="s">
        <v>2231</v>
      </c>
      <c r="B1711" t="s">
        <v>152</v>
      </c>
      <c r="C1711" t="s">
        <v>47</v>
      </c>
      <c r="D1711" t="str">
        <f>HYPERLINK("http://service.sap.com/sap/support/notes/1662216","1662216")</f>
        <v>1662216</v>
      </c>
      <c r="E1711">
        <v>2</v>
      </c>
      <c r="F1711" t="s">
        <v>2394</v>
      </c>
    </row>
    <row r="1712" spans="1:6" x14ac:dyDescent="0.25">
      <c r="A1712" t="s">
        <v>2231</v>
      </c>
      <c r="B1712" t="s">
        <v>152</v>
      </c>
      <c r="C1712" t="s">
        <v>47</v>
      </c>
      <c r="D1712" t="str">
        <f>HYPERLINK("http://service.sap.com/sap/support/notes/1662791","1662791")</f>
        <v>1662791</v>
      </c>
      <c r="E1712">
        <v>2</v>
      </c>
      <c r="F1712" t="s">
        <v>2395</v>
      </c>
    </row>
    <row r="1713" spans="1:6" x14ac:dyDescent="0.25">
      <c r="A1713" t="s">
        <v>2231</v>
      </c>
      <c r="B1713" t="s">
        <v>152</v>
      </c>
      <c r="C1713" t="s">
        <v>47</v>
      </c>
      <c r="D1713" t="str">
        <f>HYPERLINK("http://service.sap.com/sap/support/notes/1669045","1669045")</f>
        <v>1669045</v>
      </c>
      <c r="E1713">
        <v>1</v>
      </c>
      <c r="F1713" t="s">
        <v>2396</v>
      </c>
    </row>
    <row r="1714" spans="1:6" x14ac:dyDescent="0.25">
      <c r="A1714" t="s">
        <v>2231</v>
      </c>
      <c r="B1714" t="s">
        <v>152</v>
      </c>
      <c r="C1714" t="s">
        <v>47</v>
      </c>
      <c r="D1714" t="str">
        <f>HYPERLINK("http://service.sap.com/sap/support/notes/1670019","1670019")</f>
        <v>1670019</v>
      </c>
      <c r="E1714">
        <v>2</v>
      </c>
      <c r="F1714" t="s">
        <v>2397</v>
      </c>
    </row>
    <row r="1715" spans="1:6" x14ac:dyDescent="0.25">
      <c r="A1715" t="s">
        <v>2231</v>
      </c>
      <c r="B1715" t="s">
        <v>152</v>
      </c>
      <c r="C1715" t="s">
        <v>47</v>
      </c>
      <c r="D1715" t="str">
        <f>HYPERLINK("http://service.sap.com/sap/support/notes/1671187","1671187")</f>
        <v>1671187</v>
      </c>
      <c r="E1715">
        <v>1</v>
      </c>
      <c r="F1715" t="s">
        <v>2398</v>
      </c>
    </row>
    <row r="1716" spans="1:6" x14ac:dyDescent="0.25">
      <c r="A1716" t="s">
        <v>2231</v>
      </c>
      <c r="B1716" t="s">
        <v>152</v>
      </c>
      <c r="C1716" t="s">
        <v>47</v>
      </c>
      <c r="D1716" t="str">
        <f>HYPERLINK("http://service.sap.com/sap/support/notes/1672109","1672109")</f>
        <v>1672109</v>
      </c>
      <c r="E1716">
        <v>1</v>
      </c>
      <c r="F1716" t="s">
        <v>2399</v>
      </c>
    </row>
    <row r="1717" spans="1:6" x14ac:dyDescent="0.25">
      <c r="A1717" t="s">
        <v>2231</v>
      </c>
      <c r="B1717" t="s">
        <v>155</v>
      </c>
      <c r="C1717" t="s">
        <v>49</v>
      </c>
      <c r="D1717" t="str">
        <f>HYPERLINK("http://service.sap.com/sap/support/notes/1627231","1627231")</f>
        <v>1627231</v>
      </c>
      <c r="E1717">
        <v>1</v>
      </c>
      <c r="F1717" t="s">
        <v>2400</v>
      </c>
    </row>
    <row r="1718" spans="1:6" x14ac:dyDescent="0.25">
      <c r="A1718" t="s">
        <v>2231</v>
      </c>
      <c r="B1718" t="s">
        <v>155</v>
      </c>
      <c r="C1718" t="s">
        <v>49</v>
      </c>
      <c r="D1718" t="str">
        <f>HYPERLINK("http://service.sap.com/sap/support/notes/1650088","1650088")</f>
        <v>1650088</v>
      </c>
      <c r="E1718">
        <v>3</v>
      </c>
      <c r="F1718" t="s">
        <v>2401</v>
      </c>
    </row>
    <row r="1719" spans="1:6" x14ac:dyDescent="0.25">
      <c r="A1719" t="s">
        <v>2231</v>
      </c>
      <c r="B1719" t="s">
        <v>155</v>
      </c>
      <c r="C1719" t="s">
        <v>49</v>
      </c>
      <c r="D1719" t="str">
        <f>HYPERLINK("http://service.sap.com/sap/support/notes/1650582","1650582")</f>
        <v>1650582</v>
      </c>
      <c r="E1719">
        <v>3</v>
      </c>
      <c r="F1719" t="s">
        <v>2402</v>
      </c>
    </row>
    <row r="1720" spans="1:6" x14ac:dyDescent="0.25">
      <c r="A1720" t="s">
        <v>2231</v>
      </c>
      <c r="B1720" t="s">
        <v>155</v>
      </c>
      <c r="C1720" t="s">
        <v>49</v>
      </c>
      <c r="D1720" t="str">
        <f>HYPERLINK("http://service.sap.com/sap/support/notes/1659493","1659493")</f>
        <v>1659493</v>
      </c>
      <c r="E1720">
        <v>1</v>
      </c>
      <c r="F1720" t="s">
        <v>2403</v>
      </c>
    </row>
    <row r="1721" spans="1:6" x14ac:dyDescent="0.25">
      <c r="A1721" t="s">
        <v>2231</v>
      </c>
      <c r="B1721" t="s">
        <v>155</v>
      </c>
      <c r="C1721" t="s">
        <v>49</v>
      </c>
      <c r="D1721" t="str">
        <f>HYPERLINK("http://service.sap.com/sap/support/notes/1663655","1663655")</f>
        <v>1663655</v>
      </c>
      <c r="E1721">
        <v>1</v>
      </c>
      <c r="F1721" t="s">
        <v>2404</v>
      </c>
    </row>
    <row r="1722" spans="1:6" x14ac:dyDescent="0.25">
      <c r="A1722" t="s">
        <v>2231</v>
      </c>
      <c r="B1722" t="s">
        <v>155</v>
      </c>
      <c r="C1722" t="s">
        <v>49</v>
      </c>
      <c r="D1722" t="str">
        <f>HYPERLINK("http://service.sap.com/sap/support/notes/1670411","1670411")</f>
        <v>1670411</v>
      </c>
      <c r="E1722">
        <v>2</v>
      </c>
      <c r="F1722" t="s">
        <v>2405</v>
      </c>
    </row>
    <row r="1723" spans="1:6" x14ac:dyDescent="0.25">
      <c r="A1723" t="s">
        <v>2231</v>
      </c>
      <c r="B1723" t="s">
        <v>155</v>
      </c>
      <c r="C1723" t="s">
        <v>49</v>
      </c>
      <c r="D1723" t="str">
        <f>HYPERLINK("http://service.sap.com/sap/support/notes/1675123","1675123")</f>
        <v>1675123</v>
      </c>
      <c r="E1723">
        <v>2</v>
      </c>
      <c r="F1723" t="s">
        <v>2406</v>
      </c>
    </row>
    <row r="1724" spans="1:6" x14ac:dyDescent="0.25">
      <c r="A1724" t="s">
        <v>2231</v>
      </c>
      <c r="B1724" t="s">
        <v>158</v>
      </c>
      <c r="C1724" t="s">
        <v>54</v>
      </c>
      <c r="D1724" t="str">
        <f>HYPERLINK("http://service.sap.com/sap/support/notes/1668934","1668934")</f>
        <v>1668934</v>
      </c>
      <c r="E1724">
        <v>2</v>
      </c>
      <c r="F1724" t="s">
        <v>2407</v>
      </c>
    </row>
    <row r="1725" spans="1:6" x14ac:dyDescent="0.25">
      <c r="A1725" t="s">
        <v>2231</v>
      </c>
      <c r="B1725" t="s">
        <v>158</v>
      </c>
      <c r="C1725" t="s">
        <v>54</v>
      </c>
      <c r="D1725" t="str">
        <f>HYPERLINK("http://service.sap.com/sap/support/notes/1669727","1669727")</f>
        <v>1669727</v>
      </c>
      <c r="E1725">
        <v>4</v>
      </c>
      <c r="F1725" t="s">
        <v>2408</v>
      </c>
    </row>
    <row r="1726" spans="1:6" x14ac:dyDescent="0.25">
      <c r="A1726" t="s">
        <v>2231</v>
      </c>
      <c r="B1726" t="s">
        <v>158</v>
      </c>
      <c r="C1726" t="s">
        <v>54</v>
      </c>
      <c r="D1726" t="str">
        <f>HYPERLINK("http://service.sap.com/sap/support/notes/1670133","1670133")</f>
        <v>1670133</v>
      </c>
      <c r="E1726">
        <v>5</v>
      </c>
      <c r="F1726" t="s">
        <v>2409</v>
      </c>
    </row>
    <row r="1727" spans="1:6" x14ac:dyDescent="0.25">
      <c r="A1727" t="s">
        <v>2231</v>
      </c>
      <c r="B1727" t="s">
        <v>158</v>
      </c>
      <c r="C1727" t="s">
        <v>54</v>
      </c>
      <c r="D1727" t="str">
        <f>HYPERLINK("http://service.sap.com/sap/support/notes/1671627","1671627")</f>
        <v>1671627</v>
      </c>
      <c r="E1727">
        <v>2</v>
      </c>
      <c r="F1727" t="s">
        <v>2410</v>
      </c>
    </row>
    <row r="1728" spans="1:6" x14ac:dyDescent="0.25">
      <c r="A1728" t="s">
        <v>2231</v>
      </c>
      <c r="B1728" t="s">
        <v>158</v>
      </c>
      <c r="C1728" t="s">
        <v>54</v>
      </c>
      <c r="D1728" t="str">
        <f>HYPERLINK("http://service.sap.com/sap/support/notes/1673135","1673135")</f>
        <v>1673135</v>
      </c>
      <c r="E1728">
        <v>1</v>
      </c>
      <c r="F1728" t="s">
        <v>2411</v>
      </c>
    </row>
    <row r="1729" spans="1:6" x14ac:dyDescent="0.25">
      <c r="A1729" t="s">
        <v>2231</v>
      </c>
      <c r="B1729" t="s">
        <v>158</v>
      </c>
      <c r="C1729" t="s">
        <v>54</v>
      </c>
      <c r="D1729" t="str">
        <f>HYPERLINK("http://service.sap.com/sap/support/notes/1673663","1673663")</f>
        <v>1673663</v>
      </c>
      <c r="E1729">
        <v>1</v>
      </c>
      <c r="F1729" t="s">
        <v>2412</v>
      </c>
    </row>
    <row r="1730" spans="1:6" x14ac:dyDescent="0.25">
      <c r="A1730" t="s">
        <v>2231</v>
      </c>
      <c r="B1730" t="s">
        <v>159</v>
      </c>
      <c r="C1730" t="s">
        <v>160</v>
      </c>
      <c r="D1730" t="str">
        <f>HYPERLINK("http://service.sap.com/sap/support/notes/1672333","1672333")</f>
        <v>1672333</v>
      </c>
      <c r="E1730">
        <v>1</v>
      </c>
      <c r="F1730" t="s">
        <v>2413</v>
      </c>
    </row>
    <row r="1731" spans="1:6" x14ac:dyDescent="0.25">
      <c r="A1731" t="s">
        <v>2231</v>
      </c>
      <c r="B1731" t="s">
        <v>163</v>
      </c>
      <c r="C1731" t="s">
        <v>56</v>
      </c>
      <c r="D1731" t="str">
        <f>HYPERLINK("http://service.sap.com/sap/support/notes/1669486","1669486")</f>
        <v>1669486</v>
      </c>
      <c r="E1731">
        <v>1</v>
      </c>
      <c r="F1731" t="s">
        <v>2414</v>
      </c>
    </row>
    <row r="1732" spans="1:6" x14ac:dyDescent="0.25">
      <c r="A1732" t="s">
        <v>2231</v>
      </c>
      <c r="B1732" t="s">
        <v>163</v>
      </c>
      <c r="C1732" t="s">
        <v>56</v>
      </c>
      <c r="D1732" t="str">
        <f>HYPERLINK("http://service.sap.com/sap/support/notes/1669833","1669833")</f>
        <v>1669833</v>
      </c>
      <c r="E1732">
        <v>1</v>
      </c>
      <c r="F1732" t="s">
        <v>2415</v>
      </c>
    </row>
    <row r="1733" spans="1:6" x14ac:dyDescent="0.25">
      <c r="A1733" t="s">
        <v>2231</v>
      </c>
      <c r="B1733" t="s">
        <v>163</v>
      </c>
      <c r="C1733" t="s">
        <v>56</v>
      </c>
      <c r="D1733" t="str">
        <f>HYPERLINK("http://service.sap.com/sap/support/notes/1670061","1670061")</f>
        <v>1670061</v>
      </c>
      <c r="E1733">
        <v>1</v>
      </c>
      <c r="F1733" t="s">
        <v>2416</v>
      </c>
    </row>
    <row r="1734" spans="1:6" x14ac:dyDescent="0.25">
      <c r="A1734" t="s">
        <v>2231</v>
      </c>
      <c r="B1734" t="s">
        <v>164</v>
      </c>
      <c r="C1734" t="s">
        <v>165</v>
      </c>
      <c r="D1734" t="str">
        <f>HYPERLINK("http://service.sap.com/sap/support/notes/1669050","1669050")</f>
        <v>1669050</v>
      </c>
      <c r="E1734">
        <v>1</v>
      </c>
      <c r="F1734" t="s">
        <v>2417</v>
      </c>
    </row>
    <row r="1735" spans="1:6" x14ac:dyDescent="0.25">
      <c r="A1735" t="s">
        <v>2231</v>
      </c>
      <c r="B1735" t="s">
        <v>164</v>
      </c>
      <c r="C1735" t="s">
        <v>165</v>
      </c>
      <c r="D1735" t="str">
        <f>HYPERLINK("http://service.sap.com/sap/support/notes/1673648","1673648")</f>
        <v>1673648</v>
      </c>
      <c r="E1735">
        <v>1</v>
      </c>
      <c r="F1735" t="s">
        <v>2418</v>
      </c>
    </row>
    <row r="1736" spans="1:6" x14ac:dyDescent="0.25">
      <c r="A1736" t="s">
        <v>2231</v>
      </c>
      <c r="B1736" t="s">
        <v>164</v>
      </c>
      <c r="C1736" t="s">
        <v>165</v>
      </c>
      <c r="D1736" t="str">
        <f>HYPERLINK("http://service.sap.com/sap/support/notes/1675800","1675800")</f>
        <v>1675800</v>
      </c>
      <c r="E1736">
        <v>1</v>
      </c>
      <c r="F1736" t="s">
        <v>2419</v>
      </c>
    </row>
    <row r="1737" spans="1:6" x14ac:dyDescent="0.25">
      <c r="A1737" t="s">
        <v>2231</v>
      </c>
      <c r="B1737" t="s">
        <v>166</v>
      </c>
      <c r="C1737" t="s">
        <v>167</v>
      </c>
      <c r="D1737" t="str">
        <f>HYPERLINK("http://service.sap.com/sap/support/notes/1669697","1669697")</f>
        <v>1669697</v>
      </c>
      <c r="E1737">
        <v>2</v>
      </c>
      <c r="F1737" t="s">
        <v>2420</v>
      </c>
    </row>
    <row r="1738" spans="1:6" x14ac:dyDescent="0.25">
      <c r="A1738" t="s">
        <v>2231</v>
      </c>
      <c r="B1738" t="s">
        <v>166</v>
      </c>
      <c r="C1738" t="s">
        <v>167</v>
      </c>
      <c r="D1738" t="str">
        <f>HYPERLINK("http://service.sap.com/sap/support/notes/1669880","1669880")</f>
        <v>1669880</v>
      </c>
      <c r="E1738">
        <v>2</v>
      </c>
      <c r="F1738" t="s">
        <v>2421</v>
      </c>
    </row>
    <row r="1739" spans="1:6" x14ac:dyDescent="0.25">
      <c r="A1739" t="s">
        <v>2231</v>
      </c>
      <c r="B1739" t="s">
        <v>166</v>
      </c>
      <c r="C1739" t="s">
        <v>167</v>
      </c>
      <c r="D1739" t="str">
        <f>HYPERLINK("http://service.sap.com/sap/support/notes/1670555","1670555")</f>
        <v>1670555</v>
      </c>
      <c r="E1739">
        <v>1</v>
      </c>
      <c r="F1739" t="s">
        <v>2422</v>
      </c>
    </row>
    <row r="1740" spans="1:6" x14ac:dyDescent="0.25">
      <c r="A1740" t="s">
        <v>2231</v>
      </c>
      <c r="B1740" t="s">
        <v>166</v>
      </c>
      <c r="C1740" t="s">
        <v>167</v>
      </c>
      <c r="D1740" t="str">
        <f>HYPERLINK("http://service.sap.com/sap/support/notes/1670610","1670610")</f>
        <v>1670610</v>
      </c>
      <c r="E1740">
        <v>1</v>
      </c>
      <c r="F1740" t="s">
        <v>2423</v>
      </c>
    </row>
    <row r="1741" spans="1:6" x14ac:dyDescent="0.25">
      <c r="A1741" t="s">
        <v>2231</v>
      </c>
      <c r="B1741" t="s">
        <v>166</v>
      </c>
      <c r="C1741" t="s">
        <v>167</v>
      </c>
      <c r="D1741" t="str">
        <f>HYPERLINK("http://service.sap.com/sap/support/notes/1672076","1672076")</f>
        <v>1672076</v>
      </c>
      <c r="E1741">
        <v>1</v>
      </c>
      <c r="F1741" t="s">
        <v>2424</v>
      </c>
    </row>
    <row r="1742" spans="1:6" x14ac:dyDescent="0.25">
      <c r="A1742" t="s">
        <v>2231</v>
      </c>
      <c r="B1742" t="s">
        <v>168</v>
      </c>
      <c r="C1742" t="s">
        <v>169</v>
      </c>
      <c r="D1742" t="str">
        <f>HYPERLINK("http://service.sap.com/sap/support/notes/1668665","1668665")</f>
        <v>1668665</v>
      </c>
      <c r="E1742">
        <v>1</v>
      </c>
      <c r="F1742" t="s">
        <v>2425</v>
      </c>
    </row>
    <row r="1743" spans="1:6" x14ac:dyDescent="0.25">
      <c r="A1743" t="s">
        <v>2231</v>
      </c>
      <c r="B1743" t="s">
        <v>168</v>
      </c>
      <c r="C1743" t="s">
        <v>169</v>
      </c>
      <c r="D1743" t="str">
        <f>HYPERLINK("http://service.sap.com/sap/support/notes/1671354","1671354")</f>
        <v>1671354</v>
      </c>
      <c r="E1743">
        <v>1</v>
      </c>
      <c r="F1743" t="s">
        <v>2426</v>
      </c>
    </row>
    <row r="1744" spans="1:6" x14ac:dyDescent="0.25">
      <c r="A1744" t="s">
        <v>2231</v>
      </c>
      <c r="B1744" t="s">
        <v>168</v>
      </c>
      <c r="C1744" t="s">
        <v>169</v>
      </c>
      <c r="D1744" t="str">
        <f>HYPERLINK("http://service.sap.com/sap/support/notes/1675187","1675187")</f>
        <v>1675187</v>
      </c>
      <c r="E1744">
        <v>1</v>
      </c>
      <c r="F1744" t="s">
        <v>2427</v>
      </c>
    </row>
    <row r="1745" spans="1:6" x14ac:dyDescent="0.25">
      <c r="A1745" t="s">
        <v>2231</v>
      </c>
      <c r="B1745" t="s">
        <v>168</v>
      </c>
      <c r="C1745" t="s">
        <v>169</v>
      </c>
      <c r="D1745" t="str">
        <f>HYPERLINK("http://service.sap.com/sap/support/notes/1675745","1675745")</f>
        <v>1675745</v>
      </c>
      <c r="E1745">
        <v>1</v>
      </c>
      <c r="F1745" t="s">
        <v>2428</v>
      </c>
    </row>
    <row r="1746" spans="1:6" x14ac:dyDescent="0.25">
      <c r="A1746" t="s">
        <v>2231</v>
      </c>
      <c r="B1746" t="s">
        <v>171</v>
      </c>
      <c r="C1746" t="s">
        <v>172</v>
      </c>
      <c r="D1746" t="str">
        <f>HYPERLINK("http://service.sap.com/sap/support/notes/1610849","1610849")</f>
        <v>1610849</v>
      </c>
      <c r="E1746">
        <v>1</v>
      </c>
      <c r="F1746" t="s">
        <v>2429</v>
      </c>
    </row>
    <row r="1747" spans="1:6" x14ac:dyDescent="0.25">
      <c r="A1747" t="s">
        <v>2231</v>
      </c>
      <c r="B1747" t="s">
        <v>171</v>
      </c>
      <c r="C1747" t="s">
        <v>172</v>
      </c>
      <c r="D1747" t="str">
        <f>HYPERLINK("http://service.sap.com/sap/support/notes/1642045","1642045")</f>
        <v>1642045</v>
      </c>
      <c r="E1747">
        <v>1</v>
      </c>
      <c r="F1747" t="s">
        <v>2430</v>
      </c>
    </row>
    <row r="1748" spans="1:6" x14ac:dyDescent="0.25">
      <c r="A1748" t="s">
        <v>2231</v>
      </c>
      <c r="B1748" t="s">
        <v>171</v>
      </c>
      <c r="C1748" t="s">
        <v>172</v>
      </c>
      <c r="D1748" t="str">
        <f>HYPERLINK("http://service.sap.com/sap/support/notes/1642952","1642952")</f>
        <v>1642952</v>
      </c>
      <c r="E1748">
        <v>2</v>
      </c>
      <c r="F1748" t="s">
        <v>2431</v>
      </c>
    </row>
    <row r="1749" spans="1:6" x14ac:dyDescent="0.25">
      <c r="A1749" t="s">
        <v>2231</v>
      </c>
      <c r="B1749" t="s">
        <v>171</v>
      </c>
      <c r="C1749" t="s">
        <v>172</v>
      </c>
      <c r="D1749" t="str">
        <f>HYPERLINK("http://service.sap.com/sap/support/notes/1650638","1650638")</f>
        <v>1650638</v>
      </c>
      <c r="E1749">
        <v>1</v>
      </c>
      <c r="F1749" t="s">
        <v>2432</v>
      </c>
    </row>
    <row r="1750" spans="1:6" x14ac:dyDescent="0.25">
      <c r="A1750" t="s">
        <v>2231</v>
      </c>
      <c r="B1750" t="s">
        <v>171</v>
      </c>
      <c r="C1750" t="s">
        <v>172</v>
      </c>
      <c r="D1750" t="str">
        <f>HYPERLINK("http://service.sap.com/sap/support/notes/1664056","1664056")</f>
        <v>1664056</v>
      </c>
      <c r="E1750">
        <v>1</v>
      </c>
      <c r="F1750" t="s">
        <v>2433</v>
      </c>
    </row>
    <row r="1751" spans="1:6" x14ac:dyDescent="0.25">
      <c r="A1751" t="s">
        <v>2231</v>
      </c>
      <c r="B1751" t="s">
        <v>175</v>
      </c>
      <c r="C1751" t="s">
        <v>176</v>
      </c>
      <c r="D1751" t="str">
        <f>HYPERLINK("http://service.sap.com/sap/support/notes/1661264","1661264")</f>
        <v>1661264</v>
      </c>
      <c r="E1751">
        <v>4</v>
      </c>
      <c r="F1751" t="s">
        <v>2434</v>
      </c>
    </row>
    <row r="1752" spans="1:6" x14ac:dyDescent="0.25">
      <c r="A1752" t="s">
        <v>2231</v>
      </c>
      <c r="B1752" t="s">
        <v>175</v>
      </c>
      <c r="C1752" t="s">
        <v>176</v>
      </c>
      <c r="D1752" t="str">
        <f>HYPERLINK("http://service.sap.com/sap/support/notes/1670272","1670272")</f>
        <v>1670272</v>
      </c>
      <c r="E1752">
        <v>1</v>
      </c>
      <c r="F1752" t="s">
        <v>2435</v>
      </c>
    </row>
    <row r="1753" spans="1:6" x14ac:dyDescent="0.25">
      <c r="A1753" t="s">
        <v>2231</v>
      </c>
      <c r="B1753" t="s">
        <v>175</v>
      </c>
      <c r="C1753" t="s">
        <v>176</v>
      </c>
      <c r="D1753" t="str">
        <f>HYPERLINK("http://service.sap.com/sap/support/notes/1671123","1671123")</f>
        <v>1671123</v>
      </c>
      <c r="E1753">
        <v>5</v>
      </c>
      <c r="F1753" t="s">
        <v>2436</v>
      </c>
    </row>
    <row r="1754" spans="1:6" x14ac:dyDescent="0.25">
      <c r="A1754" t="s">
        <v>2231</v>
      </c>
      <c r="B1754" t="s">
        <v>175</v>
      </c>
      <c r="C1754" t="s">
        <v>176</v>
      </c>
      <c r="D1754" t="str">
        <f>HYPERLINK("http://service.sap.com/sap/support/notes/1671438","1671438")</f>
        <v>1671438</v>
      </c>
      <c r="E1754">
        <v>3</v>
      </c>
      <c r="F1754" t="s">
        <v>2437</v>
      </c>
    </row>
    <row r="1755" spans="1:6" x14ac:dyDescent="0.25">
      <c r="A1755" t="s">
        <v>2231</v>
      </c>
      <c r="B1755" t="s">
        <v>177</v>
      </c>
      <c r="C1755" t="s">
        <v>178</v>
      </c>
      <c r="D1755" t="str">
        <f>HYPERLINK("http://service.sap.com/sap/support/notes/1663802","1663802")</f>
        <v>1663802</v>
      </c>
      <c r="E1755">
        <v>7</v>
      </c>
      <c r="F1755" t="s">
        <v>2438</v>
      </c>
    </row>
    <row r="1756" spans="1:6" x14ac:dyDescent="0.25">
      <c r="A1756" t="s">
        <v>2231</v>
      </c>
      <c r="B1756" t="s">
        <v>177</v>
      </c>
      <c r="C1756" t="s">
        <v>178</v>
      </c>
      <c r="D1756" t="str">
        <f>HYPERLINK("http://service.sap.com/sap/support/notes/1668729","1668729")</f>
        <v>1668729</v>
      </c>
      <c r="E1756">
        <v>3</v>
      </c>
      <c r="F1756" t="s">
        <v>2439</v>
      </c>
    </row>
    <row r="1757" spans="1:6" x14ac:dyDescent="0.25">
      <c r="A1757" t="s">
        <v>2231</v>
      </c>
      <c r="B1757" t="s">
        <v>177</v>
      </c>
      <c r="C1757" t="s">
        <v>178</v>
      </c>
      <c r="D1757" t="str">
        <f>HYPERLINK("http://service.sap.com/sap/support/notes/1669322","1669322")</f>
        <v>1669322</v>
      </c>
      <c r="E1757">
        <v>4</v>
      </c>
      <c r="F1757" t="s">
        <v>2440</v>
      </c>
    </row>
    <row r="1758" spans="1:6" x14ac:dyDescent="0.25">
      <c r="A1758" t="s">
        <v>2231</v>
      </c>
      <c r="B1758" t="s">
        <v>177</v>
      </c>
      <c r="C1758" t="s">
        <v>178</v>
      </c>
      <c r="D1758" t="str">
        <f>HYPERLINK("http://service.sap.com/sap/support/notes/1669693","1669693")</f>
        <v>1669693</v>
      </c>
      <c r="E1758">
        <v>2</v>
      </c>
      <c r="F1758" t="s">
        <v>2441</v>
      </c>
    </row>
    <row r="1759" spans="1:6" x14ac:dyDescent="0.25">
      <c r="A1759" t="s">
        <v>2231</v>
      </c>
      <c r="B1759" t="s">
        <v>179</v>
      </c>
      <c r="C1759" t="s">
        <v>180</v>
      </c>
      <c r="D1759" t="str">
        <f>HYPERLINK("http://service.sap.com/sap/support/notes/1662354","1662354")</f>
        <v>1662354</v>
      </c>
      <c r="E1759">
        <v>3</v>
      </c>
      <c r="F1759" t="s">
        <v>2442</v>
      </c>
    </row>
    <row r="1760" spans="1:6" x14ac:dyDescent="0.25">
      <c r="A1760" t="s">
        <v>2231</v>
      </c>
      <c r="B1760" t="s">
        <v>179</v>
      </c>
      <c r="C1760" t="s">
        <v>180</v>
      </c>
      <c r="D1760" t="str">
        <f>HYPERLINK("http://service.sap.com/sap/support/notes/1668721","1668721")</f>
        <v>1668721</v>
      </c>
      <c r="E1760">
        <v>5</v>
      </c>
      <c r="F1760" t="s">
        <v>2202</v>
      </c>
    </row>
    <row r="1761" spans="1:6" x14ac:dyDescent="0.25">
      <c r="A1761" t="s">
        <v>2231</v>
      </c>
      <c r="B1761" t="s">
        <v>179</v>
      </c>
      <c r="C1761" t="s">
        <v>180</v>
      </c>
      <c r="D1761" t="str">
        <f>HYPERLINK("http://service.sap.com/sap/support/notes/1672213","1672213")</f>
        <v>1672213</v>
      </c>
      <c r="E1761">
        <v>5</v>
      </c>
      <c r="F1761" t="s">
        <v>2443</v>
      </c>
    </row>
    <row r="1762" spans="1:6" x14ac:dyDescent="0.25">
      <c r="A1762" t="s">
        <v>2231</v>
      </c>
      <c r="B1762" t="s">
        <v>179</v>
      </c>
      <c r="C1762" t="s">
        <v>180</v>
      </c>
      <c r="D1762" t="str">
        <f>HYPERLINK("http://service.sap.com/sap/support/notes/1674223","1674223")</f>
        <v>1674223</v>
      </c>
      <c r="E1762">
        <v>2</v>
      </c>
      <c r="F1762" t="s">
        <v>2444</v>
      </c>
    </row>
    <row r="1763" spans="1:6" x14ac:dyDescent="0.25">
      <c r="A1763" t="s">
        <v>2231</v>
      </c>
      <c r="B1763" t="s">
        <v>181</v>
      </c>
      <c r="C1763" t="s">
        <v>182</v>
      </c>
      <c r="D1763" t="str">
        <f>HYPERLINK("http://service.sap.com/sap/support/notes/1673154","1673154")</f>
        <v>1673154</v>
      </c>
      <c r="E1763">
        <v>1</v>
      </c>
      <c r="F1763" t="s">
        <v>2445</v>
      </c>
    </row>
    <row r="1764" spans="1:6" x14ac:dyDescent="0.25">
      <c r="A1764" t="s">
        <v>2231</v>
      </c>
      <c r="B1764" t="s">
        <v>181</v>
      </c>
      <c r="C1764" t="s">
        <v>182</v>
      </c>
      <c r="D1764" t="str">
        <f>HYPERLINK("http://service.sap.com/sap/support/notes/1674273","1674273")</f>
        <v>1674273</v>
      </c>
      <c r="E1764">
        <v>2</v>
      </c>
      <c r="F1764" t="s">
        <v>2446</v>
      </c>
    </row>
    <row r="1765" spans="1:6" x14ac:dyDescent="0.25">
      <c r="A1765" t="s">
        <v>2231</v>
      </c>
      <c r="B1765" t="s">
        <v>185</v>
      </c>
      <c r="C1765" t="s">
        <v>186</v>
      </c>
      <c r="D1765" t="str">
        <f>HYPERLINK("http://service.sap.com/sap/support/notes/1655621","1655621")</f>
        <v>1655621</v>
      </c>
      <c r="E1765">
        <v>6</v>
      </c>
      <c r="F1765" t="s">
        <v>2447</v>
      </c>
    </row>
    <row r="1766" spans="1:6" x14ac:dyDescent="0.25">
      <c r="A1766" t="s">
        <v>2231</v>
      </c>
      <c r="B1766" t="s">
        <v>185</v>
      </c>
      <c r="C1766" t="s">
        <v>186</v>
      </c>
      <c r="D1766" t="str">
        <f>HYPERLINK("http://service.sap.com/sap/support/notes/1669728","1669728")</f>
        <v>1669728</v>
      </c>
      <c r="E1766">
        <v>1</v>
      </c>
      <c r="F1766" t="s">
        <v>2448</v>
      </c>
    </row>
    <row r="1767" spans="1:6" x14ac:dyDescent="0.25">
      <c r="A1767" t="s">
        <v>2231</v>
      </c>
      <c r="B1767" t="s">
        <v>188</v>
      </c>
      <c r="C1767" t="s">
        <v>60</v>
      </c>
      <c r="D1767" t="str">
        <f>HYPERLINK("http://service.sap.com/sap/support/notes/1670151","1670151")</f>
        <v>1670151</v>
      </c>
      <c r="E1767">
        <v>1</v>
      </c>
      <c r="F1767" t="s">
        <v>2449</v>
      </c>
    </row>
    <row r="1768" spans="1:6" x14ac:dyDescent="0.25">
      <c r="A1768" t="s">
        <v>2231</v>
      </c>
      <c r="B1768" t="s">
        <v>188</v>
      </c>
      <c r="C1768" t="s">
        <v>60</v>
      </c>
      <c r="D1768" t="str">
        <f>HYPERLINK("http://service.sap.com/sap/support/notes/1670270","1670270")</f>
        <v>1670270</v>
      </c>
      <c r="E1768">
        <v>1</v>
      </c>
      <c r="F1768" t="s">
        <v>2450</v>
      </c>
    </row>
    <row r="1769" spans="1:6" x14ac:dyDescent="0.25">
      <c r="A1769" t="s">
        <v>2231</v>
      </c>
      <c r="B1769" t="s">
        <v>188</v>
      </c>
      <c r="C1769" t="s">
        <v>60</v>
      </c>
      <c r="D1769" t="str">
        <f>HYPERLINK("http://service.sap.com/sap/support/notes/1674693","1674693")</f>
        <v>1674693</v>
      </c>
      <c r="E1769">
        <v>1</v>
      </c>
      <c r="F1769" t="s">
        <v>2451</v>
      </c>
    </row>
    <row r="1770" spans="1:6" x14ac:dyDescent="0.25">
      <c r="A1770" t="s">
        <v>2231</v>
      </c>
      <c r="B1770" t="s">
        <v>189</v>
      </c>
      <c r="C1770" t="s">
        <v>190</v>
      </c>
      <c r="D1770" t="str">
        <f>HYPERLINK("http://service.sap.com/sap/support/notes/1670593","1670593")</f>
        <v>1670593</v>
      </c>
      <c r="E1770">
        <v>4</v>
      </c>
      <c r="F1770" t="s">
        <v>2452</v>
      </c>
    </row>
    <row r="1771" spans="1:6" x14ac:dyDescent="0.25">
      <c r="A1771" t="s">
        <v>2231</v>
      </c>
      <c r="B1771" t="s">
        <v>189</v>
      </c>
      <c r="C1771" t="s">
        <v>190</v>
      </c>
      <c r="D1771" t="str">
        <f>HYPERLINK("http://service.sap.com/sap/support/notes/1672278","1672278")</f>
        <v>1672278</v>
      </c>
      <c r="E1771">
        <v>1</v>
      </c>
      <c r="F1771" t="s">
        <v>2453</v>
      </c>
    </row>
    <row r="1772" spans="1:6" x14ac:dyDescent="0.25">
      <c r="A1772" t="s">
        <v>2231</v>
      </c>
      <c r="B1772" t="s">
        <v>191</v>
      </c>
      <c r="C1772" t="s">
        <v>62</v>
      </c>
    </row>
    <row r="1773" spans="1:6" x14ac:dyDescent="0.25">
      <c r="A1773" t="s">
        <v>2231</v>
      </c>
      <c r="B1773" t="s">
        <v>195</v>
      </c>
      <c r="C1773" t="s">
        <v>132</v>
      </c>
      <c r="D1773" t="str">
        <f>HYPERLINK("http://service.sap.com/sap/support/notes/1675665","1675665")</f>
        <v>1675665</v>
      </c>
      <c r="E1773">
        <v>4</v>
      </c>
      <c r="F1773" t="s">
        <v>2454</v>
      </c>
    </row>
    <row r="1774" spans="1:6" x14ac:dyDescent="0.25">
      <c r="A1774" t="s">
        <v>2231</v>
      </c>
      <c r="B1774" t="s">
        <v>335</v>
      </c>
      <c r="C1774" t="s">
        <v>2455</v>
      </c>
      <c r="D1774" t="str">
        <f>HYPERLINK("http://service.sap.com/sap/support/notes/1632741","1632741")</f>
        <v>1632741</v>
      </c>
      <c r="E1774">
        <v>3</v>
      </c>
      <c r="F1774" t="s">
        <v>2456</v>
      </c>
    </row>
    <row r="1775" spans="1:6" x14ac:dyDescent="0.25">
      <c r="A1775" t="s">
        <v>2231</v>
      </c>
      <c r="B1775" t="s">
        <v>335</v>
      </c>
      <c r="C1775" t="s">
        <v>2455</v>
      </c>
      <c r="D1775" t="str">
        <f>HYPERLINK("http://service.sap.com/sap/support/notes/1665251","1665251")</f>
        <v>1665251</v>
      </c>
      <c r="E1775">
        <v>5</v>
      </c>
      <c r="F1775" t="s">
        <v>2457</v>
      </c>
    </row>
    <row r="1776" spans="1:6" x14ac:dyDescent="0.25">
      <c r="A1776" t="s">
        <v>2231</v>
      </c>
      <c r="B1776" t="s">
        <v>196</v>
      </c>
      <c r="C1776" t="s">
        <v>197</v>
      </c>
      <c r="D1776" t="str">
        <f>HYPERLINK("http://service.sap.com/sap/support/notes/1659090","1659090")</f>
        <v>1659090</v>
      </c>
      <c r="E1776">
        <v>2</v>
      </c>
      <c r="F1776" t="s">
        <v>2458</v>
      </c>
    </row>
    <row r="1777" spans="1:6" x14ac:dyDescent="0.25">
      <c r="A1777" t="s">
        <v>2231</v>
      </c>
      <c r="B1777" t="s">
        <v>196</v>
      </c>
      <c r="C1777" t="s">
        <v>197</v>
      </c>
      <c r="D1777" t="str">
        <f>HYPERLINK("http://service.sap.com/sap/support/notes/1668024","1668024")</f>
        <v>1668024</v>
      </c>
      <c r="E1777">
        <v>1</v>
      </c>
      <c r="F1777" t="s">
        <v>2459</v>
      </c>
    </row>
    <row r="1778" spans="1:6" x14ac:dyDescent="0.25">
      <c r="A1778" t="s">
        <v>2231</v>
      </c>
      <c r="B1778" t="s">
        <v>196</v>
      </c>
      <c r="C1778" t="s">
        <v>197</v>
      </c>
      <c r="D1778" t="str">
        <f>HYPERLINK("http://service.sap.com/sap/support/notes/1672046","1672046")</f>
        <v>1672046</v>
      </c>
      <c r="E1778">
        <v>1</v>
      </c>
      <c r="F1778" t="s">
        <v>2460</v>
      </c>
    </row>
    <row r="1779" spans="1:6" x14ac:dyDescent="0.25">
      <c r="A1779" t="s">
        <v>2231</v>
      </c>
      <c r="B1779" t="s">
        <v>196</v>
      </c>
      <c r="C1779" t="s">
        <v>197</v>
      </c>
      <c r="D1779" t="str">
        <f>HYPERLINK("http://service.sap.com/sap/support/notes/1673088","1673088")</f>
        <v>1673088</v>
      </c>
      <c r="E1779">
        <v>2</v>
      </c>
      <c r="F1779" t="s">
        <v>2461</v>
      </c>
    </row>
    <row r="1780" spans="1:6" x14ac:dyDescent="0.25">
      <c r="A1780" t="s">
        <v>2231</v>
      </c>
      <c r="B1780" t="s">
        <v>196</v>
      </c>
      <c r="C1780" t="s">
        <v>197</v>
      </c>
      <c r="D1780" t="str">
        <f>HYPERLINK("http://service.sap.com/sap/support/notes/1673869","1673869")</f>
        <v>1673869</v>
      </c>
      <c r="E1780">
        <v>6</v>
      </c>
      <c r="F1780" t="s">
        <v>2462</v>
      </c>
    </row>
    <row r="1781" spans="1:6" x14ac:dyDescent="0.25">
      <c r="A1781" t="s">
        <v>2231</v>
      </c>
      <c r="B1781" t="s">
        <v>196</v>
      </c>
      <c r="C1781" t="s">
        <v>197</v>
      </c>
      <c r="D1781" t="str">
        <f>HYPERLINK("http://service.sap.com/sap/support/notes/1674123","1674123")</f>
        <v>1674123</v>
      </c>
      <c r="E1781">
        <v>4</v>
      </c>
      <c r="F1781" t="s">
        <v>2463</v>
      </c>
    </row>
    <row r="1782" spans="1:6" x14ac:dyDescent="0.25">
      <c r="A1782" t="s">
        <v>2231</v>
      </c>
      <c r="B1782" t="s">
        <v>196</v>
      </c>
      <c r="C1782" t="s">
        <v>197</v>
      </c>
      <c r="D1782" t="str">
        <f>HYPERLINK("http://service.sap.com/sap/support/notes/1675093","1675093")</f>
        <v>1675093</v>
      </c>
      <c r="E1782">
        <v>1</v>
      </c>
      <c r="F1782" t="s">
        <v>2464</v>
      </c>
    </row>
    <row r="1783" spans="1:6" x14ac:dyDescent="0.25">
      <c r="A1783" t="s">
        <v>2231</v>
      </c>
      <c r="B1783" t="s">
        <v>198</v>
      </c>
      <c r="C1783" t="s">
        <v>199</v>
      </c>
      <c r="D1783" t="str">
        <f>HYPERLINK("http://service.sap.com/sap/support/notes/1518581","1518581")</f>
        <v>1518581</v>
      </c>
      <c r="E1783">
        <v>8</v>
      </c>
      <c r="F1783" t="s">
        <v>2465</v>
      </c>
    </row>
    <row r="1784" spans="1:6" x14ac:dyDescent="0.25">
      <c r="A1784" t="s">
        <v>2231</v>
      </c>
      <c r="B1784" t="s">
        <v>205</v>
      </c>
      <c r="C1784" t="s">
        <v>206</v>
      </c>
      <c r="D1784" t="str">
        <f>HYPERLINK("http://service.sap.com/sap/support/notes/1647046","1647046")</f>
        <v>1647046</v>
      </c>
      <c r="E1784">
        <v>2</v>
      </c>
      <c r="F1784" t="s">
        <v>2466</v>
      </c>
    </row>
    <row r="1785" spans="1:6" x14ac:dyDescent="0.25">
      <c r="A1785" t="s">
        <v>2231</v>
      </c>
      <c r="B1785" t="s">
        <v>207</v>
      </c>
      <c r="C1785" t="s">
        <v>208</v>
      </c>
    </row>
    <row r="1786" spans="1:6" x14ac:dyDescent="0.25">
      <c r="A1786" t="s">
        <v>2231</v>
      </c>
      <c r="B1786" t="s">
        <v>209</v>
      </c>
      <c r="C1786" t="s">
        <v>210</v>
      </c>
    </row>
    <row r="1787" spans="1:6" x14ac:dyDescent="0.25">
      <c r="A1787" t="s">
        <v>2231</v>
      </c>
      <c r="B1787" t="s">
        <v>2220</v>
      </c>
      <c r="C1787" t="s">
        <v>136</v>
      </c>
    </row>
    <row r="1788" spans="1:6" x14ac:dyDescent="0.25">
      <c r="A1788" t="s">
        <v>2231</v>
      </c>
      <c r="B1788" t="s">
        <v>2221</v>
      </c>
      <c r="C1788" t="s">
        <v>77</v>
      </c>
      <c r="D1788" t="str">
        <f>HYPERLINK("http://service.sap.com/sap/support/notes/1668162","1668162")</f>
        <v>1668162</v>
      </c>
      <c r="E1788">
        <v>3</v>
      </c>
      <c r="F1788" t="s">
        <v>2467</v>
      </c>
    </row>
    <row r="1789" spans="1:6" x14ac:dyDescent="0.25">
      <c r="A1789" t="s">
        <v>2468</v>
      </c>
      <c r="B1789" t="s">
        <v>15</v>
      </c>
      <c r="C1789" t="s">
        <v>16</v>
      </c>
    </row>
    <row r="1790" spans="1:6" x14ac:dyDescent="0.25">
      <c r="A1790" t="s">
        <v>2468</v>
      </c>
      <c r="B1790" t="s">
        <v>17</v>
      </c>
      <c r="C1790" t="s">
        <v>18</v>
      </c>
    </row>
    <row r="1791" spans="1:6" x14ac:dyDescent="0.25">
      <c r="A1791" t="s">
        <v>2468</v>
      </c>
      <c r="B1791" t="s">
        <v>19</v>
      </c>
      <c r="C1791" t="s">
        <v>20</v>
      </c>
      <c r="D1791" t="str">
        <f>HYPERLINK("http://service.sap.com/sap/support/notes/1675552","1675552")</f>
        <v>1675552</v>
      </c>
      <c r="E1791">
        <v>3</v>
      </c>
      <c r="F1791" t="s">
        <v>2469</v>
      </c>
    </row>
    <row r="1792" spans="1:6" x14ac:dyDescent="0.25">
      <c r="A1792" t="s">
        <v>2468</v>
      </c>
      <c r="B1792" t="s">
        <v>21</v>
      </c>
      <c r="C1792" t="s">
        <v>12</v>
      </c>
    </row>
    <row r="1793" spans="1:6" x14ac:dyDescent="0.25">
      <c r="A1793" t="s">
        <v>2468</v>
      </c>
      <c r="B1793" t="s">
        <v>243</v>
      </c>
      <c r="C1793" t="s">
        <v>402</v>
      </c>
      <c r="D1793" t="str">
        <f>HYPERLINK("http://service.sap.com/sap/support/notes/1648482","1648482")</f>
        <v>1648482</v>
      </c>
      <c r="E1793">
        <v>2</v>
      </c>
      <c r="F1793" t="s">
        <v>1189</v>
      </c>
    </row>
    <row r="1794" spans="1:6" x14ac:dyDescent="0.25">
      <c r="A1794" t="s">
        <v>2468</v>
      </c>
      <c r="B1794" t="s">
        <v>29</v>
      </c>
      <c r="C1794" t="s">
        <v>30</v>
      </c>
    </row>
    <row r="1795" spans="1:6" x14ac:dyDescent="0.25">
      <c r="A1795" t="s">
        <v>2468</v>
      </c>
      <c r="B1795" t="s">
        <v>33</v>
      </c>
      <c r="C1795" t="s">
        <v>34</v>
      </c>
      <c r="D1795" t="str">
        <f>HYPERLINK("http://service.sap.com/sap/support/notes/1682855","1682855")</f>
        <v>1682855</v>
      </c>
      <c r="E1795">
        <v>1</v>
      </c>
      <c r="F1795" t="s">
        <v>2470</v>
      </c>
    </row>
    <row r="1796" spans="1:6" x14ac:dyDescent="0.25">
      <c r="A1796" t="s">
        <v>2468</v>
      </c>
      <c r="B1796" t="s">
        <v>33</v>
      </c>
      <c r="C1796" t="s">
        <v>34</v>
      </c>
      <c r="D1796" t="str">
        <f>HYPERLINK("http://service.sap.com/sap/support/notes/1685199","1685199")</f>
        <v>1685199</v>
      </c>
      <c r="E1796">
        <v>2</v>
      </c>
      <c r="F1796" t="s">
        <v>2471</v>
      </c>
    </row>
    <row r="1797" spans="1:6" x14ac:dyDescent="0.25">
      <c r="A1797" t="s">
        <v>2468</v>
      </c>
      <c r="B1797" t="s">
        <v>33</v>
      </c>
      <c r="C1797" t="s">
        <v>34</v>
      </c>
      <c r="D1797" t="str">
        <f>HYPERLINK("http://service.sap.com/sap/support/notes/1686768","1686768")</f>
        <v>1686768</v>
      </c>
      <c r="E1797">
        <v>1</v>
      </c>
      <c r="F1797" t="s">
        <v>2472</v>
      </c>
    </row>
    <row r="1798" spans="1:6" x14ac:dyDescent="0.25">
      <c r="A1798" t="s">
        <v>2468</v>
      </c>
      <c r="B1798" t="s">
        <v>35</v>
      </c>
      <c r="C1798" t="s">
        <v>36</v>
      </c>
      <c r="D1798" t="str">
        <f>HYPERLINK("http://service.sap.com/sap/support/notes/1684861","1684861")</f>
        <v>1684861</v>
      </c>
      <c r="E1798">
        <v>2</v>
      </c>
      <c r="F1798" t="s">
        <v>2473</v>
      </c>
    </row>
    <row r="1799" spans="1:6" x14ac:dyDescent="0.25">
      <c r="A1799" t="s">
        <v>2468</v>
      </c>
      <c r="B1799" t="s">
        <v>413</v>
      </c>
      <c r="C1799" t="s">
        <v>414</v>
      </c>
      <c r="D1799" t="str">
        <f>HYPERLINK("http://service.sap.com/sap/support/notes/1681843","1681843")</f>
        <v>1681843</v>
      </c>
      <c r="E1799">
        <v>1</v>
      </c>
      <c r="F1799" t="s">
        <v>2474</v>
      </c>
    </row>
    <row r="1800" spans="1:6" x14ac:dyDescent="0.25">
      <c r="A1800" t="s">
        <v>2468</v>
      </c>
      <c r="B1800" t="s">
        <v>41</v>
      </c>
      <c r="C1800" t="s">
        <v>42</v>
      </c>
    </row>
    <row r="1801" spans="1:6" x14ac:dyDescent="0.25">
      <c r="A1801" t="s">
        <v>2468</v>
      </c>
      <c r="B1801" t="s">
        <v>43</v>
      </c>
      <c r="C1801" t="s">
        <v>44</v>
      </c>
      <c r="D1801" t="str">
        <f>HYPERLINK("http://service.sap.com/sap/support/notes/1648288","1648288")</f>
        <v>1648288</v>
      </c>
      <c r="E1801">
        <v>2</v>
      </c>
      <c r="F1801" t="s">
        <v>2475</v>
      </c>
    </row>
    <row r="1802" spans="1:6" x14ac:dyDescent="0.25">
      <c r="A1802" t="s">
        <v>2468</v>
      </c>
      <c r="B1802" t="s">
        <v>43</v>
      </c>
      <c r="C1802" t="s">
        <v>44</v>
      </c>
      <c r="D1802" t="str">
        <f>HYPERLINK("http://service.sap.com/sap/support/notes/1652761","1652761")</f>
        <v>1652761</v>
      </c>
      <c r="E1802">
        <v>2</v>
      </c>
      <c r="F1802" t="s">
        <v>2476</v>
      </c>
    </row>
    <row r="1803" spans="1:6" x14ac:dyDescent="0.25">
      <c r="A1803" t="s">
        <v>2468</v>
      </c>
      <c r="B1803" t="s">
        <v>43</v>
      </c>
      <c r="C1803" t="s">
        <v>44</v>
      </c>
      <c r="D1803" t="str">
        <f>HYPERLINK("http://service.sap.com/sap/support/notes/1684198","1684198")</f>
        <v>1684198</v>
      </c>
      <c r="E1803">
        <v>3</v>
      </c>
      <c r="F1803" t="s">
        <v>2477</v>
      </c>
    </row>
    <row r="1804" spans="1:6" x14ac:dyDescent="0.25">
      <c r="A1804" t="s">
        <v>2468</v>
      </c>
      <c r="B1804" t="s">
        <v>254</v>
      </c>
      <c r="C1804" t="s">
        <v>255</v>
      </c>
      <c r="D1804" t="str">
        <f>HYPERLINK("http://service.sap.com/sap/support/notes/1678608","1678608")</f>
        <v>1678608</v>
      </c>
      <c r="E1804">
        <v>1</v>
      </c>
      <c r="F1804" t="s">
        <v>2478</v>
      </c>
    </row>
    <row r="1805" spans="1:6" x14ac:dyDescent="0.25">
      <c r="A1805" t="s">
        <v>2468</v>
      </c>
      <c r="B1805" t="s">
        <v>53</v>
      </c>
      <c r="C1805" t="s">
        <v>54</v>
      </c>
      <c r="D1805" t="str">
        <f>HYPERLINK("http://service.sap.com/sap/support/notes/1607723","1607723")</f>
        <v>1607723</v>
      </c>
      <c r="E1805">
        <v>1</v>
      </c>
      <c r="F1805" t="s">
        <v>2479</v>
      </c>
    </row>
    <row r="1806" spans="1:6" x14ac:dyDescent="0.25">
      <c r="A1806" t="s">
        <v>2468</v>
      </c>
      <c r="B1806" t="s">
        <v>53</v>
      </c>
      <c r="C1806" t="s">
        <v>54</v>
      </c>
      <c r="D1806" t="str">
        <f>HYPERLINK("http://service.sap.com/sap/support/notes/1613209","1613209")</f>
        <v>1613209</v>
      </c>
      <c r="E1806">
        <v>2</v>
      </c>
      <c r="F1806" t="s">
        <v>2480</v>
      </c>
    </row>
    <row r="1807" spans="1:6" x14ac:dyDescent="0.25">
      <c r="A1807" t="s">
        <v>2468</v>
      </c>
      <c r="B1807" t="s">
        <v>53</v>
      </c>
      <c r="C1807" t="s">
        <v>54</v>
      </c>
      <c r="D1807" t="str">
        <f>HYPERLINK("http://service.sap.com/sap/support/notes/1675697","1675697")</f>
        <v>1675697</v>
      </c>
      <c r="E1807">
        <v>2</v>
      </c>
      <c r="F1807" t="s">
        <v>2481</v>
      </c>
    </row>
    <row r="1808" spans="1:6" x14ac:dyDescent="0.25">
      <c r="A1808" t="s">
        <v>2468</v>
      </c>
      <c r="B1808" t="s">
        <v>839</v>
      </c>
      <c r="C1808" t="s">
        <v>160</v>
      </c>
      <c r="D1808" t="str">
        <f>HYPERLINK("http://service.sap.com/sap/support/notes/1644909","1644909")</f>
        <v>1644909</v>
      </c>
      <c r="E1808">
        <v>3</v>
      </c>
      <c r="F1808" t="s">
        <v>2482</v>
      </c>
    </row>
    <row r="1809" spans="1:6" x14ac:dyDescent="0.25">
      <c r="A1809" t="s">
        <v>2468</v>
      </c>
      <c r="B1809" t="s">
        <v>839</v>
      </c>
      <c r="C1809" t="s">
        <v>160</v>
      </c>
      <c r="D1809" t="str">
        <f>HYPERLINK("http://service.sap.com/sap/support/notes/1678031","1678031")</f>
        <v>1678031</v>
      </c>
      <c r="E1809">
        <v>1</v>
      </c>
      <c r="F1809" t="s">
        <v>2483</v>
      </c>
    </row>
    <row r="1810" spans="1:6" x14ac:dyDescent="0.25">
      <c r="A1810" t="s">
        <v>2468</v>
      </c>
      <c r="B1810" t="s">
        <v>55</v>
      </c>
      <c r="C1810" t="s">
        <v>56</v>
      </c>
      <c r="D1810" t="str">
        <f>HYPERLINK("http://service.sap.com/sap/support/notes/1676700","1676700")</f>
        <v>1676700</v>
      </c>
      <c r="E1810">
        <v>1</v>
      </c>
      <c r="F1810" t="s">
        <v>2484</v>
      </c>
    </row>
    <row r="1811" spans="1:6" x14ac:dyDescent="0.25">
      <c r="A1811" t="s">
        <v>2468</v>
      </c>
      <c r="B1811" t="s">
        <v>256</v>
      </c>
      <c r="C1811" t="s">
        <v>165</v>
      </c>
      <c r="D1811" t="str">
        <f>HYPERLINK("http://service.sap.com/sap/support/notes/1672711","1672711")</f>
        <v>1672711</v>
      </c>
      <c r="E1811">
        <v>2</v>
      </c>
      <c r="F1811" t="s">
        <v>2485</v>
      </c>
    </row>
    <row r="1812" spans="1:6" x14ac:dyDescent="0.25">
      <c r="A1812" t="s">
        <v>2468</v>
      </c>
      <c r="B1812" t="s">
        <v>256</v>
      </c>
      <c r="C1812" t="s">
        <v>165</v>
      </c>
      <c r="D1812" t="str">
        <f>HYPERLINK("http://service.sap.com/sap/support/notes/1677909","1677909")</f>
        <v>1677909</v>
      </c>
      <c r="E1812">
        <v>1</v>
      </c>
      <c r="F1812" t="s">
        <v>2486</v>
      </c>
    </row>
    <row r="1813" spans="1:6" x14ac:dyDescent="0.25">
      <c r="A1813" t="s">
        <v>2468</v>
      </c>
      <c r="B1813" t="s">
        <v>57</v>
      </c>
      <c r="C1813" t="s">
        <v>58</v>
      </c>
      <c r="D1813" t="str">
        <f>HYPERLINK("http://service.sap.com/sap/support/notes/1635676","1635676")</f>
        <v>1635676</v>
      </c>
      <c r="E1813">
        <v>1</v>
      </c>
      <c r="F1813" t="s">
        <v>847</v>
      </c>
    </row>
    <row r="1814" spans="1:6" x14ac:dyDescent="0.25">
      <c r="A1814" t="s">
        <v>2468</v>
      </c>
      <c r="B1814" t="s">
        <v>57</v>
      </c>
      <c r="C1814" t="s">
        <v>58</v>
      </c>
      <c r="D1814" t="str">
        <f>HYPERLINK("http://service.sap.com/sap/support/notes/1672143","1672143")</f>
        <v>1672143</v>
      </c>
      <c r="E1814">
        <v>1</v>
      </c>
      <c r="F1814" t="s">
        <v>2487</v>
      </c>
    </row>
    <row r="1815" spans="1:6" x14ac:dyDescent="0.25">
      <c r="A1815" t="s">
        <v>2468</v>
      </c>
      <c r="B1815" t="s">
        <v>57</v>
      </c>
      <c r="C1815" t="s">
        <v>58</v>
      </c>
      <c r="D1815" t="str">
        <f>HYPERLINK("http://service.sap.com/sap/support/notes/1674704","1674704")</f>
        <v>1674704</v>
      </c>
      <c r="E1815">
        <v>1</v>
      </c>
      <c r="F1815" t="s">
        <v>2488</v>
      </c>
    </row>
    <row r="1816" spans="1:6" x14ac:dyDescent="0.25">
      <c r="A1816" t="s">
        <v>2468</v>
      </c>
      <c r="B1816" t="s">
        <v>57</v>
      </c>
      <c r="C1816" t="s">
        <v>58</v>
      </c>
      <c r="D1816" t="str">
        <f>HYPERLINK("http://service.sap.com/sap/support/notes/1676284","1676284")</f>
        <v>1676284</v>
      </c>
      <c r="E1816">
        <v>1</v>
      </c>
      <c r="F1816" t="s">
        <v>2489</v>
      </c>
    </row>
    <row r="1817" spans="1:6" x14ac:dyDescent="0.25">
      <c r="A1817" t="s">
        <v>2468</v>
      </c>
      <c r="B1817" t="s">
        <v>57</v>
      </c>
      <c r="C1817" t="s">
        <v>58</v>
      </c>
      <c r="D1817" t="str">
        <f>HYPERLINK("http://service.sap.com/sap/support/notes/1677426","1677426")</f>
        <v>1677426</v>
      </c>
      <c r="E1817">
        <v>1</v>
      </c>
      <c r="F1817" t="s">
        <v>2490</v>
      </c>
    </row>
    <row r="1818" spans="1:6" x14ac:dyDescent="0.25">
      <c r="A1818" t="s">
        <v>2468</v>
      </c>
      <c r="B1818" t="s">
        <v>57</v>
      </c>
      <c r="C1818" t="s">
        <v>58</v>
      </c>
      <c r="D1818" t="str">
        <f>HYPERLINK("http://service.sap.com/sap/support/notes/1678182","1678182")</f>
        <v>1678182</v>
      </c>
      <c r="E1818">
        <v>1</v>
      </c>
      <c r="F1818" t="s">
        <v>2491</v>
      </c>
    </row>
    <row r="1819" spans="1:6" x14ac:dyDescent="0.25">
      <c r="A1819" t="s">
        <v>2468</v>
      </c>
      <c r="B1819" t="s">
        <v>57</v>
      </c>
      <c r="C1819" t="s">
        <v>58</v>
      </c>
      <c r="D1819" t="str">
        <f>HYPERLINK("http://service.sap.com/sap/support/notes/1678795","1678795")</f>
        <v>1678795</v>
      </c>
      <c r="E1819">
        <v>2</v>
      </c>
      <c r="F1819" t="s">
        <v>2492</v>
      </c>
    </row>
    <row r="1820" spans="1:6" x14ac:dyDescent="0.25">
      <c r="A1820" t="s">
        <v>2468</v>
      </c>
      <c r="B1820" t="s">
        <v>57</v>
      </c>
      <c r="C1820" t="s">
        <v>58</v>
      </c>
      <c r="D1820" t="str">
        <f>HYPERLINK("http://service.sap.com/sap/support/notes/1685078","1685078")</f>
        <v>1685078</v>
      </c>
      <c r="E1820">
        <v>1</v>
      </c>
      <c r="F1820" t="s">
        <v>2493</v>
      </c>
    </row>
    <row r="1821" spans="1:6" x14ac:dyDescent="0.25">
      <c r="A1821" t="s">
        <v>2468</v>
      </c>
      <c r="B1821" t="s">
        <v>259</v>
      </c>
      <c r="C1821" t="s">
        <v>190</v>
      </c>
      <c r="D1821" t="str">
        <f>HYPERLINK("http://service.sap.com/sap/support/notes/1671664","1671664")</f>
        <v>1671664</v>
      </c>
      <c r="E1821">
        <v>1</v>
      </c>
      <c r="F1821" t="s">
        <v>2494</v>
      </c>
    </row>
    <row r="1822" spans="1:6" x14ac:dyDescent="0.25">
      <c r="A1822" t="s">
        <v>2468</v>
      </c>
      <c r="B1822" t="s">
        <v>61</v>
      </c>
      <c r="C1822" t="s">
        <v>62</v>
      </c>
      <c r="D1822" t="str">
        <f>HYPERLINK("http://service.sap.com/sap/support/notes/1662593","1662593")</f>
        <v>1662593</v>
      </c>
      <c r="E1822">
        <v>2</v>
      </c>
      <c r="F1822" t="s">
        <v>2495</v>
      </c>
    </row>
    <row r="1823" spans="1:6" x14ac:dyDescent="0.25">
      <c r="A1823" t="s">
        <v>2468</v>
      </c>
      <c r="B1823" t="s">
        <v>63</v>
      </c>
      <c r="C1823" t="s">
        <v>64</v>
      </c>
      <c r="D1823" t="str">
        <f>HYPERLINK("http://service.sap.com/sap/support/notes/1670734","1670734")</f>
        <v>1670734</v>
      </c>
      <c r="E1823">
        <v>3</v>
      </c>
      <c r="F1823" t="s">
        <v>2496</v>
      </c>
    </row>
    <row r="1824" spans="1:6" x14ac:dyDescent="0.25">
      <c r="A1824" t="s">
        <v>2468</v>
      </c>
      <c r="B1824" t="s">
        <v>66</v>
      </c>
      <c r="C1824" t="s">
        <v>67</v>
      </c>
    </row>
    <row r="1825" spans="1:6" x14ac:dyDescent="0.25">
      <c r="A1825" t="s">
        <v>2468</v>
      </c>
      <c r="B1825" t="s">
        <v>68</v>
      </c>
      <c r="C1825" t="s">
        <v>69</v>
      </c>
      <c r="D1825" t="str">
        <f>HYPERLINK("http://service.sap.com/sap/support/notes/1679997","1679997")</f>
        <v>1679997</v>
      </c>
      <c r="E1825">
        <v>1</v>
      </c>
      <c r="F1825" t="s">
        <v>2497</v>
      </c>
    </row>
    <row r="1826" spans="1:6" x14ac:dyDescent="0.25">
      <c r="A1826" t="s">
        <v>2468</v>
      </c>
      <c r="B1826" t="s">
        <v>70</v>
      </c>
      <c r="C1826" t="s">
        <v>71</v>
      </c>
      <c r="D1826" t="str">
        <f>HYPERLINK("http://service.sap.com/sap/support/notes/1674500","1674500")</f>
        <v>1674500</v>
      </c>
      <c r="E1826">
        <v>2</v>
      </c>
      <c r="F1826" t="s">
        <v>2498</v>
      </c>
    </row>
    <row r="1827" spans="1:6" x14ac:dyDescent="0.25">
      <c r="A1827" t="s">
        <v>2468</v>
      </c>
      <c r="B1827" t="s">
        <v>70</v>
      </c>
      <c r="C1827" t="s">
        <v>71</v>
      </c>
      <c r="D1827" t="str">
        <f>HYPERLINK("http://service.sap.com/sap/support/notes/1678174","1678174")</f>
        <v>1678174</v>
      </c>
      <c r="E1827">
        <v>2</v>
      </c>
      <c r="F1827" t="s">
        <v>2499</v>
      </c>
    </row>
    <row r="1828" spans="1:6" x14ac:dyDescent="0.25">
      <c r="A1828" t="s">
        <v>2468</v>
      </c>
      <c r="B1828" t="s">
        <v>72</v>
      </c>
      <c r="C1828" t="s">
        <v>73</v>
      </c>
    </row>
    <row r="1829" spans="1:6" x14ac:dyDescent="0.25">
      <c r="A1829" t="s">
        <v>2468</v>
      </c>
      <c r="B1829" t="s">
        <v>74</v>
      </c>
      <c r="C1829" t="s">
        <v>75</v>
      </c>
      <c r="D1829" t="str">
        <f>HYPERLINK("http://service.sap.com/sap/support/notes/1648840","1648840")</f>
        <v>1648840</v>
      </c>
      <c r="E1829">
        <v>1</v>
      </c>
      <c r="F1829" t="s">
        <v>2500</v>
      </c>
    </row>
    <row r="1830" spans="1:6" x14ac:dyDescent="0.25">
      <c r="A1830" t="s">
        <v>2468</v>
      </c>
      <c r="B1830" t="s">
        <v>284</v>
      </c>
      <c r="C1830" t="s">
        <v>393</v>
      </c>
    </row>
    <row r="1831" spans="1:6" x14ac:dyDescent="0.25">
      <c r="A1831" t="s">
        <v>2468</v>
      </c>
      <c r="B1831" t="s">
        <v>301</v>
      </c>
      <c r="C1831" t="s">
        <v>302</v>
      </c>
      <c r="D1831" t="str">
        <f>HYPERLINK("http://service.sap.com/sap/support/notes/1680232","1680232")</f>
        <v>1680232</v>
      </c>
      <c r="E1831">
        <v>2</v>
      </c>
      <c r="F1831" t="s">
        <v>2501</v>
      </c>
    </row>
    <row r="1832" spans="1:6" x14ac:dyDescent="0.25">
      <c r="A1832" t="s">
        <v>2468</v>
      </c>
      <c r="B1832" t="s">
        <v>76</v>
      </c>
      <c r="C1832" t="s">
        <v>77</v>
      </c>
    </row>
    <row r="1833" spans="1:6" x14ac:dyDescent="0.25">
      <c r="A1833" t="s">
        <v>2468</v>
      </c>
      <c r="B1833" t="s">
        <v>78</v>
      </c>
      <c r="C1833" t="s">
        <v>79</v>
      </c>
      <c r="D1833" t="str">
        <f>HYPERLINK("http://service.sap.com/sap/support/notes/1674309","1674309")</f>
        <v>1674309</v>
      </c>
      <c r="E1833">
        <v>4</v>
      </c>
      <c r="F1833" t="s">
        <v>2502</v>
      </c>
    </row>
    <row r="1834" spans="1:6" x14ac:dyDescent="0.25">
      <c r="A1834" t="s">
        <v>2468</v>
      </c>
      <c r="B1834" t="s">
        <v>80</v>
      </c>
      <c r="C1834" t="s">
        <v>32</v>
      </c>
      <c r="D1834" t="str">
        <f>HYPERLINK("http://service.sap.com/sap/support/notes/1640971","1640971")</f>
        <v>1640971</v>
      </c>
      <c r="E1834">
        <v>3</v>
      </c>
      <c r="F1834" t="s">
        <v>2503</v>
      </c>
    </row>
    <row r="1835" spans="1:6" x14ac:dyDescent="0.25">
      <c r="A1835" t="s">
        <v>2468</v>
      </c>
      <c r="B1835" t="s">
        <v>80</v>
      </c>
      <c r="C1835" t="s">
        <v>32</v>
      </c>
      <c r="D1835" t="str">
        <f>HYPERLINK("http://service.sap.com/sap/support/notes/1646078","1646078")</f>
        <v>1646078</v>
      </c>
      <c r="E1835">
        <v>3</v>
      </c>
      <c r="F1835" t="s">
        <v>2504</v>
      </c>
    </row>
    <row r="1836" spans="1:6" x14ac:dyDescent="0.25">
      <c r="A1836" t="s">
        <v>2468</v>
      </c>
      <c r="B1836" t="s">
        <v>80</v>
      </c>
      <c r="C1836" t="s">
        <v>32</v>
      </c>
      <c r="D1836" t="str">
        <f>HYPERLINK("http://service.sap.com/sap/support/notes/1658868","1658868")</f>
        <v>1658868</v>
      </c>
      <c r="E1836">
        <v>2</v>
      </c>
      <c r="F1836" t="s">
        <v>2505</v>
      </c>
    </row>
    <row r="1837" spans="1:6" x14ac:dyDescent="0.25">
      <c r="A1837" t="s">
        <v>2468</v>
      </c>
      <c r="B1837" t="s">
        <v>80</v>
      </c>
      <c r="C1837" t="s">
        <v>32</v>
      </c>
      <c r="D1837" t="str">
        <f>HYPERLINK("http://service.sap.com/sap/support/notes/1660577","1660577")</f>
        <v>1660577</v>
      </c>
      <c r="E1837">
        <v>8</v>
      </c>
      <c r="F1837" t="s">
        <v>2506</v>
      </c>
    </row>
    <row r="1838" spans="1:6" x14ac:dyDescent="0.25">
      <c r="A1838" t="s">
        <v>2468</v>
      </c>
      <c r="B1838" t="s">
        <v>80</v>
      </c>
      <c r="C1838" t="s">
        <v>32</v>
      </c>
      <c r="D1838" t="str">
        <f>HYPERLINK("http://service.sap.com/sap/support/notes/1663199","1663199")</f>
        <v>1663199</v>
      </c>
      <c r="E1838">
        <v>2</v>
      </c>
      <c r="F1838" t="s">
        <v>2507</v>
      </c>
    </row>
    <row r="1839" spans="1:6" x14ac:dyDescent="0.25">
      <c r="A1839" t="s">
        <v>2468</v>
      </c>
      <c r="B1839" t="s">
        <v>80</v>
      </c>
      <c r="C1839" t="s">
        <v>32</v>
      </c>
      <c r="D1839" t="str">
        <f>HYPERLINK("http://service.sap.com/sap/support/notes/1666966","1666966")</f>
        <v>1666966</v>
      </c>
      <c r="E1839">
        <v>1</v>
      </c>
      <c r="F1839" t="s">
        <v>2508</v>
      </c>
    </row>
    <row r="1840" spans="1:6" x14ac:dyDescent="0.25">
      <c r="A1840" t="s">
        <v>2468</v>
      </c>
      <c r="B1840" t="s">
        <v>80</v>
      </c>
      <c r="C1840" t="s">
        <v>32</v>
      </c>
      <c r="D1840" t="str">
        <f>HYPERLINK("http://service.sap.com/sap/support/notes/1667986","1667986")</f>
        <v>1667986</v>
      </c>
      <c r="E1840">
        <v>1</v>
      </c>
      <c r="F1840" t="s">
        <v>2509</v>
      </c>
    </row>
    <row r="1841" spans="1:6" x14ac:dyDescent="0.25">
      <c r="A1841" t="s">
        <v>2468</v>
      </c>
      <c r="B1841" t="s">
        <v>80</v>
      </c>
      <c r="C1841" t="s">
        <v>32</v>
      </c>
      <c r="D1841" t="str">
        <f>HYPERLINK("http://service.sap.com/sap/support/notes/1671857","1671857")</f>
        <v>1671857</v>
      </c>
      <c r="E1841">
        <v>2</v>
      </c>
      <c r="F1841" t="s">
        <v>2510</v>
      </c>
    </row>
    <row r="1842" spans="1:6" x14ac:dyDescent="0.25">
      <c r="A1842" t="s">
        <v>2468</v>
      </c>
      <c r="B1842" t="s">
        <v>80</v>
      </c>
      <c r="C1842" t="s">
        <v>32</v>
      </c>
      <c r="D1842" t="str">
        <f>HYPERLINK("http://service.sap.com/sap/support/notes/1675017","1675017")</f>
        <v>1675017</v>
      </c>
      <c r="E1842">
        <v>2</v>
      </c>
      <c r="F1842" t="s">
        <v>2511</v>
      </c>
    </row>
    <row r="1843" spans="1:6" x14ac:dyDescent="0.25">
      <c r="A1843" t="s">
        <v>2468</v>
      </c>
      <c r="B1843" t="s">
        <v>80</v>
      </c>
      <c r="C1843" t="s">
        <v>32</v>
      </c>
      <c r="D1843" t="str">
        <f>HYPERLINK("http://service.sap.com/sap/support/notes/1677567","1677567")</f>
        <v>1677567</v>
      </c>
      <c r="E1843">
        <v>1</v>
      </c>
      <c r="F1843" t="s">
        <v>2512</v>
      </c>
    </row>
    <row r="1844" spans="1:6" x14ac:dyDescent="0.25">
      <c r="A1844" t="s">
        <v>2468</v>
      </c>
      <c r="B1844" t="s">
        <v>80</v>
      </c>
      <c r="C1844" t="s">
        <v>32</v>
      </c>
      <c r="D1844" t="str">
        <f>HYPERLINK("http://service.sap.com/sap/support/notes/1681497","1681497")</f>
        <v>1681497</v>
      </c>
      <c r="E1844">
        <v>4</v>
      </c>
      <c r="F1844" t="s">
        <v>2513</v>
      </c>
    </row>
    <row r="1845" spans="1:6" x14ac:dyDescent="0.25">
      <c r="A1845" t="s">
        <v>2468</v>
      </c>
      <c r="B1845" t="s">
        <v>80</v>
      </c>
      <c r="C1845" t="s">
        <v>32</v>
      </c>
      <c r="D1845" t="str">
        <f>HYPERLINK("http://service.sap.com/sap/support/notes/1683924","1683924")</f>
        <v>1683924</v>
      </c>
      <c r="E1845">
        <v>1</v>
      </c>
      <c r="F1845" t="s">
        <v>2514</v>
      </c>
    </row>
    <row r="1846" spans="1:6" x14ac:dyDescent="0.25">
      <c r="A1846" t="s">
        <v>2468</v>
      </c>
      <c r="B1846" t="s">
        <v>80</v>
      </c>
      <c r="C1846" t="s">
        <v>32</v>
      </c>
      <c r="D1846" t="str">
        <f>HYPERLINK("http://service.sap.com/sap/support/notes/1684194","1684194")</f>
        <v>1684194</v>
      </c>
      <c r="E1846">
        <v>2</v>
      </c>
      <c r="F1846" t="s">
        <v>2515</v>
      </c>
    </row>
    <row r="1847" spans="1:6" x14ac:dyDescent="0.25">
      <c r="A1847" t="s">
        <v>2468</v>
      </c>
      <c r="B1847" t="s">
        <v>80</v>
      </c>
      <c r="C1847" t="s">
        <v>32</v>
      </c>
      <c r="D1847" t="str">
        <f>HYPERLINK("http://service.sap.com/sap/support/notes/1684471","1684471")</f>
        <v>1684471</v>
      </c>
      <c r="E1847">
        <v>2</v>
      </c>
      <c r="F1847" t="s">
        <v>2516</v>
      </c>
    </row>
    <row r="1848" spans="1:6" x14ac:dyDescent="0.25">
      <c r="A1848" t="s">
        <v>2468</v>
      </c>
      <c r="B1848" t="s">
        <v>83</v>
      </c>
      <c r="C1848" t="s">
        <v>84</v>
      </c>
      <c r="D1848" t="str">
        <f>HYPERLINK("http://service.sap.com/sap/support/notes/1669869","1669869")</f>
        <v>1669869</v>
      </c>
      <c r="E1848">
        <v>1</v>
      </c>
      <c r="F1848" t="s">
        <v>2517</v>
      </c>
    </row>
    <row r="1849" spans="1:6" x14ac:dyDescent="0.25">
      <c r="A1849" t="s">
        <v>2468</v>
      </c>
      <c r="B1849" t="s">
        <v>83</v>
      </c>
      <c r="C1849" t="s">
        <v>84</v>
      </c>
      <c r="D1849" t="str">
        <f>HYPERLINK("http://service.sap.com/sap/support/notes/1676232","1676232")</f>
        <v>1676232</v>
      </c>
      <c r="E1849">
        <v>1</v>
      </c>
      <c r="F1849" t="s">
        <v>2518</v>
      </c>
    </row>
    <row r="1850" spans="1:6" x14ac:dyDescent="0.25">
      <c r="A1850" t="s">
        <v>2468</v>
      </c>
      <c r="B1850" t="s">
        <v>83</v>
      </c>
      <c r="C1850" t="s">
        <v>84</v>
      </c>
      <c r="D1850" t="str">
        <f>HYPERLINK("http://service.sap.com/sap/support/notes/1676783","1676783")</f>
        <v>1676783</v>
      </c>
      <c r="E1850">
        <v>1</v>
      </c>
      <c r="F1850" t="s">
        <v>2519</v>
      </c>
    </row>
    <row r="1851" spans="1:6" x14ac:dyDescent="0.25">
      <c r="A1851" t="s">
        <v>2468</v>
      </c>
      <c r="B1851" t="s">
        <v>83</v>
      </c>
      <c r="C1851" t="s">
        <v>84</v>
      </c>
      <c r="D1851" t="str">
        <f>HYPERLINK("http://service.sap.com/sap/support/notes/1678135","1678135")</f>
        <v>1678135</v>
      </c>
      <c r="E1851">
        <v>2</v>
      </c>
      <c r="F1851" t="s">
        <v>2520</v>
      </c>
    </row>
    <row r="1852" spans="1:6" x14ac:dyDescent="0.25">
      <c r="A1852" t="s">
        <v>2468</v>
      </c>
      <c r="B1852" t="s">
        <v>83</v>
      </c>
      <c r="C1852" t="s">
        <v>84</v>
      </c>
      <c r="D1852" t="str">
        <f>HYPERLINK("http://service.sap.com/sap/support/notes/1678656","1678656")</f>
        <v>1678656</v>
      </c>
      <c r="E1852">
        <v>1</v>
      </c>
      <c r="F1852" t="s">
        <v>2521</v>
      </c>
    </row>
    <row r="1853" spans="1:6" x14ac:dyDescent="0.25">
      <c r="A1853" t="s">
        <v>2468</v>
      </c>
      <c r="B1853" t="s">
        <v>83</v>
      </c>
      <c r="C1853" t="s">
        <v>84</v>
      </c>
      <c r="D1853" t="str">
        <f>HYPERLINK("http://service.sap.com/sap/support/notes/1679131","1679131")</f>
        <v>1679131</v>
      </c>
      <c r="E1853">
        <v>1</v>
      </c>
      <c r="F1853" t="s">
        <v>2522</v>
      </c>
    </row>
    <row r="1854" spans="1:6" x14ac:dyDescent="0.25">
      <c r="A1854" t="s">
        <v>2468</v>
      </c>
      <c r="B1854" t="s">
        <v>83</v>
      </c>
      <c r="C1854" t="s">
        <v>84</v>
      </c>
      <c r="D1854" t="str">
        <f>HYPERLINK("http://service.sap.com/sap/support/notes/1682784","1682784")</f>
        <v>1682784</v>
      </c>
      <c r="E1854">
        <v>1</v>
      </c>
      <c r="F1854" t="s">
        <v>2523</v>
      </c>
    </row>
    <row r="1855" spans="1:6" x14ac:dyDescent="0.25">
      <c r="A1855" t="s">
        <v>2468</v>
      </c>
      <c r="B1855" t="s">
        <v>83</v>
      </c>
      <c r="C1855" t="s">
        <v>84</v>
      </c>
      <c r="D1855" t="str">
        <f>HYPERLINK("http://service.sap.com/sap/support/notes/1682964","1682964")</f>
        <v>1682964</v>
      </c>
      <c r="E1855">
        <v>1</v>
      </c>
      <c r="F1855" t="s">
        <v>2524</v>
      </c>
    </row>
    <row r="1856" spans="1:6" x14ac:dyDescent="0.25">
      <c r="A1856" t="s">
        <v>2468</v>
      </c>
      <c r="B1856" t="s">
        <v>83</v>
      </c>
      <c r="C1856" t="s">
        <v>84</v>
      </c>
      <c r="D1856" t="str">
        <f>HYPERLINK("http://service.sap.com/sap/support/notes/1684786","1684786")</f>
        <v>1684786</v>
      </c>
      <c r="E1856">
        <v>1</v>
      </c>
      <c r="F1856" t="s">
        <v>372</v>
      </c>
    </row>
    <row r="1857" spans="1:6" x14ac:dyDescent="0.25">
      <c r="A1857" t="s">
        <v>2468</v>
      </c>
      <c r="B1857" t="s">
        <v>86</v>
      </c>
      <c r="C1857" t="s">
        <v>87</v>
      </c>
      <c r="D1857" t="str">
        <f>HYPERLINK("http://service.sap.com/sap/support/notes/1604654","1604654")</f>
        <v>1604654</v>
      </c>
      <c r="E1857">
        <v>5</v>
      </c>
      <c r="F1857" t="s">
        <v>2525</v>
      </c>
    </row>
    <row r="1858" spans="1:6" x14ac:dyDescent="0.25">
      <c r="A1858" t="s">
        <v>2468</v>
      </c>
      <c r="B1858" t="s">
        <v>86</v>
      </c>
      <c r="C1858" t="s">
        <v>87</v>
      </c>
      <c r="D1858" t="str">
        <f>HYPERLINK("http://service.sap.com/sap/support/notes/1611586","1611586")</f>
        <v>1611586</v>
      </c>
      <c r="E1858">
        <v>2</v>
      </c>
      <c r="F1858" t="s">
        <v>2526</v>
      </c>
    </row>
    <row r="1859" spans="1:6" x14ac:dyDescent="0.25">
      <c r="A1859" t="s">
        <v>2468</v>
      </c>
      <c r="B1859" t="s">
        <v>86</v>
      </c>
      <c r="C1859" t="s">
        <v>87</v>
      </c>
      <c r="D1859" t="str">
        <f>HYPERLINK("http://service.sap.com/sap/support/notes/1659758","1659758")</f>
        <v>1659758</v>
      </c>
      <c r="E1859">
        <v>1</v>
      </c>
      <c r="F1859" t="s">
        <v>2527</v>
      </c>
    </row>
    <row r="1860" spans="1:6" x14ac:dyDescent="0.25">
      <c r="A1860" t="s">
        <v>2468</v>
      </c>
      <c r="B1860" t="s">
        <v>88</v>
      </c>
      <c r="C1860" t="s">
        <v>82</v>
      </c>
      <c r="D1860" t="str">
        <f>HYPERLINK("http://service.sap.com/sap/support/notes/1673836","1673836")</f>
        <v>1673836</v>
      </c>
      <c r="E1860">
        <v>2</v>
      </c>
      <c r="F1860" t="s">
        <v>2528</v>
      </c>
    </row>
    <row r="1861" spans="1:6" x14ac:dyDescent="0.25">
      <c r="A1861" t="s">
        <v>2468</v>
      </c>
      <c r="B1861" t="s">
        <v>88</v>
      </c>
      <c r="C1861" t="s">
        <v>82</v>
      </c>
      <c r="D1861" t="str">
        <f>HYPERLINK("http://service.sap.com/sap/support/notes/1679072","1679072")</f>
        <v>1679072</v>
      </c>
      <c r="E1861">
        <v>1</v>
      </c>
      <c r="F1861" t="s">
        <v>2529</v>
      </c>
    </row>
    <row r="1862" spans="1:6" x14ac:dyDescent="0.25">
      <c r="A1862" t="s">
        <v>2468</v>
      </c>
      <c r="B1862" t="s">
        <v>88</v>
      </c>
      <c r="C1862" t="s">
        <v>82</v>
      </c>
      <c r="D1862" t="str">
        <f>HYPERLINK("http://service.sap.com/sap/support/notes/1684292","1684292")</f>
        <v>1684292</v>
      </c>
      <c r="E1862">
        <v>1</v>
      </c>
      <c r="F1862" t="s">
        <v>2530</v>
      </c>
    </row>
    <row r="1863" spans="1:6" x14ac:dyDescent="0.25">
      <c r="A1863" t="s">
        <v>2468</v>
      </c>
      <c r="B1863" t="s">
        <v>89</v>
      </c>
      <c r="C1863" t="s">
        <v>34</v>
      </c>
      <c r="D1863" t="str">
        <f>HYPERLINK("http://service.sap.com/sap/support/notes/1637737","1637737")</f>
        <v>1637737</v>
      </c>
      <c r="E1863">
        <v>2</v>
      </c>
      <c r="F1863" t="s">
        <v>2531</v>
      </c>
    </row>
    <row r="1864" spans="1:6" x14ac:dyDescent="0.25">
      <c r="A1864" t="s">
        <v>2468</v>
      </c>
      <c r="B1864" t="s">
        <v>89</v>
      </c>
      <c r="C1864" t="s">
        <v>34</v>
      </c>
      <c r="D1864" t="str">
        <f>HYPERLINK("http://service.sap.com/sap/support/notes/1659442","1659442")</f>
        <v>1659442</v>
      </c>
      <c r="E1864">
        <v>1</v>
      </c>
      <c r="F1864" t="s">
        <v>2532</v>
      </c>
    </row>
    <row r="1865" spans="1:6" x14ac:dyDescent="0.25">
      <c r="A1865" t="s">
        <v>2468</v>
      </c>
      <c r="B1865" t="s">
        <v>89</v>
      </c>
      <c r="C1865" t="s">
        <v>34</v>
      </c>
      <c r="D1865" t="str">
        <f>HYPERLINK("http://service.sap.com/sap/support/notes/1659964","1659964")</f>
        <v>1659964</v>
      </c>
      <c r="E1865">
        <v>2</v>
      </c>
      <c r="F1865" t="s">
        <v>2533</v>
      </c>
    </row>
    <row r="1866" spans="1:6" x14ac:dyDescent="0.25">
      <c r="A1866" t="s">
        <v>2468</v>
      </c>
      <c r="B1866" t="s">
        <v>89</v>
      </c>
      <c r="C1866" t="s">
        <v>34</v>
      </c>
      <c r="D1866" t="str">
        <f>HYPERLINK("http://service.sap.com/sap/support/notes/1660412","1660412")</f>
        <v>1660412</v>
      </c>
      <c r="E1866">
        <v>1</v>
      </c>
      <c r="F1866" t="s">
        <v>2534</v>
      </c>
    </row>
    <row r="1867" spans="1:6" x14ac:dyDescent="0.25">
      <c r="A1867" t="s">
        <v>2468</v>
      </c>
      <c r="B1867" t="s">
        <v>89</v>
      </c>
      <c r="C1867" t="s">
        <v>34</v>
      </c>
      <c r="D1867" t="str">
        <f>HYPERLINK("http://service.sap.com/sap/support/notes/1660850","1660850")</f>
        <v>1660850</v>
      </c>
      <c r="E1867">
        <v>2</v>
      </c>
      <c r="F1867" t="s">
        <v>2535</v>
      </c>
    </row>
    <row r="1868" spans="1:6" x14ac:dyDescent="0.25">
      <c r="A1868" t="s">
        <v>2468</v>
      </c>
      <c r="B1868" t="s">
        <v>89</v>
      </c>
      <c r="C1868" t="s">
        <v>34</v>
      </c>
      <c r="D1868" t="str">
        <f>HYPERLINK("http://service.sap.com/sap/support/notes/1665742","1665742")</f>
        <v>1665742</v>
      </c>
      <c r="E1868">
        <v>1</v>
      </c>
      <c r="F1868" t="s">
        <v>2536</v>
      </c>
    </row>
    <row r="1869" spans="1:6" x14ac:dyDescent="0.25">
      <c r="A1869" t="s">
        <v>2468</v>
      </c>
      <c r="B1869" t="s">
        <v>89</v>
      </c>
      <c r="C1869" t="s">
        <v>34</v>
      </c>
      <c r="D1869" t="str">
        <f>HYPERLINK("http://service.sap.com/sap/support/notes/1668231","1668231")</f>
        <v>1668231</v>
      </c>
      <c r="E1869">
        <v>7</v>
      </c>
      <c r="F1869" t="s">
        <v>2537</v>
      </c>
    </row>
    <row r="1870" spans="1:6" x14ac:dyDescent="0.25">
      <c r="A1870" t="s">
        <v>2468</v>
      </c>
      <c r="B1870" t="s">
        <v>89</v>
      </c>
      <c r="C1870" t="s">
        <v>34</v>
      </c>
      <c r="D1870" t="str">
        <f>HYPERLINK("http://service.sap.com/sap/support/notes/1670794","1670794")</f>
        <v>1670794</v>
      </c>
      <c r="E1870">
        <v>2</v>
      </c>
      <c r="F1870" t="s">
        <v>2538</v>
      </c>
    </row>
    <row r="1871" spans="1:6" x14ac:dyDescent="0.25">
      <c r="A1871" t="s">
        <v>2468</v>
      </c>
      <c r="B1871" t="s">
        <v>89</v>
      </c>
      <c r="C1871" t="s">
        <v>34</v>
      </c>
      <c r="D1871" t="str">
        <f>HYPERLINK("http://service.sap.com/sap/support/notes/1673423","1673423")</f>
        <v>1673423</v>
      </c>
      <c r="E1871">
        <v>1</v>
      </c>
      <c r="F1871" t="s">
        <v>2539</v>
      </c>
    </row>
    <row r="1872" spans="1:6" x14ac:dyDescent="0.25">
      <c r="A1872" t="s">
        <v>2468</v>
      </c>
      <c r="B1872" t="s">
        <v>89</v>
      </c>
      <c r="C1872" t="s">
        <v>34</v>
      </c>
      <c r="D1872" t="str">
        <f>HYPERLINK("http://service.sap.com/sap/support/notes/1676604","1676604")</f>
        <v>1676604</v>
      </c>
      <c r="E1872">
        <v>1</v>
      </c>
      <c r="F1872" t="s">
        <v>2540</v>
      </c>
    </row>
    <row r="1873" spans="1:6" x14ac:dyDescent="0.25">
      <c r="A1873" t="s">
        <v>2468</v>
      </c>
      <c r="B1873" t="s">
        <v>89</v>
      </c>
      <c r="C1873" t="s">
        <v>34</v>
      </c>
      <c r="D1873" t="str">
        <f>HYPERLINK("http://service.sap.com/sap/support/notes/1676963","1676963")</f>
        <v>1676963</v>
      </c>
      <c r="E1873">
        <v>1</v>
      </c>
      <c r="F1873" t="s">
        <v>394</v>
      </c>
    </row>
    <row r="1874" spans="1:6" x14ac:dyDescent="0.25">
      <c r="A1874" t="s">
        <v>2468</v>
      </c>
      <c r="B1874" t="s">
        <v>89</v>
      </c>
      <c r="C1874" t="s">
        <v>34</v>
      </c>
      <c r="D1874" t="str">
        <f>HYPERLINK("http://service.sap.com/sap/support/notes/1677048","1677048")</f>
        <v>1677048</v>
      </c>
      <c r="E1874">
        <v>1</v>
      </c>
      <c r="F1874" t="s">
        <v>2541</v>
      </c>
    </row>
    <row r="1875" spans="1:6" x14ac:dyDescent="0.25">
      <c r="A1875" t="s">
        <v>2468</v>
      </c>
      <c r="B1875" t="s">
        <v>89</v>
      </c>
      <c r="C1875" t="s">
        <v>34</v>
      </c>
      <c r="D1875" t="str">
        <f>HYPERLINK("http://service.sap.com/sap/support/notes/1677093","1677093")</f>
        <v>1677093</v>
      </c>
      <c r="E1875">
        <v>4</v>
      </c>
      <c r="F1875" t="s">
        <v>2542</v>
      </c>
    </row>
    <row r="1876" spans="1:6" x14ac:dyDescent="0.25">
      <c r="A1876" t="s">
        <v>2468</v>
      </c>
      <c r="B1876" t="s">
        <v>89</v>
      </c>
      <c r="C1876" t="s">
        <v>34</v>
      </c>
      <c r="D1876" t="str">
        <f>HYPERLINK("http://service.sap.com/sap/support/notes/1677134","1677134")</f>
        <v>1677134</v>
      </c>
      <c r="E1876">
        <v>7</v>
      </c>
      <c r="F1876" t="s">
        <v>2543</v>
      </c>
    </row>
    <row r="1877" spans="1:6" x14ac:dyDescent="0.25">
      <c r="A1877" t="s">
        <v>2468</v>
      </c>
      <c r="B1877" t="s">
        <v>89</v>
      </c>
      <c r="C1877" t="s">
        <v>34</v>
      </c>
      <c r="D1877" t="str">
        <f>HYPERLINK("http://service.sap.com/sap/support/notes/1677760","1677760")</f>
        <v>1677760</v>
      </c>
      <c r="E1877">
        <v>2</v>
      </c>
      <c r="F1877" t="s">
        <v>2544</v>
      </c>
    </row>
    <row r="1878" spans="1:6" x14ac:dyDescent="0.25">
      <c r="A1878" t="s">
        <v>2468</v>
      </c>
      <c r="B1878" t="s">
        <v>89</v>
      </c>
      <c r="C1878" t="s">
        <v>34</v>
      </c>
      <c r="D1878" t="str">
        <f>HYPERLINK("http://service.sap.com/sap/support/notes/1681359","1681359")</f>
        <v>1681359</v>
      </c>
      <c r="E1878">
        <v>1</v>
      </c>
      <c r="F1878" t="s">
        <v>2545</v>
      </c>
    </row>
    <row r="1879" spans="1:6" x14ac:dyDescent="0.25">
      <c r="A1879" t="s">
        <v>2468</v>
      </c>
      <c r="B1879" t="s">
        <v>89</v>
      </c>
      <c r="C1879" t="s">
        <v>34</v>
      </c>
      <c r="D1879" t="str">
        <f>HYPERLINK("http://service.sap.com/sap/support/notes/1682817","1682817")</f>
        <v>1682817</v>
      </c>
      <c r="E1879">
        <v>3</v>
      </c>
      <c r="F1879" t="s">
        <v>2546</v>
      </c>
    </row>
    <row r="1880" spans="1:6" x14ac:dyDescent="0.25">
      <c r="A1880" t="s">
        <v>2468</v>
      </c>
      <c r="B1880" t="s">
        <v>89</v>
      </c>
      <c r="C1880" t="s">
        <v>34</v>
      </c>
      <c r="D1880" t="str">
        <f>HYPERLINK("http://service.sap.com/sap/support/notes/1684088","1684088")</f>
        <v>1684088</v>
      </c>
      <c r="E1880">
        <v>2</v>
      </c>
      <c r="F1880" t="s">
        <v>2547</v>
      </c>
    </row>
    <row r="1881" spans="1:6" x14ac:dyDescent="0.25">
      <c r="A1881" t="s">
        <v>2468</v>
      </c>
      <c r="B1881" t="s">
        <v>91</v>
      </c>
      <c r="C1881" t="s">
        <v>92</v>
      </c>
      <c r="D1881" t="str">
        <f>HYPERLINK("http://service.sap.com/sap/support/notes/1543341","1543341")</f>
        <v>1543341</v>
      </c>
      <c r="E1881">
        <v>5</v>
      </c>
      <c r="F1881" t="s">
        <v>395</v>
      </c>
    </row>
    <row r="1882" spans="1:6" x14ac:dyDescent="0.25">
      <c r="A1882" t="s">
        <v>2468</v>
      </c>
      <c r="B1882" t="s">
        <v>91</v>
      </c>
      <c r="C1882" t="s">
        <v>92</v>
      </c>
      <c r="D1882" t="str">
        <f>HYPERLINK("http://service.sap.com/sap/support/notes/1628682","1628682")</f>
        <v>1628682</v>
      </c>
      <c r="E1882">
        <v>2</v>
      </c>
      <c r="F1882" t="s">
        <v>2548</v>
      </c>
    </row>
    <row r="1883" spans="1:6" x14ac:dyDescent="0.25">
      <c r="A1883" t="s">
        <v>2468</v>
      </c>
      <c r="B1883" t="s">
        <v>91</v>
      </c>
      <c r="C1883" t="s">
        <v>92</v>
      </c>
      <c r="D1883" t="str">
        <f>HYPERLINK("http://service.sap.com/sap/support/notes/1632804","1632804")</f>
        <v>1632804</v>
      </c>
      <c r="E1883">
        <v>2</v>
      </c>
      <c r="F1883" t="s">
        <v>2549</v>
      </c>
    </row>
    <row r="1884" spans="1:6" x14ac:dyDescent="0.25">
      <c r="A1884" t="s">
        <v>2468</v>
      </c>
      <c r="B1884" t="s">
        <v>91</v>
      </c>
      <c r="C1884" t="s">
        <v>92</v>
      </c>
      <c r="D1884" t="str">
        <f>HYPERLINK("http://service.sap.com/sap/support/notes/1633327","1633327")</f>
        <v>1633327</v>
      </c>
      <c r="E1884">
        <v>2</v>
      </c>
      <c r="F1884" t="s">
        <v>2550</v>
      </c>
    </row>
    <row r="1885" spans="1:6" x14ac:dyDescent="0.25">
      <c r="A1885" t="s">
        <v>2468</v>
      </c>
      <c r="B1885" t="s">
        <v>91</v>
      </c>
      <c r="C1885" t="s">
        <v>92</v>
      </c>
      <c r="D1885" t="str">
        <f>HYPERLINK("http://service.sap.com/sap/support/notes/1640394","1640394")</f>
        <v>1640394</v>
      </c>
      <c r="E1885">
        <v>2</v>
      </c>
      <c r="F1885" t="s">
        <v>2551</v>
      </c>
    </row>
    <row r="1886" spans="1:6" x14ac:dyDescent="0.25">
      <c r="A1886" t="s">
        <v>2468</v>
      </c>
      <c r="B1886" t="s">
        <v>91</v>
      </c>
      <c r="C1886" t="s">
        <v>92</v>
      </c>
      <c r="D1886" t="str">
        <f>HYPERLINK("http://service.sap.com/sap/support/notes/1658608","1658608")</f>
        <v>1658608</v>
      </c>
      <c r="E1886">
        <v>7</v>
      </c>
      <c r="F1886" t="s">
        <v>2552</v>
      </c>
    </row>
    <row r="1887" spans="1:6" x14ac:dyDescent="0.25">
      <c r="A1887" t="s">
        <v>2468</v>
      </c>
      <c r="B1887" t="s">
        <v>91</v>
      </c>
      <c r="C1887" t="s">
        <v>92</v>
      </c>
      <c r="D1887" t="str">
        <f>HYPERLINK("http://service.sap.com/sap/support/notes/1672025","1672025")</f>
        <v>1672025</v>
      </c>
      <c r="E1887">
        <v>1</v>
      </c>
      <c r="F1887" t="s">
        <v>2553</v>
      </c>
    </row>
    <row r="1888" spans="1:6" x14ac:dyDescent="0.25">
      <c r="A1888" t="s">
        <v>2468</v>
      </c>
      <c r="B1888" t="s">
        <v>91</v>
      </c>
      <c r="C1888" t="s">
        <v>92</v>
      </c>
      <c r="D1888" t="str">
        <f>HYPERLINK("http://service.sap.com/sap/support/notes/1673060","1673060")</f>
        <v>1673060</v>
      </c>
      <c r="E1888">
        <v>3</v>
      </c>
      <c r="F1888" t="s">
        <v>2554</v>
      </c>
    </row>
    <row r="1889" spans="1:6" x14ac:dyDescent="0.25">
      <c r="A1889" t="s">
        <v>2468</v>
      </c>
      <c r="B1889" t="s">
        <v>91</v>
      </c>
      <c r="C1889" t="s">
        <v>92</v>
      </c>
      <c r="D1889" t="str">
        <f>HYPERLINK("http://service.sap.com/sap/support/notes/1674000","1674000")</f>
        <v>1674000</v>
      </c>
      <c r="E1889">
        <v>2</v>
      </c>
      <c r="F1889" t="s">
        <v>2555</v>
      </c>
    </row>
    <row r="1890" spans="1:6" x14ac:dyDescent="0.25">
      <c r="A1890" t="s">
        <v>2468</v>
      </c>
      <c r="B1890" t="s">
        <v>91</v>
      </c>
      <c r="C1890" t="s">
        <v>92</v>
      </c>
      <c r="D1890" t="str">
        <f>HYPERLINK("http://service.sap.com/sap/support/notes/1677144","1677144")</f>
        <v>1677144</v>
      </c>
      <c r="E1890">
        <v>4</v>
      </c>
      <c r="F1890" t="s">
        <v>2556</v>
      </c>
    </row>
    <row r="1891" spans="1:6" x14ac:dyDescent="0.25">
      <c r="A1891" t="s">
        <v>2468</v>
      </c>
      <c r="B1891" t="s">
        <v>91</v>
      </c>
      <c r="C1891" t="s">
        <v>92</v>
      </c>
      <c r="D1891" t="str">
        <f>HYPERLINK("http://service.sap.com/sap/support/notes/1677619","1677619")</f>
        <v>1677619</v>
      </c>
      <c r="E1891">
        <v>2</v>
      </c>
      <c r="F1891" t="s">
        <v>2557</v>
      </c>
    </row>
    <row r="1892" spans="1:6" x14ac:dyDescent="0.25">
      <c r="A1892" t="s">
        <v>2468</v>
      </c>
      <c r="B1892" t="s">
        <v>94</v>
      </c>
      <c r="C1892" t="s">
        <v>95</v>
      </c>
      <c r="D1892" t="str">
        <f>HYPERLINK("http://service.sap.com/sap/support/notes/1679576","1679576")</f>
        <v>1679576</v>
      </c>
      <c r="E1892">
        <v>4</v>
      </c>
      <c r="F1892" t="s">
        <v>2558</v>
      </c>
    </row>
    <row r="1893" spans="1:6" x14ac:dyDescent="0.25">
      <c r="A1893" t="s">
        <v>2468</v>
      </c>
      <c r="B1893" t="s">
        <v>94</v>
      </c>
      <c r="C1893" t="s">
        <v>95</v>
      </c>
      <c r="D1893" t="str">
        <f>HYPERLINK("http://service.sap.com/sap/support/notes/1682674","1682674")</f>
        <v>1682674</v>
      </c>
      <c r="E1893">
        <v>1</v>
      </c>
      <c r="F1893" t="s">
        <v>2559</v>
      </c>
    </row>
    <row r="1894" spans="1:6" x14ac:dyDescent="0.25">
      <c r="A1894" t="s">
        <v>2468</v>
      </c>
      <c r="B1894" t="s">
        <v>306</v>
      </c>
      <c r="C1894" t="s">
        <v>132</v>
      </c>
      <c r="D1894" t="str">
        <f>HYPERLINK("http://service.sap.com/sap/support/notes/1675854","1675854")</f>
        <v>1675854</v>
      </c>
      <c r="E1894">
        <v>4</v>
      </c>
      <c r="F1894" t="s">
        <v>2560</v>
      </c>
    </row>
    <row r="1895" spans="1:6" x14ac:dyDescent="0.25">
      <c r="A1895" t="s">
        <v>2468</v>
      </c>
      <c r="B1895" t="s">
        <v>306</v>
      </c>
      <c r="C1895" t="s">
        <v>132</v>
      </c>
      <c r="D1895" t="str">
        <f>HYPERLINK("http://service.sap.com/sap/support/notes/1679519","1679519")</f>
        <v>1679519</v>
      </c>
      <c r="E1895">
        <v>1</v>
      </c>
      <c r="F1895" t="s">
        <v>2561</v>
      </c>
    </row>
    <row r="1896" spans="1:6" x14ac:dyDescent="0.25">
      <c r="A1896" t="s">
        <v>2468</v>
      </c>
      <c r="B1896" t="s">
        <v>306</v>
      </c>
      <c r="C1896" t="s">
        <v>132</v>
      </c>
      <c r="D1896" t="str">
        <f>HYPERLINK("http://service.sap.com/sap/support/notes/1680635","1680635")</f>
        <v>1680635</v>
      </c>
      <c r="E1896">
        <v>2</v>
      </c>
      <c r="F1896" t="s">
        <v>2562</v>
      </c>
    </row>
    <row r="1897" spans="1:6" x14ac:dyDescent="0.25">
      <c r="A1897" t="s">
        <v>2468</v>
      </c>
      <c r="B1897" t="s">
        <v>381</v>
      </c>
      <c r="C1897" t="s">
        <v>382</v>
      </c>
      <c r="D1897" t="str">
        <f>HYPERLINK("http://service.sap.com/sap/support/notes/1685291","1685291")</f>
        <v>1685291</v>
      </c>
      <c r="E1897">
        <v>2</v>
      </c>
      <c r="F1897" t="s">
        <v>2563</v>
      </c>
    </row>
    <row r="1898" spans="1:6" x14ac:dyDescent="0.25">
      <c r="A1898" t="s">
        <v>2468</v>
      </c>
      <c r="B1898" t="s">
        <v>96</v>
      </c>
      <c r="C1898" t="s">
        <v>97</v>
      </c>
      <c r="D1898" t="str">
        <f>HYPERLINK("http://service.sap.com/sap/support/notes/1669611","1669611")</f>
        <v>1669611</v>
      </c>
      <c r="E1898">
        <v>3</v>
      </c>
      <c r="F1898" t="s">
        <v>2564</v>
      </c>
    </row>
    <row r="1899" spans="1:6" x14ac:dyDescent="0.25">
      <c r="A1899" t="s">
        <v>2468</v>
      </c>
      <c r="B1899" t="s">
        <v>96</v>
      </c>
      <c r="C1899" t="s">
        <v>97</v>
      </c>
      <c r="D1899" t="str">
        <f>HYPERLINK("http://service.sap.com/sap/support/notes/1676803","1676803")</f>
        <v>1676803</v>
      </c>
      <c r="E1899">
        <v>2</v>
      </c>
      <c r="F1899" t="s">
        <v>2565</v>
      </c>
    </row>
    <row r="1900" spans="1:6" x14ac:dyDescent="0.25">
      <c r="A1900" t="s">
        <v>2468</v>
      </c>
      <c r="B1900" t="s">
        <v>96</v>
      </c>
      <c r="C1900" t="s">
        <v>97</v>
      </c>
      <c r="D1900" t="str">
        <f>HYPERLINK("http://service.sap.com/sap/support/notes/1676808","1676808")</f>
        <v>1676808</v>
      </c>
      <c r="E1900">
        <v>1</v>
      </c>
      <c r="F1900" t="s">
        <v>2566</v>
      </c>
    </row>
    <row r="1901" spans="1:6" x14ac:dyDescent="0.25">
      <c r="A1901" t="s">
        <v>2468</v>
      </c>
      <c r="B1901" t="s">
        <v>96</v>
      </c>
      <c r="C1901" t="s">
        <v>97</v>
      </c>
      <c r="D1901" t="str">
        <f>HYPERLINK("http://service.sap.com/sap/support/notes/1681291","1681291")</f>
        <v>1681291</v>
      </c>
      <c r="E1901">
        <v>3</v>
      </c>
      <c r="F1901" t="s">
        <v>2567</v>
      </c>
    </row>
    <row r="1902" spans="1:6" x14ac:dyDescent="0.25">
      <c r="A1902" t="s">
        <v>2468</v>
      </c>
      <c r="B1902" t="s">
        <v>98</v>
      </c>
      <c r="C1902" t="s">
        <v>99</v>
      </c>
      <c r="D1902" t="str">
        <f>HYPERLINK("http://service.sap.com/sap/support/notes/1642373","1642373")</f>
        <v>1642373</v>
      </c>
      <c r="E1902">
        <v>3</v>
      </c>
      <c r="F1902" t="s">
        <v>2568</v>
      </c>
    </row>
    <row r="1903" spans="1:6" x14ac:dyDescent="0.25">
      <c r="A1903" t="s">
        <v>2468</v>
      </c>
      <c r="B1903" t="s">
        <v>98</v>
      </c>
      <c r="C1903" t="s">
        <v>99</v>
      </c>
      <c r="D1903" t="str">
        <f>HYPERLINK("http://service.sap.com/sap/support/notes/1666437","1666437")</f>
        <v>1666437</v>
      </c>
      <c r="E1903">
        <v>1</v>
      </c>
      <c r="F1903" t="s">
        <v>2569</v>
      </c>
    </row>
    <row r="1904" spans="1:6" x14ac:dyDescent="0.25">
      <c r="A1904" t="s">
        <v>2468</v>
      </c>
      <c r="B1904" t="s">
        <v>98</v>
      </c>
      <c r="C1904" t="s">
        <v>99</v>
      </c>
      <c r="D1904" t="str">
        <f>HYPERLINK("http://service.sap.com/sap/support/notes/1668038","1668038")</f>
        <v>1668038</v>
      </c>
      <c r="E1904">
        <v>2</v>
      </c>
      <c r="F1904" t="s">
        <v>2570</v>
      </c>
    </row>
    <row r="1905" spans="1:6" x14ac:dyDescent="0.25">
      <c r="A1905" t="s">
        <v>2468</v>
      </c>
      <c r="B1905" t="s">
        <v>98</v>
      </c>
      <c r="C1905" t="s">
        <v>99</v>
      </c>
      <c r="D1905" t="str">
        <f>HYPERLINK("http://service.sap.com/sap/support/notes/1669128","1669128")</f>
        <v>1669128</v>
      </c>
      <c r="E1905">
        <v>2</v>
      </c>
      <c r="F1905" t="s">
        <v>2571</v>
      </c>
    </row>
    <row r="1906" spans="1:6" x14ac:dyDescent="0.25">
      <c r="A1906" t="s">
        <v>2468</v>
      </c>
      <c r="B1906" t="s">
        <v>98</v>
      </c>
      <c r="C1906" t="s">
        <v>99</v>
      </c>
      <c r="D1906" t="str">
        <f>HYPERLINK("http://service.sap.com/sap/support/notes/1672838","1672838")</f>
        <v>1672838</v>
      </c>
      <c r="E1906">
        <v>2</v>
      </c>
      <c r="F1906" t="s">
        <v>2572</v>
      </c>
    </row>
    <row r="1907" spans="1:6" x14ac:dyDescent="0.25">
      <c r="A1907" t="s">
        <v>2468</v>
      </c>
      <c r="B1907" t="s">
        <v>98</v>
      </c>
      <c r="C1907" t="s">
        <v>99</v>
      </c>
      <c r="D1907" t="str">
        <f>HYPERLINK("http://service.sap.com/sap/support/notes/1675087","1675087")</f>
        <v>1675087</v>
      </c>
      <c r="E1907">
        <v>2</v>
      </c>
      <c r="F1907" t="s">
        <v>2573</v>
      </c>
    </row>
    <row r="1908" spans="1:6" x14ac:dyDescent="0.25">
      <c r="A1908" t="s">
        <v>2468</v>
      </c>
      <c r="B1908" t="s">
        <v>98</v>
      </c>
      <c r="C1908" t="s">
        <v>99</v>
      </c>
      <c r="D1908" t="str">
        <f>HYPERLINK("http://service.sap.com/sap/support/notes/1678304","1678304")</f>
        <v>1678304</v>
      </c>
      <c r="E1908">
        <v>1</v>
      </c>
      <c r="F1908" t="s">
        <v>2574</v>
      </c>
    </row>
    <row r="1909" spans="1:6" x14ac:dyDescent="0.25">
      <c r="A1909" t="s">
        <v>2468</v>
      </c>
      <c r="B1909" t="s">
        <v>98</v>
      </c>
      <c r="C1909" t="s">
        <v>99</v>
      </c>
      <c r="D1909" t="str">
        <f>HYPERLINK("http://service.sap.com/sap/support/notes/1683987","1683987")</f>
        <v>1683987</v>
      </c>
      <c r="E1909">
        <v>2</v>
      </c>
      <c r="F1909" t="s">
        <v>2575</v>
      </c>
    </row>
    <row r="1910" spans="1:6" x14ac:dyDescent="0.25">
      <c r="A1910" t="s">
        <v>2468</v>
      </c>
      <c r="B1910" t="s">
        <v>98</v>
      </c>
      <c r="C1910" t="s">
        <v>99</v>
      </c>
      <c r="D1910" t="str">
        <f>HYPERLINK("http://service.sap.com/sap/support/notes/1684083","1684083")</f>
        <v>1684083</v>
      </c>
      <c r="E1910">
        <v>2</v>
      </c>
      <c r="F1910" t="s">
        <v>2576</v>
      </c>
    </row>
    <row r="1911" spans="1:6" x14ac:dyDescent="0.25">
      <c r="A1911" t="s">
        <v>2468</v>
      </c>
      <c r="B1911" t="s">
        <v>101</v>
      </c>
      <c r="C1911" t="s">
        <v>38</v>
      </c>
      <c r="D1911" t="str">
        <f>HYPERLINK("http://service.sap.com/sap/support/notes/1672405","1672405")</f>
        <v>1672405</v>
      </c>
      <c r="E1911">
        <v>2</v>
      </c>
      <c r="F1911" t="s">
        <v>2315</v>
      </c>
    </row>
    <row r="1912" spans="1:6" x14ac:dyDescent="0.25">
      <c r="A1912" t="s">
        <v>2468</v>
      </c>
      <c r="B1912" t="s">
        <v>101</v>
      </c>
      <c r="C1912" t="s">
        <v>38</v>
      </c>
      <c r="D1912" t="str">
        <f>HYPERLINK("http://service.sap.com/sap/support/notes/1677902","1677902")</f>
        <v>1677902</v>
      </c>
      <c r="E1912">
        <v>1</v>
      </c>
      <c r="F1912" t="s">
        <v>2577</v>
      </c>
    </row>
    <row r="1913" spans="1:6" x14ac:dyDescent="0.25">
      <c r="A1913" t="s">
        <v>2468</v>
      </c>
      <c r="B1913" t="s">
        <v>102</v>
      </c>
      <c r="C1913" t="s">
        <v>103</v>
      </c>
      <c r="D1913" t="str">
        <f>HYPERLINK("http://service.sap.com/sap/support/notes/1673738","1673738")</f>
        <v>1673738</v>
      </c>
      <c r="E1913">
        <v>4</v>
      </c>
      <c r="F1913" t="s">
        <v>2578</v>
      </c>
    </row>
    <row r="1914" spans="1:6" x14ac:dyDescent="0.25">
      <c r="A1914" t="s">
        <v>2468</v>
      </c>
      <c r="B1914" t="s">
        <v>104</v>
      </c>
      <c r="C1914" t="s">
        <v>105</v>
      </c>
      <c r="D1914" t="str">
        <f>HYPERLINK("http://service.sap.com/sap/support/notes/1672700","1672700")</f>
        <v>1672700</v>
      </c>
      <c r="E1914">
        <v>2</v>
      </c>
      <c r="F1914" t="s">
        <v>2579</v>
      </c>
    </row>
    <row r="1915" spans="1:6" x14ac:dyDescent="0.25">
      <c r="A1915" t="s">
        <v>2468</v>
      </c>
      <c r="B1915" t="s">
        <v>104</v>
      </c>
      <c r="C1915" t="s">
        <v>105</v>
      </c>
      <c r="D1915" t="str">
        <f>HYPERLINK("http://service.sap.com/sap/support/notes/1676448","1676448")</f>
        <v>1676448</v>
      </c>
      <c r="E1915">
        <v>1</v>
      </c>
      <c r="F1915" t="s">
        <v>2580</v>
      </c>
    </row>
    <row r="1916" spans="1:6" x14ac:dyDescent="0.25">
      <c r="A1916" t="s">
        <v>2468</v>
      </c>
      <c r="B1916" t="s">
        <v>104</v>
      </c>
      <c r="C1916" t="s">
        <v>105</v>
      </c>
      <c r="D1916" t="str">
        <f>HYPERLINK("http://service.sap.com/sap/support/notes/1678360","1678360")</f>
        <v>1678360</v>
      </c>
      <c r="E1916">
        <v>2</v>
      </c>
      <c r="F1916" t="s">
        <v>2581</v>
      </c>
    </row>
    <row r="1917" spans="1:6" x14ac:dyDescent="0.25">
      <c r="A1917" t="s">
        <v>2468</v>
      </c>
      <c r="B1917" t="s">
        <v>106</v>
      </c>
      <c r="C1917" t="s">
        <v>107</v>
      </c>
    </row>
    <row r="1918" spans="1:6" x14ac:dyDescent="0.25">
      <c r="A1918" t="s">
        <v>2468</v>
      </c>
      <c r="B1918" t="s">
        <v>108</v>
      </c>
      <c r="C1918" t="s">
        <v>109</v>
      </c>
      <c r="D1918" t="str">
        <f>HYPERLINK("http://service.sap.com/sap/support/notes/1669877","1669877")</f>
        <v>1669877</v>
      </c>
      <c r="E1918">
        <v>1</v>
      </c>
      <c r="F1918" t="s">
        <v>2582</v>
      </c>
    </row>
    <row r="1919" spans="1:6" x14ac:dyDescent="0.25">
      <c r="A1919" t="s">
        <v>2468</v>
      </c>
      <c r="B1919" t="s">
        <v>108</v>
      </c>
      <c r="C1919" t="s">
        <v>109</v>
      </c>
      <c r="D1919" t="str">
        <f>HYPERLINK("http://service.sap.com/sap/support/notes/1676945","1676945")</f>
        <v>1676945</v>
      </c>
      <c r="E1919">
        <v>3</v>
      </c>
      <c r="F1919" t="s">
        <v>2583</v>
      </c>
    </row>
    <row r="1920" spans="1:6" x14ac:dyDescent="0.25">
      <c r="A1920" t="s">
        <v>2468</v>
      </c>
      <c r="B1920" t="s">
        <v>108</v>
      </c>
      <c r="C1920" t="s">
        <v>109</v>
      </c>
      <c r="D1920" t="str">
        <f>HYPERLINK("http://service.sap.com/sap/support/notes/1681920","1681920")</f>
        <v>1681920</v>
      </c>
      <c r="E1920">
        <v>1</v>
      </c>
      <c r="F1920" t="s">
        <v>2584</v>
      </c>
    </row>
    <row r="1921" spans="1:6" x14ac:dyDescent="0.25">
      <c r="A1921" t="s">
        <v>2468</v>
      </c>
      <c r="B1921" t="s">
        <v>110</v>
      </c>
      <c r="C1921" t="s">
        <v>111</v>
      </c>
      <c r="D1921" t="str">
        <f>HYPERLINK("http://service.sap.com/sap/support/notes/1669687","1669687")</f>
        <v>1669687</v>
      </c>
      <c r="E1921">
        <v>1</v>
      </c>
      <c r="F1921" t="s">
        <v>2585</v>
      </c>
    </row>
    <row r="1922" spans="1:6" x14ac:dyDescent="0.25">
      <c r="A1922" t="s">
        <v>2468</v>
      </c>
      <c r="B1922" t="s">
        <v>609</v>
      </c>
      <c r="C1922" t="s">
        <v>610</v>
      </c>
      <c r="D1922" t="str">
        <f>HYPERLINK("http://service.sap.com/sap/support/notes/1677572","1677572")</f>
        <v>1677572</v>
      </c>
      <c r="E1922">
        <v>7</v>
      </c>
      <c r="F1922" t="s">
        <v>2586</v>
      </c>
    </row>
    <row r="1923" spans="1:6" x14ac:dyDescent="0.25">
      <c r="A1923" t="s">
        <v>2468</v>
      </c>
      <c r="B1923" t="s">
        <v>609</v>
      </c>
      <c r="C1923" t="s">
        <v>610</v>
      </c>
      <c r="D1923" t="str">
        <f>HYPERLINK("http://service.sap.com/sap/support/notes/1678370","1678370")</f>
        <v>1678370</v>
      </c>
      <c r="E1923">
        <v>3</v>
      </c>
      <c r="F1923" t="s">
        <v>2587</v>
      </c>
    </row>
    <row r="1924" spans="1:6" x14ac:dyDescent="0.25">
      <c r="A1924" t="s">
        <v>2468</v>
      </c>
      <c r="B1924" t="s">
        <v>312</v>
      </c>
      <c r="C1924" t="s">
        <v>313</v>
      </c>
      <c r="D1924" t="str">
        <f>HYPERLINK("http://service.sap.com/sap/support/notes/1674022","1674022")</f>
        <v>1674022</v>
      </c>
      <c r="E1924">
        <v>5</v>
      </c>
      <c r="F1924" t="s">
        <v>2588</v>
      </c>
    </row>
    <row r="1925" spans="1:6" x14ac:dyDescent="0.25">
      <c r="A1925" t="s">
        <v>2468</v>
      </c>
      <c r="B1925" t="s">
        <v>312</v>
      </c>
      <c r="C1925" t="s">
        <v>313</v>
      </c>
      <c r="D1925" t="str">
        <f>HYPERLINK("http://service.sap.com/sap/support/notes/1679419","1679419")</f>
        <v>1679419</v>
      </c>
      <c r="E1925">
        <v>1</v>
      </c>
      <c r="F1925" t="s">
        <v>2589</v>
      </c>
    </row>
    <row r="1926" spans="1:6" x14ac:dyDescent="0.25">
      <c r="A1926" t="s">
        <v>2468</v>
      </c>
      <c r="B1926" t="s">
        <v>114</v>
      </c>
      <c r="C1926" t="s">
        <v>115</v>
      </c>
    </row>
    <row r="1927" spans="1:6" x14ac:dyDescent="0.25">
      <c r="A1927" t="s">
        <v>2468</v>
      </c>
      <c r="B1927" t="s">
        <v>116</v>
      </c>
      <c r="C1927" t="s">
        <v>117</v>
      </c>
      <c r="D1927" t="str">
        <f>HYPERLINK("http://service.sap.com/sap/support/notes/1676481","1676481")</f>
        <v>1676481</v>
      </c>
      <c r="E1927">
        <v>1</v>
      </c>
      <c r="F1927" t="s">
        <v>2590</v>
      </c>
    </row>
    <row r="1928" spans="1:6" x14ac:dyDescent="0.25">
      <c r="A1928" t="s">
        <v>2468</v>
      </c>
      <c r="B1928" t="s">
        <v>118</v>
      </c>
      <c r="C1928" t="s">
        <v>119</v>
      </c>
      <c r="D1928" t="str">
        <f>HYPERLINK("http://service.sap.com/sap/support/notes/1572653","1572653")</f>
        <v>1572653</v>
      </c>
      <c r="E1928">
        <v>5</v>
      </c>
      <c r="F1928" t="s">
        <v>2591</v>
      </c>
    </row>
    <row r="1929" spans="1:6" x14ac:dyDescent="0.25">
      <c r="A1929" t="s">
        <v>2468</v>
      </c>
      <c r="B1929" t="s">
        <v>118</v>
      </c>
      <c r="C1929" t="s">
        <v>119</v>
      </c>
      <c r="D1929" t="str">
        <f>HYPERLINK("http://service.sap.com/sap/support/notes/1669505","1669505")</f>
        <v>1669505</v>
      </c>
      <c r="E1929">
        <v>1</v>
      </c>
      <c r="F1929" t="s">
        <v>2592</v>
      </c>
    </row>
    <row r="1930" spans="1:6" x14ac:dyDescent="0.25">
      <c r="A1930" t="s">
        <v>2468</v>
      </c>
      <c r="B1930" t="s">
        <v>118</v>
      </c>
      <c r="C1930" t="s">
        <v>119</v>
      </c>
      <c r="D1930" t="str">
        <f>HYPERLINK("http://service.sap.com/sap/support/notes/1672963","1672963")</f>
        <v>1672963</v>
      </c>
      <c r="E1930">
        <v>3</v>
      </c>
      <c r="F1930" t="s">
        <v>2593</v>
      </c>
    </row>
    <row r="1931" spans="1:6" x14ac:dyDescent="0.25">
      <c r="A1931" t="s">
        <v>2468</v>
      </c>
      <c r="B1931" t="s">
        <v>118</v>
      </c>
      <c r="C1931" t="s">
        <v>119</v>
      </c>
      <c r="D1931" t="str">
        <f>HYPERLINK("http://service.sap.com/sap/support/notes/1677977","1677977")</f>
        <v>1677977</v>
      </c>
      <c r="E1931">
        <v>1</v>
      </c>
      <c r="F1931" t="s">
        <v>2594</v>
      </c>
    </row>
    <row r="1932" spans="1:6" x14ac:dyDescent="0.25">
      <c r="A1932" t="s">
        <v>2468</v>
      </c>
      <c r="B1932" t="s">
        <v>118</v>
      </c>
      <c r="C1932" t="s">
        <v>119</v>
      </c>
      <c r="D1932" t="str">
        <f>HYPERLINK("http://service.sap.com/sap/support/notes/1683996","1683996")</f>
        <v>1683996</v>
      </c>
      <c r="E1932">
        <v>1</v>
      </c>
      <c r="F1932" t="s">
        <v>2595</v>
      </c>
    </row>
    <row r="1933" spans="1:6" x14ac:dyDescent="0.25">
      <c r="A1933" t="s">
        <v>2468</v>
      </c>
      <c r="B1933" t="s">
        <v>120</v>
      </c>
      <c r="C1933" t="s">
        <v>121</v>
      </c>
      <c r="D1933" t="str">
        <f>HYPERLINK("http://service.sap.com/sap/support/notes/1675843","1675843")</f>
        <v>1675843</v>
      </c>
      <c r="E1933">
        <v>1</v>
      </c>
      <c r="F1933" t="s">
        <v>2596</v>
      </c>
    </row>
    <row r="1934" spans="1:6" x14ac:dyDescent="0.25">
      <c r="A1934" t="s">
        <v>2468</v>
      </c>
      <c r="B1934" t="s">
        <v>120</v>
      </c>
      <c r="C1934" t="s">
        <v>121</v>
      </c>
      <c r="D1934" t="str">
        <f>HYPERLINK("http://service.sap.com/sap/support/notes/1676117","1676117")</f>
        <v>1676117</v>
      </c>
      <c r="E1934">
        <v>1</v>
      </c>
      <c r="F1934" t="s">
        <v>2597</v>
      </c>
    </row>
    <row r="1935" spans="1:6" x14ac:dyDescent="0.25">
      <c r="A1935" t="s">
        <v>2468</v>
      </c>
      <c r="B1935" t="s">
        <v>120</v>
      </c>
      <c r="C1935" t="s">
        <v>121</v>
      </c>
      <c r="D1935" t="str">
        <f>HYPERLINK("http://service.sap.com/sap/support/notes/1676493","1676493")</f>
        <v>1676493</v>
      </c>
      <c r="E1935">
        <v>1</v>
      </c>
      <c r="F1935" t="s">
        <v>2598</v>
      </c>
    </row>
    <row r="1936" spans="1:6" x14ac:dyDescent="0.25">
      <c r="A1936" t="s">
        <v>2468</v>
      </c>
      <c r="B1936" t="s">
        <v>120</v>
      </c>
      <c r="C1936" t="s">
        <v>121</v>
      </c>
      <c r="D1936" t="str">
        <f>HYPERLINK("http://service.sap.com/sap/support/notes/1676919","1676919")</f>
        <v>1676919</v>
      </c>
      <c r="E1936">
        <v>1</v>
      </c>
      <c r="F1936" t="s">
        <v>2599</v>
      </c>
    </row>
    <row r="1937" spans="1:6" x14ac:dyDescent="0.25">
      <c r="A1937" t="s">
        <v>2468</v>
      </c>
      <c r="B1937" t="s">
        <v>120</v>
      </c>
      <c r="C1937" t="s">
        <v>121</v>
      </c>
      <c r="D1937" t="str">
        <f>HYPERLINK("http://service.sap.com/sap/support/notes/1680816","1680816")</f>
        <v>1680816</v>
      </c>
      <c r="E1937">
        <v>2</v>
      </c>
      <c r="F1937" t="s">
        <v>2600</v>
      </c>
    </row>
    <row r="1938" spans="1:6" x14ac:dyDescent="0.25">
      <c r="A1938" t="s">
        <v>2468</v>
      </c>
      <c r="B1938" t="s">
        <v>120</v>
      </c>
      <c r="C1938" t="s">
        <v>121</v>
      </c>
      <c r="D1938" t="str">
        <f>HYPERLINK("http://service.sap.com/sap/support/notes/1681325","1681325")</f>
        <v>1681325</v>
      </c>
      <c r="E1938">
        <v>1</v>
      </c>
      <c r="F1938" t="s">
        <v>2601</v>
      </c>
    </row>
    <row r="1939" spans="1:6" x14ac:dyDescent="0.25">
      <c r="A1939" t="s">
        <v>2468</v>
      </c>
      <c r="B1939" t="s">
        <v>316</v>
      </c>
      <c r="C1939" t="s">
        <v>594</v>
      </c>
      <c r="D1939" t="str">
        <f>HYPERLINK("http://service.sap.com/sap/support/notes/1682741","1682741")</f>
        <v>1682741</v>
      </c>
      <c r="E1939">
        <v>1</v>
      </c>
      <c r="F1939" t="s">
        <v>2602</v>
      </c>
    </row>
    <row r="1940" spans="1:6" x14ac:dyDescent="0.25">
      <c r="A1940" t="s">
        <v>2468</v>
      </c>
      <c r="B1940" t="s">
        <v>122</v>
      </c>
      <c r="C1940" t="s">
        <v>123</v>
      </c>
      <c r="D1940" t="str">
        <f>HYPERLINK("http://service.sap.com/sap/support/notes/1677432","1677432")</f>
        <v>1677432</v>
      </c>
      <c r="E1940">
        <v>1</v>
      </c>
      <c r="F1940" t="s">
        <v>2603</v>
      </c>
    </row>
    <row r="1941" spans="1:6" x14ac:dyDescent="0.25">
      <c r="A1941" t="s">
        <v>2468</v>
      </c>
      <c r="B1941" t="s">
        <v>122</v>
      </c>
      <c r="C1941" t="s">
        <v>123</v>
      </c>
      <c r="D1941" t="str">
        <f>HYPERLINK("http://service.sap.com/sap/support/notes/1678226","1678226")</f>
        <v>1678226</v>
      </c>
      <c r="E1941">
        <v>3</v>
      </c>
      <c r="F1941" t="s">
        <v>2604</v>
      </c>
    </row>
    <row r="1942" spans="1:6" x14ac:dyDescent="0.25">
      <c r="A1942" t="s">
        <v>2468</v>
      </c>
      <c r="B1942" t="s">
        <v>122</v>
      </c>
      <c r="C1942" t="s">
        <v>123</v>
      </c>
      <c r="D1942" t="str">
        <f>HYPERLINK("http://service.sap.com/sap/support/notes/1683021","1683021")</f>
        <v>1683021</v>
      </c>
      <c r="E1942">
        <v>3</v>
      </c>
      <c r="F1942" t="s">
        <v>2605</v>
      </c>
    </row>
    <row r="1943" spans="1:6" x14ac:dyDescent="0.25">
      <c r="A1943" t="s">
        <v>2468</v>
      </c>
      <c r="B1943" t="s">
        <v>122</v>
      </c>
      <c r="C1943" t="s">
        <v>123</v>
      </c>
      <c r="D1943" t="str">
        <f>HYPERLINK("http://service.sap.com/sap/support/notes/1683113","1683113")</f>
        <v>1683113</v>
      </c>
      <c r="E1943">
        <v>2</v>
      </c>
      <c r="F1943" t="s">
        <v>2606</v>
      </c>
    </row>
    <row r="1944" spans="1:6" x14ac:dyDescent="0.25">
      <c r="A1944" t="s">
        <v>2468</v>
      </c>
      <c r="B1944" t="s">
        <v>124</v>
      </c>
      <c r="C1944" t="s">
        <v>82</v>
      </c>
      <c r="D1944" t="str">
        <f>HYPERLINK("http://service.sap.com/sap/support/notes/1669430","1669430")</f>
        <v>1669430</v>
      </c>
      <c r="E1944">
        <v>2</v>
      </c>
      <c r="F1944" t="s">
        <v>2607</v>
      </c>
    </row>
    <row r="1945" spans="1:6" x14ac:dyDescent="0.25">
      <c r="A1945" t="s">
        <v>2468</v>
      </c>
      <c r="B1945" t="s">
        <v>124</v>
      </c>
      <c r="C1945" t="s">
        <v>82</v>
      </c>
      <c r="D1945" t="str">
        <f>HYPERLINK("http://service.sap.com/sap/support/notes/1675004","1675004")</f>
        <v>1675004</v>
      </c>
      <c r="E1945">
        <v>2</v>
      </c>
      <c r="F1945" t="s">
        <v>2608</v>
      </c>
    </row>
    <row r="1946" spans="1:6" x14ac:dyDescent="0.25">
      <c r="A1946" t="s">
        <v>2468</v>
      </c>
      <c r="B1946" t="s">
        <v>124</v>
      </c>
      <c r="C1946" t="s">
        <v>82</v>
      </c>
      <c r="D1946" t="str">
        <f>HYPERLINK("http://service.sap.com/sap/support/notes/1676096","1676096")</f>
        <v>1676096</v>
      </c>
      <c r="E1946">
        <v>2</v>
      </c>
      <c r="F1946" t="s">
        <v>2609</v>
      </c>
    </row>
    <row r="1947" spans="1:6" x14ac:dyDescent="0.25">
      <c r="A1947" t="s">
        <v>2468</v>
      </c>
      <c r="B1947" t="s">
        <v>124</v>
      </c>
      <c r="C1947" t="s">
        <v>82</v>
      </c>
      <c r="D1947" t="str">
        <f>HYPERLINK("http://service.sap.com/sap/support/notes/1677175","1677175")</f>
        <v>1677175</v>
      </c>
      <c r="E1947">
        <v>2</v>
      </c>
      <c r="F1947" t="s">
        <v>2610</v>
      </c>
    </row>
    <row r="1948" spans="1:6" x14ac:dyDescent="0.25">
      <c r="A1948" t="s">
        <v>2468</v>
      </c>
      <c r="B1948" t="s">
        <v>124</v>
      </c>
      <c r="C1948" t="s">
        <v>82</v>
      </c>
      <c r="D1948" t="str">
        <f>HYPERLINK("http://service.sap.com/sap/support/notes/1679561","1679561")</f>
        <v>1679561</v>
      </c>
      <c r="E1948">
        <v>1</v>
      </c>
      <c r="F1948" t="s">
        <v>2611</v>
      </c>
    </row>
    <row r="1949" spans="1:6" x14ac:dyDescent="0.25">
      <c r="A1949" t="s">
        <v>2468</v>
      </c>
      <c r="B1949" t="s">
        <v>124</v>
      </c>
      <c r="C1949" t="s">
        <v>82</v>
      </c>
      <c r="D1949" t="str">
        <f>HYPERLINK("http://service.sap.com/sap/support/notes/1679809","1679809")</f>
        <v>1679809</v>
      </c>
      <c r="E1949">
        <v>1</v>
      </c>
      <c r="F1949" t="s">
        <v>2612</v>
      </c>
    </row>
    <row r="1950" spans="1:6" x14ac:dyDescent="0.25">
      <c r="A1950" t="s">
        <v>2468</v>
      </c>
      <c r="B1950" t="s">
        <v>124</v>
      </c>
      <c r="C1950" t="s">
        <v>82</v>
      </c>
      <c r="D1950" t="str">
        <f>HYPERLINK("http://service.sap.com/sap/support/notes/1681276","1681276")</f>
        <v>1681276</v>
      </c>
      <c r="E1950">
        <v>1</v>
      </c>
      <c r="F1950" t="s">
        <v>2613</v>
      </c>
    </row>
    <row r="1951" spans="1:6" x14ac:dyDescent="0.25">
      <c r="A1951" t="s">
        <v>2468</v>
      </c>
      <c r="B1951" t="s">
        <v>124</v>
      </c>
      <c r="C1951" t="s">
        <v>82</v>
      </c>
      <c r="D1951" t="str">
        <f>HYPERLINK("http://service.sap.com/sap/support/notes/1682636","1682636")</f>
        <v>1682636</v>
      </c>
      <c r="E1951">
        <v>2</v>
      </c>
      <c r="F1951" t="s">
        <v>2614</v>
      </c>
    </row>
    <row r="1952" spans="1:6" x14ac:dyDescent="0.25">
      <c r="A1952" t="s">
        <v>2468</v>
      </c>
      <c r="B1952" t="s">
        <v>127</v>
      </c>
      <c r="C1952" t="s">
        <v>128</v>
      </c>
      <c r="D1952" t="str">
        <f>HYPERLINK("http://service.sap.com/sap/support/notes/1656583","1656583")</f>
        <v>1656583</v>
      </c>
      <c r="E1952">
        <v>2</v>
      </c>
      <c r="F1952" t="s">
        <v>2615</v>
      </c>
    </row>
    <row r="1953" spans="1:6" x14ac:dyDescent="0.25">
      <c r="A1953" t="s">
        <v>2468</v>
      </c>
      <c r="B1953" t="s">
        <v>127</v>
      </c>
      <c r="C1953" t="s">
        <v>128</v>
      </c>
      <c r="D1953" t="str">
        <f>HYPERLINK("http://service.sap.com/sap/support/notes/1673864","1673864")</f>
        <v>1673864</v>
      </c>
      <c r="E1953">
        <v>1</v>
      </c>
      <c r="F1953" t="s">
        <v>2616</v>
      </c>
    </row>
    <row r="1954" spans="1:6" x14ac:dyDescent="0.25">
      <c r="A1954" t="s">
        <v>2468</v>
      </c>
      <c r="B1954" t="s">
        <v>127</v>
      </c>
      <c r="C1954" t="s">
        <v>128</v>
      </c>
      <c r="D1954" t="str">
        <f>HYPERLINK("http://service.sap.com/sap/support/notes/1677915","1677915")</f>
        <v>1677915</v>
      </c>
      <c r="E1954">
        <v>1</v>
      </c>
      <c r="F1954" t="s">
        <v>2617</v>
      </c>
    </row>
    <row r="1955" spans="1:6" x14ac:dyDescent="0.25">
      <c r="A1955" t="s">
        <v>2468</v>
      </c>
      <c r="B1955" t="s">
        <v>127</v>
      </c>
      <c r="C1955" t="s">
        <v>128</v>
      </c>
      <c r="D1955" t="str">
        <f>HYPERLINK("http://service.sap.com/sap/support/notes/1678101","1678101")</f>
        <v>1678101</v>
      </c>
      <c r="E1955">
        <v>2</v>
      </c>
      <c r="F1955" t="s">
        <v>2618</v>
      </c>
    </row>
    <row r="1956" spans="1:6" x14ac:dyDescent="0.25">
      <c r="A1956" t="s">
        <v>2468</v>
      </c>
      <c r="B1956" t="s">
        <v>127</v>
      </c>
      <c r="C1956" t="s">
        <v>128</v>
      </c>
      <c r="D1956" t="str">
        <f>HYPERLINK("http://service.sap.com/sap/support/notes/1679079","1679079")</f>
        <v>1679079</v>
      </c>
      <c r="E1956">
        <v>1</v>
      </c>
      <c r="F1956" t="s">
        <v>2619</v>
      </c>
    </row>
    <row r="1957" spans="1:6" x14ac:dyDescent="0.25">
      <c r="A1957" t="s">
        <v>2468</v>
      </c>
      <c r="B1957" t="s">
        <v>127</v>
      </c>
      <c r="C1957" t="s">
        <v>128</v>
      </c>
      <c r="D1957" t="str">
        <f>HYPERLINK("http://service.sap.com/sap/support/notes/1679203","1679203")</f>
        <v>1679203</v>
      </c>
      <c r="E1957">
        <v>1</v>
      </c>
      <c r="F1957" t="s">
        <v>2620</v>
      </c>
    </row>
    <row r="1958" spans="1:6" x14ac:dyDescent="0.25">
      <c r="A1958" t="s">
        <v>2468</v>
      </c>
      <c r="B1958" t="s">
        <v>127</v>
      </c>
      <c r="C1958" t="s">
        <v>128</v>
      </c>
      <c r="D1958" t="str">
        <f>HYPERLINK("http://service.sap.com/sap/support/notes/1680730","1680730")</f>
        <v>1680730</v>
      </c>
      <c r="E1958">
        <v>1</v>
      </c>
      <c r="F1958" t="s">
        <v>2621</v>
      </c>
    </row>
    <row r="1959" spans="1:6" x14ac:dyDescent="0.25">
      <c r="A1959" t="s">
        <v>2468</v>
      </c>
      <c r="B1959" t="s">
        <v>127</v>
      </c>
      <c r="C1959" t="s">
        <v>128</v>
      </c>
      <c r="D1959" t="str">
        <f>HYPERLINK("http://service.sap.com/sap/support/notes/1684790","1684790")</f>
        <v>1684790</v>
      </c>
      <c r="E1959">
        <v>2</v>
      </c>
      <c r="F1959" t="s">
        <v>2622</v>
      </c>
    </row>
    <row r="1960" spans="1:6" x14ac:dyDescent="0.25">
      <c r="A1960" t="s">
        <v>2468</v>
      </c>
      <c r="B1960" t="s">
        <v>129</v>
      </c>
      <c r="C1960" t="s">
        <v>130</v>
      </c>
      <c r="D1960" t="str">
        <f>HYPERLINK("http://service.sap.com/sap/support/notes/1657989","1657989")</f>
        <v>1657989</v>
      </c>
      <c r="E1960">
        <v>2</v>
      </c>
      <c r="F1960" t="s">
        <v>2623</v>
      </c>
    </row>
    <row r="1961" spans="1:6" x14ac:dyDescent="0.25">
      <c r="A1961" t="s">
        <v>2468</v>
      </c>
      <c r="B1961" t="s">
        <v>129</v>
      </c>
      <c r="C1961" t="s">
        <v>130</v>
      </c>
      <c r="D1961" t="str">
        <f>HYPERLINK("http://service.sap.com/sap/support/notes/1683288","1683288")</f>
        <v>1683288</v>
      </c>
      <c r="E1961">
        <v>3</v>
      </c>
      <c r="F1961" t="s">
        <v>2624</v>
      </c>
    </row>
    <row r="1962" spans="1:6" x14ac:dyDescent="0.25">
      <c r="A1962" t="s">
        <v>2468</v>
      </c>
      <c r="B1962" t="s">
        <v>131</v>
      </c>
      <c r="C1962" t="s">
        <v>132</v>
      </c>
    </row>
    <row r="1963" spans="1:6" x14ac:dyDescent="0.25">
      <c r="A1963" t="s">
        <v>2468</v>
      </c>
      <c r="B1963" t="s">
        <v>320</v>
      </c>
      <c r="C1963" t="s">
        <v>359</v>
      </c>
      <c r="D1963" t="str">
        <f>HYPERLINK("http://service.sap.com/sap/support/notes/1670768","1670768")</f>
        <v>1670768</v>
      </c>
      <c r="E1963">
        <v>5</v>
      </c>
      <c r="F1963" t="s">
        <v>2625</v>
      </c>
    </row>
    <row r="1964" spans="1:6" x14ac:dyDescent="0.25">
      <c r="A1964" t="s">
        <v>2468</v>
      </c>
      <c r="B1964" t="s">
        <v>133</v>
      </c>
      <c r="C1964" t="s">
        <v>134</v>
      </c>
      <c r="D1964" t="str">
        <f>HYPERLINK("http://service.sap.com/sap/support/notes/1666319","1666319")</f>
        <v>1666319</v>
      </c>
      <c r="E1964">
        <v>6</v>
      </c>
      <c r="F1964" t="s">
        <v>2626</v>
      </c>
    </row>
    <row r="1965" spans="1:6" x14ac:dyDescent="0.25">
      <c r="A1965" t="s">
        <v>2468</v>
      </c>
      <c r="B1965" t="s">
        <v>135</v>
      </c>
      <c r="C1965" t="s">
        <v>136</v>
      </c>
      <c r="D1965" t="str">
        <f>HYPERLINK("http://service.sap.com/sap/support/notes/1606981","1606981")</f>
        <v>1606981</v>
      </c>
      <c r="E1965">
        <v>5</v>
      </c>
      <c r="F1965" t="s">
        <v>2627</v>
      </c>
    </row>
    <row r="1966" spans="1:6" x14ac:dyDescent="0.25">
      <c r="A1966" t="s">
        <v>2468</v>
      </c>
      <c r="B1966" t="s">
        <v>135</v>
      </c>
      <c r="C1966" t="s">
        <v>136</v>
      </c>
      <c r="D1966" t="str">
        <f>HYPERLINK("http://service.sap.com/sap/support/notes/1660485","1660485")</f>
        <v>1660485</v>
      </c>
      <c r="E1966">
        <v>3</v>
      </c>
      <c r="F1966" t="s">
        <v>2628</v>
      </c>
    </row>
    <row r="1967" spans="1:6" x14ac:dyDescent="0.25">
      <c r="A1967" t="s">
        <v>2468</v>
      </c>
      <c r="B1967" t="s">
        <v>135</v>
      </c>
      <c r="C1967" t="s">
        <v>136</v>
      </c>
      <c r="D1967" t="str">
        <f>HYPERLINK("http://service.sap.com/sap/support/notes/1662793","1662793")</f>
        <v>1662793</v>
      </c>
      <c r="E1967">
        <v>2</v>
      </c>
      <c r="F1967" t="s">
        <v>2629</v>
      </c>
    </row>
    <row r="1968" spans="1:6" x14ac:dyDescent="0.25">
      <c r="A1968" t="s">
        <v>2468</v>
      </c>
      <c r="B1968" t="s">
        <v>135</v>
      </c>
      <c r="C1968" t="s">
        <v>136</v>
      </c>
      <c r="D1968" t="str">
        <f>HYPERLINK("http://service.sap.com/sap/support/notes/1664922","1664922")</f>
        <v>1664922</v>
      </c>
      <c r="E1968">
        <v>4</v>
      </c>
      <c r="F1968" t="s">
        <v>2630</v>
      </c>
    </row>
    <row r="1969" spans="1:6" x14ac:dyDescent="0.25">
      <c r="A1969" t="s">
        <v>2468</v>
      </c>
      <c r="B1969" t="s">
        <v>135</v>
      </c>
      <c r="C1969" t="s">
        <v>136</v>
      </c>
      <c r="D1969" t="str">
        <f>HYPERLINK("http://service.sap.com/sap/support/notes/1666392","1666392")</f>
        <v>1666392</v>
      </c>
      <c r="E1969">
        <v>6</v>
      </c>
      <c r="F1969" t="s">
        <v>2631</v>
      </c>
    </row>
    <row r="1970" spans="1:6" x14ac:dyDescent="0.25">
      <c r="A1970" t="s">
        <v>2468</v>
      </c>
      <c r="B1970" t="s">
        <v>135</v>
      </c>
      <c r="C1970" t="s">
        <v>136</v>
      </c>
      <c r="D1970" t="str">
        <f>HYPERLINK("http://service.sap.com/sap/support/notes/1667390","1667390")</f>
        <v>1667390</v>
      </c>
      <c r="E1970">
        <v>2</v>
      </c>
      <c r="F1970" t="s">
        <v>2632</v>
      </c>
    </row>
    <row r="1971" spans="1:6" x14ac:dyDescent="0.25">
      <c r="A1971" t="s">
        <v>2468</v>
      </c>
      <c r="B1971" t="s">
        <v>135</v>
      </c>
      <c r="C1971" t="s">
        <v>136</v>
      </c>
      <c r="D1971" t="str">
        <f>HYPERLINK("http://service.sap.com/sap/support/notes/1668172","1668172")</f>
        <v>1668172</v>
      </c>
      <c r="E1971">
        <v>2</v>
      </c>
      <c r="F1971" t="s">
        <v>2633</v>
      </c>
    </row>
    <row r="1972" spans="1:6" x14ac:dyDescent="0.25">
      <c r="A1972" t="s">
        <v>2468</v>
      </c>
      <c r="B1972" t="s">
        <v>135</v>
      </c>
      <c r="C1972" t="s">
        <v>136</v>
      </c>
      <c r="D1972" t="str">
        <f>HYPERLINK("http://service.sap.com/sap/support/notes/1669690","1669690")</f>
        <v>1669690</v>
      </c>
      <c r="E1972">
        <v>3</v>
      </c>
      <c r="F1972" t="s">
        <v>2634</v>
      </c>
    </row>
    <row r="1973" spans="1:6" x14ac:dyDescent="0.25">
      <c r="A1973" t="s">
        <v>2468</v>
      </c>
      <c r="B1973" t="s">
        <v>135</v>
      </c>
      <c r="C1973" t="s">
        <v>136</v>
      </c>
      <c r="D1973" t="str">
        <f>HYPERLINK("http://service.sap.com/sap/support/notes/1669941","1669941")</f>
        <v>1669941</v>
      </c>
      <c r="E1973">
        <v>7</v>
      </c>
      <c r="F1973" t="s">
        <v>2635</v>
      </c>
    </row>
    <row r="1974" spans="1:6" x14ac:dyDescent="0.25">
      <c r="A1974" t="s">
        <v>2468</v>
      </c>
      <c r="B1974" t="s">
        <v>135</v>
      </c>
      <c r="C1974" t="s">
        <v>136</v>
      </c>
      <c r="D1974" t="str">
        <f>HYPERLINK("http://service.sap.com/sap/support/notes/1670865","1670865")</f>
        <v>1670865</v>
      </c>
      <c r="E1974">
        <v>3</v>
      </c>
      <c r="F1974" t="s">
        <v>2636</v>
      </c>
    </row>
    <row r="1975" spans="1:6" x14ac:dyDescent="0.25">
      <c r="A1975" t="s">
        <v>2468</v>
      </c>
      <c r="B1975" t="s">
        <v>135</v>
      </c>
      <c r="C1975" t="s">
        <v>136</v>
      </c>
      <c r="D1975" t="str">
        <f>HYPERLINK("http://service.sap.com/sap/support/notes/1671532","1671532")</f>
        <v>1671532</v>
      </c>
      <c r="E1975">
        <v>2</v>
      </c>
      <c r="F1975" t="s">
        <v>2637</v>
      </c>
    </row>
    <row r="1976" spans="1:6" x14ac:dyDescent="0.25">
      <c r="A1976" t="s">
        <v>2468</v>
      </c>
      <c r="B1976" t="s">
        <v>135</v>
      </c>
      <c r="C1976" t="s">
        <v>136</v>
      </c>
      <c r="D1976" t="str">
        <f>HYPERLINK("http://service.sap.com/sap/support/notes/1672329","1672329")</f>
        <v>1672329</v>
      </c>
      <c r="E1976">
        <v>4</v>
      </c>
      <c r="F1976" t="s">
        <v>2638</v>
      </c>
    </row>
    <row r="1977" spans="1:6" x14ac:dyDescent="0.25">
      <c r="A1977" t="s">
        <v>2468</v>
      </c>
      <c r="B1977" t="s">
        <v>135</v>
      </c>
      <c r="C1977" t="s">
        <v>136</v>
      </c>
      <c r="D1977" t="str">
        <f>HYPERLINK("http://service.sap.com/sap/support/notes/1674007","1674007")</f>
        <v>1674007</v>
      </c>
      <c r="E1977">
        <v>4</v>
      </c>
      <c r="F1977" t="s">
        <v>2639</v>
      </c>
    </row>
    <row r="1978" spans="1:6" x14ac:dyDescent="0.25">
      <c r="A1978" t="s">
        <v>2468</v>
      </c>
      <c r="B1978" t="s">
        <v>135</v>
      </c>
      <c r="C1978" t="s">
        <v>136</v>
      </c>
      <c r="D1978" t="str">
        <f>HYPERLINK("http://service.sap.com/sap/support/notes/1674479","1674479")</f>
        <v>1674479</v>
      </c>
      <c r="E1978">
        <v>4</v>
      </c>
      <c r="F1978" t="s">
        <v>2640</v>
      </c>
    </row>
    <row r="1979" spans="1:6" x14ac:dyDescent="0.25">
      <c r="A1979" t="s">
        <v>2468</v>
      </c>
      <c r="B1979" t="s">
        <v>135</v>
      </c>
      <c r="C1979" t="s">
        <v>136</v>
      </c>
      <c r="D1979" t="str">
        <f>HYPERLINK("http://service.sap.com/sap/support/notes/1674574","1674574")</f>
        <v>1674574</v>
      </c>
      <c r="E1979">
        <v>4</v>
      </c>
      <c r="F1979" t="s">
        <v>2641</v>
      </c>
    </row>
    <row r="1980" spans="1:6" x14ac:dyDescent="0.25">
      <c r="A1980" t="s">
        <v>2468</v>
      </c>
      <c r="B1980" t="s">
        <v>135</v>
      </c>
      <c r="C1980" t="s">
        <v>136</v>
      </c>
      <c r="D1980" t="str">
        <f>HYPERLINK("http://service.sap.com/sap/support/notes/1675606","1675606")</f>
        <v>1675606</v>
      </c>
      <c r="E1980">
        <v>4</v>
      </c>
      <c r="F1980" t="s">
        <v>2642</v>
      </c>
    </row>
    <row r="1981" spans="1:6" x14ac:dyDescent="0.25">
      <c r="A1981" t="s">
        <v>2468</v>
      </c>
      <c r="B1981" t="s">
        <v>135</v>
      </c>
      <c r="C1981" t="s">
        <v>136</v>
      </c>
      <c r="D1981" t="str">
        <f>HYPERLINK("http://service.sap.com/sap/support/notes/1676174","1676174")</f>
        <v>1676174</v>
      </c>
      <c r="E1981">
        <v>2</v>
      </c>
      <c r="F1981" t="s">
        <v>2643</v>
      </c>
    </row>
    <row r="1982" spans="1:6" x14ac:dyDescent="0.25">
      <c r="A1982" t="s">
        <v>2468</v>
      </c>
      <c r="B1982" t="s">
        <v>135</v>
      </c>
      <c r="C1982" t="s">
        <v>136</v>
      </c>
      <c r="D1982" t="str">
        <f>HYPERLINK("http://service.sap.com/sap/support/notes/1676861","1676861")</f>
        <v>1676861</v>
      </c>
      <c r="E1982">
        <v>3</v>
      </c>
      <c r="F1982" t="s">
        <v>2644</v>
      </c>
    </row>
    <row r="1983" spans="1:6" x14ac:dyDescent="0.25">
      <c r="A1983" t="s">
        <v>2468</v>
      </c>
      <c r="B1983" t="s">
        <v>135</v>
      </c>
      <c r="C1983" t="s">
        <v>136</v>
      </c>
      <c r="D1983" t="str">
        <f>HYPERLINK("http://service.sap.com/sap/support/notes/1677071","1677071")</f>
        <v>1677071</v>
      </c>
      <c r="E1983">
        <v>2</v>
      </c>
      <c r="F1983" t="s">
        <v>2645</v>
      </c>
    </row>
    <row r="1984" spans="1:6" x14ac:dyDescent="0.25">
      <c r="A1984" t="s">
        <v>2468</v>
      </c>
      <c r="B1984" t="s">
        <v>135</v>
      </c>
      <c r="C1984" t="s">
        <v>136</v>
      </c>
      <c r="D1984" t="str">
        <f>HYPERLINK("http://service.sap.com/sap/support/notes/1677635","1677635")</f>
        <v>1677635</v>
      </c>
      <c r="E1984">
        <v>3</v>
      </c>
      <c r="F1984" t="s">
        <v>2646</v>
      </c>
    </row>
    <row r="1985" spans="1:6" x14ac:dyDescent="0.25">
      <c r="A1985" t="s">
        <v>2468</v>
      </c>
      <c r="B1985" t="s">
        <v>135</v>
      </c>
      <c r="C1985" t="s">
        <v>136</v>
      </c>
      <c r="D1985" t="str">
        <f>HYPERLINK("http://service.sap.com/sap/support/notes/1677761","1677761")</f>
        <v>1677761</v>
      </c>
      <c r="E1985">
        <v>2</v>
      </c>
      <c r="F1985" t="s">
        <v>2647</v>
      </c>
    </row>
    <row r="1986" spans="1:6" x14ac:dyDescent="0.25">
      <c r="A1986" t="s">
        <v>2468</v>
      </c>
      <c r="B1986" t="s">
        <v>135</v>
      </c>
      <c r="C1986" t="s">
        <v>136</v>
      </c>
      <c r="D1986" t="str">
        <f>HYPERLINK("http://service.sap.com/sap/support/notes/1677999","1677999")</f>
        <v>1677999</v>
      </c>
      <c r="E1986">
        <v>2</v>
      </c>
      <c r="F1986" t="s">
        <v>2648</v>
      </c>
    </row>
    <row r="1987" spans="1:6" x14ac:dyDescent="0.25">
      <c r="A1987" t="s">
        <v>2468</v>
      </c>
      <c r="B1987" t="s">
        <v>135</v>
      </c>
      <c r="C1987" t="s">
        <v>136</v>
      </c>
      <c r="D1987" t="str">
        <f>HYPERLINK("http://service.sap.com/sap/support/notes/1678912","1678912")</f>
        <v>1678912</v>
      </c>
      <c r="E1987">
        <v>1</v>
      </c>
      <c r="F1987" t="s">
        <v>2649</v>
      </c>
    </row>
    <row r="1988" spans="1:6" x14ac:dyDescent="0.25">
      <c r="A1988" t="s">
        <v>2468</v>
      </c>
      <c r="B1988" t="s">
        <v>135</v>
      </c>
      <c r="C1988" t="s">
        <v>136</v>
      </c>
      <c r="D1988" t="str">
        <f>HYPERLINK("http://service.sap.com/sap/support/notes/1679023","1679023")</f>
        <v>1679023</v>
      </c>
      <c r="E1988">
        <v>2</v>
      </c>
      <c r="F1988" t="s">
        <v>2650</v>
      </c>
    </row>
    <row r="1989" spans="1:6" x14ac:dyDescent="0.25">
      <c r="A1989" t="s">
        <v>2468</v>
      </c>
      <c r="B1989" t="s">
        <v>135</v>
      </c>
      <c r="C1989" t="s">
        <v>136</v>
      </c>
      <c r="D1989" t="str">
        <f>HYPERLINK("http://service.sap.com/sap/support/notes/1679337","1679337")</f>
        <v>1679337</v>
      </c>
      <c r="E1989">
        <v>3</v>
      </c>
      <c r="F1989" t="s">
        <v>2651</v>
      </c>
    </row>
    <row r="1990" spans="1:6" x14ac:dyDescent="0.25">
      <c r="A1990" t="s">
        <v>2468</v>
      </c>
      <c r="B1990" t="s">
        <v>135</v>
      </c>
      <c r="C1990" t="s">
        <v>136</v>
      </c>
      <c r="D1990" t="str">
        <f>HYPERLINK("http://service.sap.com/sap/support/notes/1679471","1679471")</f>
        <v>1679471</v>
      </c>
      <c r="E1990">
        <v>2</v>
      </c>
      <c r="F1990" t="s">
        <v>2652</v>
      </c>
    </row>
    <row r="1991" spans="1:6" x14ac:dyDescent="0.25">
      <c r="A1991" t="s">
        <v>2468</v>
      </c>
      <c r="B1991" t="s">
        <v>135</v>
      </c>
      <c r="C1991" t="s">
        <v>136</v>
      </c>
      <c r="D1991" t="str">
        <f>HYPERLINK("http://service.sap.com/sap/support/notes/1679758","1679758")</f>
        <v>1679758</v>
      </c>
      <c r="E1991">
        <v>2</v>
      </c>
      <c r="F1991" t="s">
        <v>2653</v>
      </c>
    </row>
    <row r="1992" spans="1:6" x14ac:dyDescent="0.25">
      <c r="A1992" t="s">
        <v>2468</v>
      </c>
      <c r="B1992" t="s">
        <v>135</v>
      </c>
      <c r="C1992" t="s">
        <v>136</v>
      </c>
      <c r="D1992" t="str">
        <f>HYPERLINK("http://service.sap.com/sap/support/notes/1680320","1680320")</f>
        <v>1680320</v>
      </c>
      <c r="E1992">
        <v>5</v>
      </c>
      <c r="F1992" t="s">
        <v>2654</v>
      </c>
    </row>
    <row r="1993" spans="1:6" x14ac:dyDescent="0.25">
      <c r="A1993" t="s">
        <v>2468</v>
      </c>
      <c r="B1993" t="s">
        <v>135</v>
      </c>
      <c r="C1993" t="s">
        <v>136</v>
      </c>
      <c r="D1993" t="str">
        <f>HYPERLINK("http://service.sap.com/sap/support/notes/1680624","1680624")</f>
        <v>1680624</v>
      </c>
      <c r="E1993">
        <v>2</v>
      </c>
      <c r="F1993" t="s">
        <v>2655</v>
      </c>
    </row>
    <row r="1994" spans="1:6" x14ac:dyDescent="0.25">
      <c r="A1994" t="s">
        <v>2468</v>
      </c>
      <c r="B1994" t="s">
        <v>135</v>
      </c>
      <c r="C1994" t="s">
        <v>136</v>
      </c>
      <c r="D1994" t="str">
        <f>HYPERLINK("http://service.sap.com/sap/support/notes/1681589","1681589")</f>
        <v>1681589</v>
      </c>
      <c r="E1994">
        <v>4</v>
      </c>
      <c r="F1994" t="s">
        <v>2656</v>
      </c>
    </row>
    <row r="1995" spans="1:6" x14ac:dyDescent="0.25">
      <c r="A1995" t="s">
        <v>2468</v>
      </c>
      <c r="B1995" t="s">
        <v>135</v>
      </c>
      <c r="C1995" t="s">
        <v>136</v>
      </c>
      <c r="D1995" t="str">
        <f>HYPERLINK("http://service.sap.com/sap/support/notes/1681620","1681620")</f>
        <v>1681620</v>
      </c>
      <c r="E1995">
        <v>2</v>
      </c>
      <c r="F1995" t="s">
        <v>2657</v>
      </c>
    </row>
    <row r="1996" spans="1:6" x14ac:dyDescent="0.25">
      <c r="A1996" t="s">
        <v>2468</v>
      </c>
      <c r="B1996" t="s">
        <v>135</v>
      </c>
      <c r="C1996" t="s">
        <v>136</v>
      </c>
      <c r="D1996" t="str">
        <f>HYPERLINK("http://service.sap.com/sap/support/notes/1682042","1682042")</f>
        <v>1682042</v>
      </c>
      <c r="E1996">
        <v>2</v>
      </c>
      <c r="F1996" t="s">
        <v>2658</v>
      </c>
    </row>
    <row r="1997" spans="1:6" x14ac:dyDescent="0.25">
      <c r="A1997" t="s">
        <v>2468</v>
      </c>
      <c r="B1997" t="s">
        <v>135</v>
      </c>
      <c r="C1997" t="s">
        <v>136</v>
      </c>
      <c r="D1997" t="str">
        <f>HYPERLINK("http://service.sap.com/sap/support/notes/1682124","1682124")</f>
        <v>1682124</v>
      </c>
      <c r="E1997">
        <v>5</v>
      </c>
      <c r="F1997" t="s">
        <v>2659</v>
      </c>
    </row>
    <row r="1998" spans="1:6" x14ac:dyDescent="0.25">
      <c r="A1998" t="s">
        <v>2468</v>
      </c>
      <c r="B1998" t="s">
        <v>135</v>
      </c>
      <c r="C1998" t="s">
        <v>136</v>
      </c>
      <c r="D1998" t="str">
        <f>HYPERLINK("http://service.sap.com/sap/support/notes/1683517","1683517")</f>
        <v>1683517</v>
      </c>
      <c r="E1998">
        <v>1</v>
      </c>
      <c r="F1998" t="s">
        <v>2660</v>
      </c>
    </row>
    <row r="1999" spans="1:6" x14ac:dyDescent="0.25">
      <c r="A1999" t="s">
        <v>2468</v>
      </c>
      <c r="B1999" t="s">
        <v>135</v>
      </c>
      <c r="C1999" t="s">
        <v>136</v>
      </c>
      <c r="D1999" t="str">
        <f>HYPERLINK("http://service.sap.com/sap/support/notes/1684161","1684161")</f>
        <v>1684161</v>
      </c>
      <c r="E1999">
        <v>1</v>
      </c>
      <c r="F1999" t="s">
        <v>2661</v>
      </c>
    </row>
    <row r="2000" spans="1:6" x14ac:dyDescent="0.25">
      <c r="A2000" t="s">
        <v>2468</v>
      </c>
      <c r="B2000" t="s">
        <v>135</v>
      </c>
      <c r="C2000" t="s">
        <v>136</v>
      </c>
      <c r="D2000" t="str">
        <f>HYPERLINK("http://service.sap.com/sap/support/notes/1685817","1685817")</f>
        <v>1685817</v>
      </c>
      <c r="E2000">
        <v>2</v>
      </c>
      <c r="F2000" t="s">
        <v>2662</v>
      </c>
    </row>
    <row r="2001" spans="1:6" x14ac:dyDescent="0.25">
      <c r="A2001" t="s">
        <v>2468</v>
      </c>
      <c r="B2001" t="s">
        <v>137</v>
      </c>
      <c r="C2001" t="s">
        <v>40</v>
      </c>
      <c r="D2001" t="str">
        <f>HYPERLINK("http://service.sap.com/sap/support/notes/1668566","1668566")</f>
        <v>1668566</v>
      </c>
      <c r="E2001">
        <v>2</v>
      </c>
      <c r="F2001" t="s">
        <v>2663</v>
      </c>
    </row>
    <row r="2002" spans="1:6" x14ac:dyDescent="0.25">
      <c r="A2002" t="s">
        <v>2468</v>
      </c>
      <c r="B2002" t="s">
        <v>138</v>
      </c>
      <c r="C2002" t="s">
        <v>42</v>
      </c>
      <c r="D2002" t="str">
        <f>HYPERLINK("http://service.sap.com/sap/support/notes/1668478","1668478")</f>
        <v>1668478</v>
      </c>
      <c r="E2002">
        <v>1</v>
      </c>
      <c r="F2002" t="s">
        <v>2664</v>
      </c>
    </row>
    <row r="2003" spans="1:6" x14ac:dyDescent="0.25">
      <c r="A2003" t="s">
        <v>2468</v>
      </c>
      <c r="B2003" t="s">
        <v>138</v>
      </c>
      <c r="C2003" t="s">
        <v>42</v>
      </c>
      <c r="D2003" t="str">
        <f>HYPERLINK("http://service.sap.com/sap/support/notes/1672906","1672906")</f>
        <v>1672906</v>
      </c>
      <c r="E2003">
        <v>4</v>
      </c>
      <c r="F2003" t="s">
        <v>2665</v>
      </c>
    </row>
    <row r="2004" spans="1:6" x14ac:dyDescent="0.25">
      <c r="A2004" t="s">
        <v>2468</v>
      </c>
      <c r="B2004" t="s">
        <v>138</v>
      </c>
      <c r="C2004" t="s">
        <v>42</v>
      </c>
      <c r="D2004" t="str">
        <f>HYPERLINK("http://service.sap.com/sap/support/notes/1676138","1676138")</f>
        <v>1676138</v>
      </c>
      <c r="E2004">
        <v>2</v>
      </c>
      <c r="F2004" t="s">
        <v>2666</v>
      </c>
    </row>
    <row r="2005" spans="1:6" x14ac:dyDescent="0.25">
      <c r="A2005" t="s">
        <v>2468</v>
      </c>
      <c r="B2005" t="s">
        <v>138</v>
      </c>
      <c r="C2005" t="s">
        <v>42</v>
      </c>
      <c r="D2005" t="str">
        <f>HYPERLINK("http://service.sap.com/sap/support/notes/1676381","1676381")</f>
        <v>1676381</v>
      </c>
      <c r="E2005">
        <v>1</v>
      </c>
      <c r="F2005" t="s">
        <v>2667</v>
      </c>
    </row>
    <row r="2006" spans="1:6" x14ac:dyDescent="0.25">
      <c r="A2006" t="s">
        <v>2468</v>
      </c>
      <c r="B2006" t="s">
        <v>138</v>
      </c>
      <c r="C2006" t="s">
        <v>42</v>
      </c>
      <c r="D2006" t="str">
        <f>HYPERLINK("http://service.sap.com/sap/support/notes/1677462","1677462")</f>
        <v>1677462</v>
      </c>
      <c r="E2006">
        <v>2</v>
      </c>
      <c r="F2006" t="s">
        <v>2668</v>
      </c>
    </row>
    <row r="2007" spans="1:6" x14ac:dyDescent="0.25">
      <c r="A2007" t="s">
        <v>2468</v>
      </c>
      <c r="B2007" t="s">
        <v>138</v>
      </c>
      <c r="C2007" t="s">
        <v>42</v>
      </c>
      <c r="D2007" t="str">
        <f>HYPERLINK("http://service.sap.com/sap/support/notes/1678352","1678352")</f>
        <v>1678352</v>
      </c>
      <c r="E2007">
        <v>3</v>
      </c>
      <c r="F2007" t="s">
        <v>2669</v>
      </c>
    </row>
    <row r="2008" spans="1:6" x14ac:dyDescent="0.25">
      <c r="A2008" t="s">
        <v>2468</v>
      </c>
      <c r="B2008" t="s">
        <v>138</v>
      </c>
      <c r="C2008" t="s">
        <v>42</v>
      </c>
      <c r="D2008" t="str">
        <f>HYPERLINK("http://service.sap.com/sap/support/notes/1678763","1678763")</f>
        <v>1678763</v>
      </c>
      <c r="E2008">
        <v>2</v>
      </c>
      <c r="F2008" t="s">
        <v>2670</v>
      </c>
    </row>
    <row r="2009" spans="1:6" x14ac:dyDescent="0.25">
      <c r="A2009" t="s">
        <v>2468</v>
      </c>
      <c r="B2009" t="s">
        <v>138</v>
      </c>
      <c r="C2009" t="s">
        <v>42</v>
      </c>
      <c r="D2009" t="str">
        <f>HYPERLINK("http://service.sap.com/sap/support/notes/1678770","1678770")</f>
        <v>1678770</v>
      </c>
      <c r="E2009">
        <v>2</v>
      </c>
      <c r="F2009" t="s">
        <v>2671</v>
      </c>
    </row>
    <row r="2010" spans="1:6" x14ac:dyDescent="0.25">
      <c r="A2010" t="s">
        <v>2468</v>
      </c>
      <c r="B2010" t="s">
        <v>138</v>
      </c>
      <c r="C2010" t="s">
        <v>42</v>
      </c>
      <c r="D2010" t="str">
        <f>HYPERLINK("http://service.sap.com/sap/support/notes/1679412","1679412")</f>
        <v>1679412</v>
      </c>
      <c r="E2010">
        <v>2</v>
      </c>
      <c r="F2010" t="s">
        <v>2672</v>
      </c>
    </row>
    <row r="2011" spans="1:6" x14ac:dyDescent="0.25">
      <c r="A2011" t="s">
        <v>2468</v>
      </c>
      <c r="B2011" t="s">
        <v>138</v>
      </c>
      <c r="C2011" t="s">
        <v>42</v>
      </c>
      <c r="D2011" t="str">
        <f>HYPERLINK("http://service.sap.com/sap/support/notes/1679533","1679533")</f>
        <v>1679533</v>
      </c>
      <c r="E2011">
        <v>4</v>
      </c>
      <c r="F2011" t="s">
        <v>2673</v>
      </c>
    </row>
    <row r="2012" spans="1:6" x14ac:dyDescent="0.25">
      <c r="A2012" t="s">
        <v>2468</v>
      </c>
      <c r="B2012" t="s">
        <v>138</v>
      </c>
      <c r="C2012" t="s">
        <v>42</v>
      </c>
      <c r="D2012" t="str">
        <f>HYPERLINK("http://service.sap.com/sap/support/notes/1680878","1680878")</f>
        <v>1680878</v>
      </c>
      <c r="E2012">
        <v>7</v>
      </c>
      <c r="F2012" t="s">
        <v>2674</v>
      </c>
    </row>
    <row r="2013" spans="1:6" x14ac:dyDescent="0.25">
      <c r="A2013" t="s">
        <v>2468</v>
      </c>
      <c r="B2013" t="s">
        <v>138</v>
      </c>
      <c r="C2013" t="s">
        <v>42</v>
      </c>
      <c r="D2013" t="str">
        <f>HYPERLINK("http://service.sap.com/sap/support/notes/1680888","1680888")</f>
        <v>1680888</v>
      </c>
      <c r="E2013">
        <v>2</v>
      </c>
      <c r="F2013" t="s">
        <v>2675</v>
      </c>
    </row>
    <row r="2014" spans="1:6" x14ac:dyDescent="0.25">
      <c r="A2014" t="s">
        <v>2468</v>
      </c>
      <c r="B2014" t="s">
        <v>138</v>
      </c>
      <c r="C2014" t="s">
        <v>42</v>
      </c>
      <c r="D2014" t="str">
        <f>HYPERLINK("http://service.sap.com/sap/support/notes/1683500","1683500")</f>
        <v>1683500</v>
      </c>
      <c r="E2014">
        <v>1</v>
      </c>
      <c r="F2014" t="s">
        <v>2676</v>
      </c>
    </row>
    <row r="2015" spans="1:6" x14ac:dyDescent="0.25">
      <c r="A2015" t="s">
        <v>2468</v>
      </c>
      <c r="B2015" t="s">
        <v>138</v>
      </c>
      <c r="C2015" t="s">
        <v>42</v>
      </c>
      <c r="D2015" t="str">
        <f>HYPERLINK("http://service.sap.com/sap/support/notes/1683628","1683628")</f>
        <v>1683628</v>
      </c>
      <c r="E2015">
        <v>3</v>
      </c>
      <c r="F2015" t="s">
        <v>2677</v>
      </c>
    </row>
    <row r="2016" spans="1:6" x14ac:dyDescent="0.25">
      <c r="A2016" t="s">
        <v>2468</v>
      </c>
      <c r="B2016" t="s">
        <v>138</v>
      </c>
      <c r="C2016" t="s">
        <v>42</v>
      </c>
      <c r="D2016" t="str">
        <f>HYPERLINK("http://service.sap.com/sap/support/notes/1683853","1683853")</f>
        <v>1683853</v>
      </c>
      <c r="E2016">
        <v>1</v>
      </c>
      <c r="F2016" t="s">
        <v>2678</v>
      </c>
    </row>
    <row r="2017" spans="1:6" x14ac:dyDescent="0.25">
      <c r="A2017" t="s">
        <v>2468</v>
      </c>
      <c r="B2017" t="s">
        <v>138</v>
      </c>
      <c r="C2017" t="s">
        <v>42</v>
      </c>
      <c r="D2017" t="str">
        <f>HYPERLINK("http://service.sap.com/sap/support/notes/1684540","1684540")</f>
        <v>1684540</v>
      </c>
      <c r="E2017">
        <v>1</v>
      </c>
      <c r="F2017" t="s">
        <v>2679</v>
      </c>
    </row>
    <row r="2018" spans="1:6" x14ac:dyDescent="0.25">
      <c r="A2018" t="s">
        <v>2468</v>
      </c>
      <c r="B2018" t="s">
        <v>138</v>
      </c>
      <c r="C2018" t="s">
        <v>42</v>
      </c>
      <c r="D2018" t="str">
        <f>HYPERLINK("http://service.sap.com/sap/support/notes/1685089","1685089")</f>
        <v>1685089</v>
      </c>
      <c r="E2018">
        <v>3</v>
      </c>
      <c r="F2018" t="s">
        <v>2680</v>
      </c>
    </row>
    <row r="2019" spans="1:6" x14ac:dyDescent="0.25">
      <c r="A2019" t="s">
        <v>2468</v>
      </c>
      <c r="B2019" t="s">
        <v>138</v>
      </c>
      <c r="C2019" t="s">
        <v>42</v>
      </c>
      <c r="D2019" t="str">
        <f>HYPERLINK("http://service.sap.com/sap/support/notes/1685645","1685645")</f>
        <v>1685645</v>
      </c>
      <c r="E2019">
        <v>1</v>
      </c>
      <c r="F2019" t="s">
        <v>2681</v>
      </c>
    </row>
    <row r="2020" spans="1:6" x14ac:dyDescent="0.25">
      <c r="A2020" t="s">
        <v>2468</v>
      </c>
      <c r="B2020" t="s">
        <v>138</v>
      </c>
      <c r="C2020" t="s">
        <v>42</v>
      </c>
      <c r="D2020" t="str">
        <f>HYPERLINK("http://service.sap.com/sap/support/notes/1685807","1685807")</f>
        <v>1685807</v>
      </c>
      <c r="E2020">
        <v>1</v>
      </c>
      <c r="F2020" t="s">
        <v>2682</v>
      </c>
    </row>
    <row r="2021" spans="1:6" x14ac:dyDescent="0.25">
      <c r="A2021" t="s">
        <v>2468</v>
      </c>
      <c r="B2021" t="s">
        <v>138</v>
      </c>
      <c r="C2021" t="s">
        <v>42</v>
      </c>
      <c r="D2021" t="str">
        <f>HYPERLINK("http://service.sap.com/sap/support/notes/1686083","1686083")</f>
        <v>1686083</v>
      </c>
      <c r="E2021">
        <v>1</v>
      </c>
      <c r="F2021" t="s">
        <v>2683</v>
      </c>
    </row>
    <row r="2022" spans="1:6" x14ac:dyDescent="0.25">
      <c r="A2022" t="s">
        <v>2468</v>
      </c>
      <c r="B2022" t="s">
        <v>138</v>
      </c>
      <c r="C2022" t="s">
        <v>42</v>
      </c>
      <c r="D2022" t="str">
        <f>HYPERLINK("http://service.sap.com/sap/support/notes/1686400","1686400")</f>
        <v>1686400</v>
      </c>
      <c r="E2022">
        <v>1</v>
      </c>
      <c r="F2022" t="s">
        <v>2684</v>
      </c>
    </row>
    <row r="2023" spans="1:6" x14ac:dyDescent="0.25">
      <c r="A2023" t="s">
        <v>2468</v>
      </c>
      <c r="B2023" t="s">
        <v>139</v>
      </c>
      <c r="C2023" t="s">
        <v>140</v>
      </c>
    </row>
    <row r="2024" spans="1:6" x14ac:dyDescent="0.25">
      <c r="A2024" t="s">
        <v>2468</v>
      </c>
      <c r="B2024" t="s">
        <v>322</v>
      </c>
      <c r="C2024" t="s">
        <v>115</v>
      </c>
    </row>
    <row r="2025" spans="1:6" x14ac:dyDescent="0.25">
      <c r="A2025" t="s">
        <v>2468</v>
      </c>
      <c r="B2025" t="s">
        <v>398</v>
      </c>
      <c r="C2025" t="s">
        <v>123</v>
      </c>
      <c r="D2025" t="str">
        <f>HYPERLINK("http://service.sap.com/sap/support/notes/1676277","1676277")</f>
        <v>1676277</v>
      </c>
      <c r="E2025">
        <v>2</v>
      </c>
      <c r="F2025" t="s">
        <v>2685</v>
      </c>
    </row>
    <row r="2026" spans="1:6" x14ac:dyDescent="0.25">
      <c r="A2026" t="s">
        <v>2468</v>
      </c>
      <c r="B2026" t="s">
        <v>398</v>
      </c>
      <c r="C2026" t="s">
        <v>123</v>
      </c>
      <c r="D2026" t="str">
        <f>HYPERLINK("http://service.sap.com/sap/support/notes/1683749","1683749")</f>
        <v>1683749</v>
      </c>
      <c r="E2026">
        <v>1</v>
      </c>
      <c r="F2026" t="s">
        <v>2686</v>
      </c>
    </row>
    <row r="2027" spans="1:6" x14ac:dyDescent="0.25">
      <c r="A2027" t="s">
        <v>2468</v>
      </c>
      <c r="B2027" t="s">
        <v>143</v>
      </c>
      <c r="C2027" t="s">
        <v>132</v>
      </c>
    </row>
    <row r="2028" spans="1:6" x14ac:dyDescent="0.25">
      <c r="A2028" t="s">
        <v>2468</v>
      </c>
      <c r="B2028" t="s">
        <v>144</v>
      </c>
      <c r="C2028" t="s">
        <v>145</v>
      </c>
      <c r="D2028" t="str">
        <f>HYPERLINK("http://service.sap.com/sap/support/notes/1668275","1668275")</f>
        <v>1668275</v>
      </c>
      <c r="E2028">
        <v>1</v>
      </c>
      <c r="F2028" t="s">
        <v>2687</v>
      </c>
    </row>
    <row r="2029" spans="1:6" x14ac:dyDescent="0.25">
      <c r="A2029" t="s">
        <v>2468</v>
      </c>
      <c r="B2029" t="s">
        <v>146</v>
      </c>
      <c r="C2029" t="s">
        <v>147</v>
      </c>
      <c r="D2029" t="str">
        <f>HYPERLINK("http://service.sap.com/sap/support/notes/1674118","1674118")</f>
        <v>1674118</v>
      </c>
      <c r="E2029">
        <v>1</v>
      </c>
      <c r="F2029" t="s">
        <v>2688</v>
      </c>
    </row>
    <row r="2030" spans="1:6" x14ac:dyDescent="0.25">
      <c r="A2030" t="s">
        <v>2468</v>
      </c>
      <c r="B2030" t="s">
        <v>146</v>
      </c>
      <c r="C2030" t="s">
        <v>147</v>
      </c>
      <c r="D2030" t="str">
        <f>HYPERLINK("http://service.sap.com/sap/support/notes/1679554","1679554")</f>
        <v>1679554</v>
      </c>
      <c r="E2030">
        <v>1</v>
      </c>
      <c r="F2030" t="s">
        <v>2689</v>
      </c>
    </row>
    <row r="2031" spans="1:6" x14ac:dyDescent="0.25">
      <c r="A2031" t="s">
        <v>2468</v>
      </c>
      <c r="B2031" t="s">
        <v>146</v>
      </c>
      <c r="C2031" t="s">
        <v>147</v>
      </c>
      <c r="D2031" t="str">
        <f>HYPERLINK("http://service.sap.com/sap/support/notes/1681156","1681156")</f>
        <v>1681156</v>
      </c>
      <c r="E2031">
        <v>1</v>
      </c>
      <c r="F2031" t="s">
        <v>2690</v>
      </c>
    </row>
    <row r="2032" spans="1:6" x14ac:dyDescent="0.25">
      <c r="A2032" t="s">
        <v>2468</v>
      </c>
      <c r="B2032" t="s">
        <v>146</v>
      </c>
      <c r="C2032" t="s">
        <v>147</v>
      </c>
      <c r="D2032" t="str">
        <f>HYPERLINK("http://service.sap.com/sap/support/notes/1682200","1682200")</f>
        <v>1682200</v>
      </c>
      <c r="E2032">
        <v>1</v>
      </c>
      <c r="F2032" t="s">
        <v>2691</v>
      </c>
    </row>
    <row r="2033" spans="1:6" x14ac:dyDescent="0.25">
      <c r="A2033" t="s">
        <v>2468</v>
      </c>
      <c r="B2033" t="s">
        <v>148</v>
      </c>
      <c r="C2033" t="s">
        <v>45</v>
      </c>
      <c r="D2033" t="str">
        <f>HYPERLINK("http://service.sap.com/sap/support/notes/1676651","1676651")</f>
        <v>1676651</v>
      </c>
      <c r="E2033">
        <v>1</v>
      </c>
      <c r="F2033" t="s">
        <v>2692</v>
      </c>
    </row>
    <row r="2034" spans="1:6" x14ac:dyDescent="0.25">
      <c r="A2034" t="s">
        <v>2468</v>
      </c>
      <c r="B2034" t="s">
        <v>149</v>
      </c>
      <c r="C2034" t="s">
        <v>150</v>
      </c>
      <c r="D2034" t="str">
        <f>HYPERLINK("http://service.sap.com/sap/support/notes/1668286","1668286")</f>
        <v>1668286</v>
      </c>
      <c r="E2034">
        <v>3</v>
      </c>
      <c r="F2034" t="s">
        <v>2693</v>
      </c>
    </row>
    <row r="2035" spans="1:6" x14ac:dyDescent="0.25">
      <c r="A2035" t="s">
        <v>2468</v>
      </c>
      <c r="B2035" t="s">
        <v>149</v>
      </c>
      <c r="C2035" t="s">
        <v>150</v>
      </c>
      <c r="D2035" t="str">
        <f>HYPERLINK("http://service.sap.com/sap/support/notes/1669205","1669205")</f>
        <v>1669205</v>
      </c>
      <c r="E2035">
        <v>1</v>
      </c>
      <c r="F2035" t="s">
        <v>2694</v>
      </c>
    </row>
    <row r="2036" spans="1:6" x14ac:dyDescent="0.25">
      <c r="A2036" t="s">
        <v>2468</v>
      </c>
      <c r="B2036" t="s">
        <v>149</v>
      </c>
      <c r="C2036" t="s">
        <v>150</v>
      </c>
      <c r="D2036" t="str">
        <f>HYPERLINK("http://service.sap.com/sap/support/notes/1670721","1670721")</f>
        <v>1670721</v>
      </c>
      <c r="E2036">
        <v>2</v>
      </c>
      <c r="F2036" t="s">
        <v>2695</v>
      </c>
    </row>
    <row r="2037" spans="1:6" x14ac:dyDescent="0.25">
      <c r="A2037" t="s">
        <v>2468</v>
      </c>
      <c r="B2037" t="s">
        <v>149</v>
      </c>
      <c r="C2037" t="s">
        <v>150</v>
      </c>
      <c r="D2037" t="str">
        <f>HYPERLINK("http://service.sap.com/sap/support/notes/1682939","1682939")</f>
        <v>1682939</v>
      </c>
      <c r="E2037">
        <v>1</v>
      </c>
      <c r="F2037" t="s">
        <v>2696</v>
      </c>
    </row>
    <row r="2038" spans="1:6" x14ac:dyDescent="0.25">
      <c r="A2038" t="s">
        <v>2468</v>
      </c>
      <c r="B2038" t="s">
        <v>152</v>
      </c>
      <c r="C2038" t="s">
        <v>47</v>
      </c>
      <c r="D2038" t="str">
        <f>HYPERLINK("http://service.sap.com/sap/support/notes/1662172","1662172")</f>
        <v>1662172</v>
      </c>
      <c r="E2038">
        <v>2</v>
      </c>
      <c r="F2038" t="s">
        <v>2697</v>
      </c>
    </row>
    <row r="2039" spans="1:6" x14ac:dyDescent="0.25">
      <c r="A2039" t="s">
        <v>2468</v>
      </c>
      <c r="B2039" t="s">
        <v>152</v>
      </c>
      <c r="C2039" t="s">
        <v>47</v>
      </c>
      <c r="D2039" t="str">
        <f>HYPERLINK("http://service.sap.com/sap/support/notes/1668262","1668262")</f>
        <v>1668262</v>
      </c>
      <c r="E2039">
        <v>2</v>
      </c>
      <c r="F2039" t="s">
        <v>2698</v>
      </c>
    </row>
    <row r="2040" spans="1:6" x14ac:dyDescent="0.25">
      <c r="A2040" t="s">
        <v>2468</v>
      </c>
      <c r="B2040" t="s">
        <v>152</v>
      </c>
      <c r="C2040" t="s">
        <v>47</v>
      </c>
      <c r="D2040" t="str">
        <f>HYPERLINK("http://service.sap.com/sap/support/notes/1669045","1669045")</f>
        <v>1669045</v>
      </c>
      <c r="E2040">
        <v>1</v>
      </c>
      <c r="F2040" t="s">
        <v>2396</v>
      </c>
    </row>
    <row r="2041" spans="1:6" x14ac:dyDescent="0.25">
      <c r="A2041" t="s">
        <v>2468</v>
      </c>
      <c r="B2041" t="s">
        <v>152</v>
      </c>
      <c r="C2041" t="s">
        <v>47</v>
      </c>
      <c r="D2041" t="str">
        <f>HYPERLINK("http://service.sap.com/sap/support/notes/1671187","1671187")</f>
        <v>1671187</v>
      </c>
      <c r="E2041">
        <v>1</v>
      </c>
      <c r="F2041" t="s">
        <v>2398</v>
      </c>
    </row>
    <row r="2042" spans="1:6" x14ac:dyDescent="0.25">
      <c r="A2042" t="s">
        <v>2468</v>
      </c>
      <c r="B2042" t="s">
        <v>152</v>
      </c>
      <c r="C2042" t="s">
        <v>47</v>
      </c>
      <c r="D2042" t="str">
        <f>HYPERLINK("http://service.sap.com/sap/support/notes/1671243","1671243")</f>
        <v>1671243</v>
      </c>
      <c r="E2042">
        <v>1</v>
      </c>
      <c r="F2042" t="s">
        <v>2699</v>
      </c>
    </row>
    <row r="2043" spans="1:6" x14ac:dyDescent="0.25">
      <c r="A2043" t="s">
        <v>2468</v>
      </c>
      <c r="B2043" t="s">
        <v>155</v>
      </c>
      <c r="C2043" t="s">
        <v>49</v>
      </c>
      <c r="D2043" t="str">
        <f>HYPERLINK("http://service.sap.com/sap/support/notes/1611017","1611017")</f>
        <v>1611017</v>
      </c>
      <c r="E2043">
        <v>1</v>
      </c>
      <c r="F2043" t="s">
        <v>2700</v>
      </c>
    </row>
    <row r="2044" spans="1:6" x14ac:dyDescent="0.25">
      <c r="A2044" t="s">
        <v>2468</v>
      </c>
      <c r="B2044" t="s">
        <v>155</v>
      </c>
      <c r="C2044" t="s">
        <v>49</v>
      </c>
      <c r="D2044" t="str">
        <f>HYPERLINK("http://service.sap.com/sap/support/notes/1614480","1614480")</f>
        <v>1614480</v>
      </c>
      <c r="E2044">
        <v>2</v>
      </c>
      <c r="F2044" t="s">
        <v>2701</v>
      </c>
    </row>
    <row r="2045" spans="1:6" x14ac:dyDescent="0.25">
      <c r="A2045" t="s">
        <v>2468</v>
      </c>
      <c r="B2045" t="s">
        <v>155</v>
      </c>
      <c r="C2045" t="s">
        <v>49</v>
      </c>
      <c r="D2045" t="str">
        <f>HYPERLINK("http://service.sap.com/sap/support/notes/1626807","1626807")</f>
        <v>1626807</v>
      </c>
      <c r="E2045">
        <v>1</v>
      </c>
      <c r="F2045" t="s">
        <v>2702</v>
      </c>
    </row>
    <row r="2046" spans="1:6" x14ac:dyDescent="0.25">
      <c r="A2046" t="s">
        <v>2468</v>
      </c>
      <c r="B2046" t="s">
        <v>155</v>
      </c>
      <c r="C2046" t="s">
        <v>49</v>
      </c>
      <c r="D2046" t="str">
        <f>HYPERLINK("http://service.sap.com/sap/support/notes/1649039","1649039")</f>
        <v>1649039</v>
      </c>
      <c r="E2046">
        <v>1</v>
      </c>
      <c r="F2046" t="s">
        <v>2703</v>
      </c>
    </row>
    <row r="2047" spans="1:6" x14ac:dyDescent="0.25">
      <c r="A2047" t="s">
        <v>2468</v>
      </c>
      <c r="B2047" t="s">
        <v>155</v>
      </c>
      <c r="C2047" t="s">
        <v>49</v>
      </c>
      <c r="D2047" t="str">
        <f>HYPERLINK("http://service.sap.com/sap/support/notes/1673871","1673871")</f>
        <v>1673871</v>
      </c>
      <c r="E2047">
        <v>1</v>
      </c>
      <c r="F2047" t="s">
        <v>2704</v>
      </c>
    </row>
    <row r="2048" spans="1:6" x14ac:dyDescent="0.25">
      <c r="A2048" t="s">
        <v>2468</v>
      </c>
      <c r="B2048" t="s">
        <v>155</v>
      </c>
      <c r="C2048" t="s">
        <v>49</v>
      </c>
      <c r="D2048" t="str">
        <f>HYPERLINK("http://service.sap.com/sap/support/notes/1677842","1677842")</f>
        <v>1677842</v>
      </c>
      <c r="E2048">
        <v>7</v>
      </c>
      <c r="F2048" t="s">
        <v>2705</v>
      </c>
    </row>
    <row r="2049" spans="1:6" x14ac:dyDescent="0.25">
      <c r="A2049" t="s">
        <v>2468</v>
      </c>
      <c r="B2049" t="s">
        <v>155</v>
      </c>
      <c r="C2049" t="s">
        <v>49</v>
      </c>
      <c r="D2049" t="str">
        <f>HYPERLINK("http://service.sap.com/sap/support/notes/1677906","1677906")</f>
        <v>1677906</v>
      </c>
      <c r="E2049">
        <v>1</v>
      </c>
      <c r="F2049" t="s">
        <v>2706</v>
      </c>
    </row>
    <row r="2050" spans="1:6" x14ac:dyDescent="0.25">
      <c r="A2050" t="s">
        <v>2468</v>
      </c>
      <c r="B2050" t="s">
        <v>155</v>
      </c>
      <c r="C2050" t="s">
        <v>49</v>
      </c>
      <c r="D2050" t="str">
        <f>HYPERLINK("http://service.sap.com/sap/support/notes/1678962","1678962")</f>
        <v>1678962</v>
      </c>
      <c r="E2050">
        <v>1</v>
      </c>
      <c r="F2050" t="s">
        <v>2707</v>
      </c>
    </row>
    <row r="2051" spans="1:6" x14ac:dyDescent="0.25">
      <c r="A2051" t="s">
        <v>2468</v>
      </c>
      <c r="B2051" t="s">
        <v>155</v>
      </c>
      <c r="C2051" t="s">
        <v>49</v>
      </c>
      <c r="D2051" t="str">
        <f>HYPERLINK("http://service.sap.com/sap/support/notes/1682117","1682117")</f>
        <v>1682117</v>
      </c>
      <c r="E2051">
        <v>3</v>
      </c>
      <c r="F2051" t="s">
        <v>2708</v>
      </c>
    </row>
    <row r="2052" spans="1:6" x14ac:dyDescent="0.25">
      <c r="A2052" t="s">
        <v>2468</v>
      </c>
      <c r="B2052" t="s">
        <v>156</v>
      </c>
      <c r="C2052" t="s">
        <v>52</v>
      </c>
      <c r="D2052" t="str">
        <f>HYPERLINK("http://service.sap.com/sap/support/notes/1679087","1679087")</f>
        <v>1679087</v>
      </c>
      <c r="E2052">
        <v>2</v>
      </c>
      <c r="F2052" t="s">
        <v>2709</v>
      </c>
    </row>
    <row r="2053" spans="1:6" x14ac:dyDescent="0.25">
      <c r="A2053" t="s">
        <v>2468</v>
      </c>
      <c r="B2053" t="s">
        <v>156</v>
      </c>
      <c r="C2053" t="s">
        <v>52</v>
      </c>
      <c r="D2053" t="str">
        <f>HYPERLINK("http://service.sap.com/sap/support/notes/1680668","1680668")</f>
        <v>1680668</v>
      </c>
      <c r="E2053">
        <v>1</v>
      </c>
      <c r="F2053" t="s">
        <v>2125</v>
      </c>
    </row>
    <row r="2054" spans="1:6" x14ac:dyDescent="0.25">
      <c r="A2054" t="s">
        <v>2468</v>
      </c>
      <c r="B2054" t="s">
        <v>156</v>
      </c>
      <c r="C2054" t="s">
        <v>52</v>
      </c>
      <c r="D2054" t="str">
        <f>HYPERLINK("http://service.sap.com/sap/support/notes/1682172","1682172")</f>
        <v>1682172</v>
      </c>
      <c r="E2054">
        <v>1</v>
      </c>
      <c r="F2054" t="s">
        <v>2710</v>
      </c>
    </row>
    <row r="2055" spans="1:6" x14ac:dyDescent="0.25">
      <c r="A2055" t="s">
        <v>2468</v>
      </c>
      <c r="B2055" t="s">
        <v>156</v>
      </c>
      <c r="C2055" t="s">
        <v>52</v>
      </c>
      <c r="D2055" t="str">
        <f>HYPERLINK("http://service.sap.com/sap/support/notes/1683930","1683930")</f>
        <v>1683930</v>
      </c>
      <c r="E2055">
        <v>1</v>
      </c>
      <c r="F2055" t="s">
        <v>2711</v>
      </c>
    </row>
    <row r="2056" spans="1:6" x14ac:dyDescent="0.25">
      <c r="A2056" t="s">
        <v>2468</v>
      </c>
      <c r="B2056" t="s">
        <v>156</v>
      </c>
      <c r="C2056" t="s">
        <v>52</v>
      </c>
      <c r="D2056" t="str">
        <f>HYPERLINK("http://service.sap.com/sap/support/notes/1684258","1684258")</f>
        <v>1684258</v>
      </c>
      <c r="E2056">
        <v>1</v>
      </c>
      <c r="F2056" t="s">
        <v>2712</v>
      </c>
    </row>
    <row r="2057" spans="1:6" x14ac:dyDescent="0.25">
      <c r="A2057" t="s">
        <v>2468</v>
      </c>
      <c r="B2057" t="s">
        <v>156</v>
      </c>
      <c r="C2057" t="s">
        <v>52</v>
      </c>
      <c r="D2057" t="str">
        <f>HYPERLINK("http://service.sap.com/sap/support/notes/1685425","1685425")</f>
        <v>1685425</v>
      </c>
      <c r="E2057">
        <v>1</v>
      </c>
      <c r="F2057" t="s">
        <v>2713</v>
      </c>
    </row>
    <row r="2058" spans="1:6" x14ac:dyDescent="0.25">
      <c r="A2058" t="s">
        <v>2468</v>
      </c>
      <c r="B2058" t="s">
        <v>158</v>
      </c>
      <c r="C2058" t="s">
        <v>54</v>
      </c>
      <c r="D2058" t="str">
        <f>HYPERLINK("http://service.sap.com/sap/support/notes/1676840","1676840")</f>
        <v>1676840</v>
      </c>
      <c r="E2058">
        <v>6</v>
      </c>
      <c r="F2058" t="s">
        <v>2714</v>
      </c>
    </row>
    <row r="2059" spans="1:6" x14ac:dyDescent="0.25">
      <c r="A2059" t="s">
        <v>2468</v>
      </c>
      <c r="B2059" t="s">
        <v>158</v>
      </c>
      <c r="C2059" t="s">
        <v>54</v>
      </c>
      <c r="D2059" t="str">
        <f>HYPERLINK("http://service.sap.com/sap/support/notes/1678071","1678071")</f>
        <v>1678071</v>
      </c>
      <c r="E2059">
        <v>4</v>
      </c>
      <c r="F2059" t="s">
        <v>2715</v>
      </c>
    </row>
    <row r="2060" spans="1:6" x14ac:dyDescent="0.25">
      <c r="A2060" t="s">
        <v>2468</v>
      </c>
      <c r="B2060" t="s">
        <v>158</v>
      </c>
      <c r="C2060" t="s">
        <v>54</v>
      </c>
      <c r="D2060" t="str">
        <f>HYPERLINK("http://service.sap.com/sap/support/notes/1679154","1679154")</f>
        <v>1679154</v>
      </c>
      <c r="E2060">
        <v>3</v>
      </c>
      <c r="F2060" t="s">
        <v>2716</v>
      </c>
    </row>
    <row r="2061" spans="1:6" x14ac:dyDescent="0.25">
      <c r="A2061" t="s">
        <v>2468</v>
      </c>
      <c r="B2061" t="s">
        <v>158</v>
      </c>
      <c r="C2061" t="s">
        <v>54</v>
      </c>
      <c r="D2061" t="str">
        <f>HYPERLINK("http://service.sap.com/sap/support/notes/1682182","1682182")</f>
        <v>1682182</v>
      </c>
      <c r="E2061">
        <v>6</v>
      </c>
      <c r="F2061" t="s">
        <v>2717</v>
      </c>
    </row>
    <row r="2062" spans="1:6" x14ac:dyDescent="0.25">
      <c r="A2062" t="s">
        <v>2468</v>
      </c>
      <c r="B2062" t="s">
        <v>158</v>
      </c>
      <c r="C2062" t="s">
        <v>54</v>
      </c>
      <c r="D2062" t="str">
        <f>HYPERLINK("http://service.sap.com/sap/support/notes/1682759","1682759")</f>
        <v>1682759</v>
      </c>
      <c r="E2062">
        <v>5</v>
      </c>
      <c r="F2062" t="s">
        <v>2718</v>
      </c>
    </row>
    <row r="2063" spans="1:6" x14ac:dyDescent="0.25">
      <c r="A2063" t="s">
        <v>2468</v>
      </c>
      <c r="B2063" t="s">
        <v>158</v>
      </c>
      <c r="C2063" t="s">
        <v>54</v>
      </c>
      <c r="D2063" t="str">
        <f>HYPERLINK("http://service.sap.com/sap/support/notes/1683885","1683885")</f>
        <v>1683885</v>
      </c>
      <c r="E2063">
        <v>4</v>
      </c>
      <c r="F2063" t="s">
        <v>2719</v>
      </c>
    </row>
    <row r="2064" spans="1:6" x14ac:dyDescent="0.25">
      <c r="A2064" t="s">
        <v>2468</v>
      </c>
      <c r="B2064" t="s">
        <v>158</v>
      </c>
      <c r="C2064" t="s">
        <v>54</v>
      </c>
      <c r="D2064" t="str">
        <f>HYPERLINK("http://service.sap.com/sap/support/notes/1684908","1684908")</f>
        <v>1684908</v>
      </c>
      <c r="E2064">
        <v>1</v>
      </c>
      <c r="F2064" t="s">
        <v>2720</v>
      </c>
    </row>
    <row r="2065" spans="1:6" x14ac:dyDescent="0.25">
      <c r="A2065" t="s">
        <v>2468</v>
      </c>
      <c r="B2065" t="s">
        <v>158</v>
      </c>
      <c r="C2065" t="s">
        <v>54</v>
      </c>
      <c r="D2065" t="str">
        <f>HYPERLINK("http://service.sap.com/sap/support/notes/1685422","1685422")</f>
        <v>1685422</v>
      </c>
      <c r="E2065">
        <v>3</v>
      </c>
      <c r="F2065" t="s">
        <v>2721</v>
      </c>
    </row>
    <row r="2066" spans="1:6" x14ac:dyDescent="0.25">
      <c r="A2066" t="s">
        <v>2468</v>
      </c>
      <c r="B2066" t="s">
        <v>159</v>
      </c>
      <c r="C2066" t="s">
        <v>160</v>
      </c>
      <c r="D2066" t="str">
        <f>HYPERLINK("http://service.sap.com/sap/support/notes/1638906","1638906")</f>
        <v>1638906</v>
      </c>
      <c r="E2066">
        <v>4</v>
      </c>
      <c r="F2066" t="s">
        <v>2722</v>
      </c>
    </row>
    <row r="2067" spans="1:6" x14ac:dyDescent="0.25">
      <c r="A2067" t="s">
        <v>2468</v>
      </c>
      <c r="B2067" t="s">
        <v>159</v>
      </c>
      <c r="C2067" t="s">
        <v>160</v>
      </c>
      <c r="D2067" t="str">
        <f>HYPERLINK("http://service.sap.com/sap/support/notes/1646805","1646805")</f>
        <v>1646805</v>
      </c>
      <c r="E2067">
        <v>3</v>
      </c>
      <c r="F2067" t="s">
        <v>2723</v>
      </c>
    </row>
    <row r="2068" spans="1:6" x14ac:dyDescent="0.25">
      <c r="A2068" t="s">
        <v>2468</v>
      </c>
      <c r="B2068" t="s">
        <v>159</v>
      </c>
      <c r="C2068" t="s">
        <v>160</v>
      </c>
      <c r="D2068" t="str">
        <f>HYPERLINK("http://service.sap.com/sap/support/notes/1654391","1654391")</f>
        <v>1654391</v>
      </c>
      <c r="E2068">
        <v>2</v>
      </c>
      <c r="F2068" t="s">
        <v>2724</v>
      </c>
    </row>
    <row r="2069" spans="1:6" x14ac:dyDescent="0.25">
      <c r="A2069" t="s">
        <v>2468</v>
      </c>
      <c r="B2069" t="s">
        <v>159</v>
      </c>
      <c r="C2069" t="s">
        <v>160</v>
      </c>
      <c r="D2069" t="str">
        <f>HYPERLINK("http://service.sap.com/sap/support/notes/1657005","1657005")</f>
        <v>1657005</v>
      </c>
      <c r="E2069">
        <v>3</v>
      </c>
      <c r="F2069" t="s">
        <v>2725</v>
      </c>
    </row>
    <row r="2070" spans="1:6" x14ac:dyDescent="0.25">
      <c r="A2070" t="s">
        <v>2468</v>
      </c>
      <c r="B2070" t="s">
        <v>159</v>
      </c>
      <c r="C2070" t="s">
        <v>160</v>
      </c>
      <c r="D2070" t="str">
        <f>HYPERLINK("http://service.sap.com/sap/support/notes/1659070","1659070")</f>
        <v>1659070</v>
      </c>
      <c r="E2070">
        <v>2</v>
      </c>
      <c r="F2070" t="s">
        <v>2726</v>
      </c>
    </row>
    <row r="2071" spans="1:6" x14ac:dyDescent="0.25">
      <c r="A2071" t="s">
        <v>2468</v>
      </c>
      <c r="B2071" t="s">
        <v>159</v>
      </c>
      <c r="C2071" t="s">
        <v>160</v>
      </c>
      <c r="D2071" t="str">
        <f>HYPERLINK("http://service.sap.com/sap/support/notes/1663626","1663626")</f>
        <v>1663626</v>
      </c>
      <c r="E2071">
        <v>7</v>
      </c>
      <c r="F2071" t="s">
        <v>2727</v>
      </c>
    </row>
    <row r="2072" spans="1:6" x14ac:dyDescent="0.25">
      <c r="A2072" t="s">
        <v>2468</v>
      </c>
      <c r="B2072" t="s">
        <v>159</v>
      </c>
      <c r="C2072" t="s">
        <v>160</v>
      </c>
      <c r="D2072" t="str">
        <f>HYPERLINK("http://service.sap.com/sap/support/notes/1671363","1671363")</f>
        <v>1671363</v>
      </c>
      <c r="E2072">
        <v>2</v>
      </c>
      <c r="F2072" t="s">
        <v>2728</v>
      </c>
    </row>
    <row r="2073" spans="1:6" x14ac:dyDescent="0.25">
      <c r="A2073" t="s">
        <v>2468</v>
      </c>
      <c r="B2073" t="s">
        <v>159</v>
      </c>
      <c r="C2073" t="s">
        <v>160</v>
      </c>
      <c r="D2073" t="str">
        <f>HYPERLINK("http://service.sap.com/sap/support/notes/1678338","1678338")</f>
        <v>1678338</v>
      </c>
      <c r="E2073">
        <v>2</v>
      </c>
      <c r="F2073" t="s">
        <v>2729</v>
      </c>
    </row>
    <row r="2074" spans="1:6" x14ac:dyDescent="0.25">
      <c r="A2074" t="s">
        <v>2468</v>
      </c>
      <c r="B2074" t="s">
        <v>161</v>
      </c>
      <c r="C2074" t="s">
        <v>162</v>
      </c>
      <c r="D2074" t="str">
        <f>HYPERLINK("http://service.sap.com/sap/support/notes/1529388","1529388")</f>
        <v>1529388</v>
      </c>
      <c r="E2074">
        <v>23</v>
      </c>
      <c r="F2074" t="s">
        <v>2730</v>
      </c>
    </row>
    <row r="2075" spans="1:6" x14ac:dyDescent="0.25">
      <c r="A2075" t="s">
        <v>2468</v>
      </c>
      <c r="B2075" t="s">
        <v>163</v>
      </c>
      <c r="C2075" t="s">
        <v>56</v>
      </c>
      <c r="D2075" t="str">
        <f>HYPERLINK("http://service.sap.com/sap/support/notes/1670198","1670198")</f>
        <v>1670198</v>
      </c>
      <c r="E2075">
        <v>1</v>
      </c>
      <c r="F2075" t="s">
        <v>2731</v>
      </c>
    </row>
    <row r="2076" spans="1:6" x14ac:dyDescent="0.25">
      <c r="A2076" t="s">
        <v>2468</v>
      </c>
      <c r="B2076" t="s">
        <v>163</v>
      </c>
      <c r="C2076" t="s">
        <v>56</v>
      </c>
      <c r="D2076" t="str">
        <f>HYPERLINK("http://service.sap.com/sap/support/notes/1671235","1671235")</f>
        <v>1671235</v>
      </c>
      <c r="E2076">
        <v>1</v>
      </c>
      <c r="F2076" t="s">
        <v>2732</v>
      </c>
    </row>
    <row r="2077" spans="1:6" x14ac:dyDescent="0.25">
      <c r="A2077" t="s">
        <v>2468</v>
      </c>
      <c r="B2077" t="s">
        <v>163</v>
      </c>
      <c r="C2077" t="s">
        <v>56</v>
      </c>
      <c r="D2077" t="str">
        <f>HYPERLINK("http://service.sap.com/sap/support/notes/1673640","1673640")</f>
        <v>1673640</v>
      </c>
      <c r="E2077">
        <v>1</v>
      </c>
      <c r="F2077" t="s">
        <v>2733</v>
      </c>
    </row>
    <row r="2078" spans="1:6" x14ac:dyDescent="0.25">
      <c r="A2078" t="s">
        <v>2468</v>
      </c>
      <c r="B2078" t="s">
        <v>163</v>
      </c>
      <c r="C2078" t="s">
        <v>56</v>
      </c>
      <c r="D2078" t="str">
        <f>HYPERLINK("http://service.sap.com/sap/support/notes/1676784","1676784")</f>
        <v>1676784</v>
      </c>
      <c r="E2078">
        <v>1</v>
      </c>
      <c r="F2078" t="s">
        <v>2734</v>
      </c>
    </row>
    <row r="2079" spans="1:6" x14ac:dyDescent="0.25">
      <c r="A2079" t="s">
        <v>2468</v>
      </c>
      <c r="B2079" t="s">
        <v>163</v>
      </c>
      <c r="C2079" t="s">
        <v>56</v>
      </c>
      <c r="D2079" t="str">
        <f>HYPERLINK("http://service.sap.com/sap/support/notes/1677167","1677167")</f>
        <v>1677167</v>
      </c>
      <c r="E2079">
        <v>1</v>
      </c>
      <c r="F2079" t="s">
        <v>2735</v>
      </c>
    </row>
    <row r="2080" spans="1:6" x14ac:dyDescent="0.25">
      <c r="A2080" t="s">
        <v>2468</v>
      </c>
      <c r="B2080" t="s">
        <v>163</v>
      </c>
      <c r="C2080" t="s">
        <v>56</v>
      </c>
      <c r="D2080" t="str">
        <f>HYPERLINK("http://service.sap.com/sap/support/notes/1678634","1678634")</f>
        <v>1678634</v>
      </c>
      <c r="E2080">
        <v>1</v>
      </c>
      <c r="F2080" t="s">
        <v>2736</v>
      </c>
    </row>
    <row r="2081" spans="1:6" x14ac:dyDescent="0.25">
      <c r="A2081" t="s">
        <v>2468</v>
      </c>
      <c r="B2081" t="s">
        <v>163</v>
      </c>
      <c r="C2081" t="s">
        <v>56</v>
      </c>
      <c r="D2081" t="str">
        <f>HYPERLINK("http://service.sap.com/sap/support/notes/1681223","1681223")</f>
        <v>1681223</v>
      </c>
      <c r="E2081">
        <v>1</v>
      </c>
      <c r="F2081" t="s">
        <v>2737</v>
      </c>
    </row>
    <row r="2082" spans="1:6" x14ac:dyDescent="0.25">
      <c r="A2082" t="s">
        <v>2468</v>
      </c>
      <c r="B2082" t="s">
        <v>163</v>
      </c>
      <c r="C2082" t="s">
        <v>56</v>
      </c>
      <c r="D2082" t="str">
        <f>HYPERLINK("http://service.sap.com/sap/support/notes/1684319","1684319")</f>
        <v>1684319</v>
      </c>
      <c r="E2082">
        <v>1</v>
      </c>
      <c r="F2082" t="s">
        <v>2738</v>
      </c>
    </row>
    <row r="2083" spans="1:6" x14ac:dyDescent="0.25">
      <c r="A2083" t="s">
        <v>2468</v>
      </c>
      <c r="B2083" t="s">
        <v>164</v>
      </c>
      <c r="C2083" t="s">
        <v>165</v>
      </c>
      <c r="D2083" t="str">
        <f>HYPERLINK("http://service.sap.com/sap/support/notes/1668413","1668413")</f>
        <v>1668413</v>
      </c>
      <c r="E2083">
        <v>1</v>
      </c>
      <c r="F2083" t="s">
        <v>2739</v>
      </c>
    </row>
    <row r="2084" spans="1:6" x14ac:dyDescent="0.25">
      <c r="A2084" t="s">
        <v>2468</v>
      </c>
      <c r="B2084" t="s">
        <v>164</v>
      </c>
      <c r="C2084" t="s">
        <v>165</v>
      </c>
      <c r="D2084" t="str">
        <f>HYPERLINK("http://service.sap.com/sap/support/notes/1675458","1675458")</f>
        <v>1675458</v>
      </c>
      <c r="E2084">
        <v>1</v>
      </c>
      <c r="F2084" t="s">
        <v>2740</v>
      </c>
    </row>
    <row r="2085" spans="1:6" x14ac:dyDescent="0.25">
      <c r="A2085" t="s">
        <v>2468</v>
      </c>
      <c r="B2085" t="s">
        <v>164</v>
      </c>
      <c r="C2085" t="s">
        <v>165</v>
      </c>
      <c r="D2085" t="str">
        <f>HYPERLINK("http://service.sap.com/sap/support/notes/1676465","1676465")</f>
        <v>1676465</v>
      </c>
      <c r="E2085">
        <v>1</v>
      </c>
      <c r="F2085" t="s">
        <v>2741</v>
      </c>
    </row>
    <row r="2086" spans="1:6" x14ac:dyDescent="0.25">
      <c r="A2086" t="s">
        <v>2468</v>
      </c>
      <c r="B2086" t="s">
        <v>164</v>
      </c>
      <c r="C2086" t="s">
        <v>165</v>
      </c>
      <c r="D2086" t="str">
        <f>HYPERLINK("http://service.sap.com/sap/support/notes/1676518","1676518")</f>
        <v>1676518</v>
      </c>
      <c r="E2086">
        <v>1</v>
      </c>
      <c r="F2086" t="s">
        <v>2742</v>
      </c>
    </row>
    <row r="2087" spans="1:6" x14ac:dyDescent="0.25">
      <c r="A2087" t="s">
        <v>2468</v>
      </c>
      <c r="B2087" t="s">
        <v>164</v>
      </c>
      <c r="C2087" t="s">
        <v>165</v>
      </c>
      <c r="D2087" t="str">
        <f>HYPERLINK("http://service.sap.com/sap/support/notes/1677753","1677753")</f>
        <v>1677753</v>
      </c>
      <c r="E2087">
        <v>2</v>
      </c>
      <c r="F2087" t="s">
        <v>2743</v>
      </c>
    </row>
    <row r="2088" spans="1:6" x14ac:dyDescent="0.25">
      <c r="A2088" t="s">
        <v>2468</v>
      </c>
      <c r="B2088" t="s">
        <v>164</v>
      </c>
      <c r="C2088" t="s">
        <v>165</v>
      </c>
      <c r="D2088" t="str">
        <f>HYPERLINK("http://service.sap.com/sap/support/notes/1679435","1679435")</f>
        <v>1679435</v>
      </c>
      <c r="E2088">
        <v>1</v>
      </c>
      <c r="F2088" t="s">
        <v>2744</v>
      </c>
    </row>
    <row r="2089" spans="1:6" x14ac:dyDescent="0.25">
      <c r="A2089" t="s">
        <v>2468</v>
      </c>
      <c r="B2089" t="s">
        <v>164</v>
      </c>
      <c r="C2089" t="s">
        <v>165</v>
      </c>
      <c r="D2089" t="str">
        <f>HYPERLINK("http://service.sap.com/sap/support/notes/1679438","1679438")</f>
        <v>1679438</v>
      </c>
      <c r="E2089">
        <v>1</v>
      </c>
      <c r="F2089" t="s">
        <v>2745</v>
      </c>
    </row>
    <row r="2090" spans="1:6" x14ac:dyDescent="0.25">
      <c r="A2090" t="s">
        <v>2468</v>
      </c>
      <c r="B2090" t="s">
        <v>164</v>
      </c>
      <c r="C2090" t="s">
        <v>165</v>
      </c>
      <c r="D2090" t="str">
        <f>HYPERLINK("http://service.sap.com/sap/support/notes/1679825","1679825")</f>
        <v>1679825</v>
      </c>
      <c r="E2090">
        <v>1</v>
      </c>
      <c r="F2090" t="s">
        <v>2746</v>
      </c>
    </row>
    <row r="2091" spans="1:6" x14ac:dyDescent="0.25">
      <c r="A2091" t="s">
        <v>2468</v>
      </c>
      <c r="B2091" t="s">
        <v>164</v>
      </c>
      <c r="C2091" t="s">
        <v>165</v>
      </c>
      <c r="D2091" t="str">
        <f>HYPERLINK("http://service.sap.com/sap/support/notes/1680275","1680275")</f>
        <v>1680275</v>
      </c>
      <c r="E2091">
        <v>1</v>
      </c>
      <c r="F2091" t="s">
        <v>2747</v>
      </c>
    </row>
    <row r="2092" spans="1:6" x14ac:dyDescent="0.25">
      <c r="A2092" t="s">
        <v>2468</v>
      </c>
      <c r="B2092" t="s">
        <v>164</v>
      </c>
      <c r="C2092" t="s">
        <v>165</v>
      </c>
      <c r="D2092" t="str">
        <f>HYPERLINK("http://service.sap.com/sap/support/notes/1681016","1681016")</f>
        <v>1681016</v>
      </c>
      <c r="E2092">
        <v>3</v>
      </c>
      <c r="F2092" t="s">
        <v>2748</v>
      </c>
    </row>
    <row r="2093" spans="1:6" x14ac:dyDescent="0.25">
      <c r="A2093" t="s">
        <v>2468</v>
      </c>
      <c r="B2093" t="s">
        <v>164</v>
      </c>
      <c r="C2093" t="s">
        <v>165</v>
      </c>
      <c r="D2093" t="str">
        <f>HYPERLINK("http://service.sap.com/sap/support/notes/1681201","1681201")</f>
        <v>1681201</v>
      </c>
      <c r="E2093">
        <v>1</v>
      </c>
      <c r="F2093" t="s">
        <v>2749</v>
      </c>
    </row>
    <row r="2094" spans="1:6" x14ac:dyDescent="0.25">
      <c r="A2094" t="s">
        <v>2468</v>
      </c>
      <c r="B2094" t="s">
        <v>164</v>
      </c>
      <c r="C2094" t="s">
        <v>165</v>
      </c>
      <c r="D2094" t="str">
        <f>HYPERLINK("http://service.sap.com/sap/support/notes/1681352","1681352")</f>
        <v>1681352</v>
      </c>
      <c r="E2094">
        <v>2</v>
      </c>
      <c r="F2094" t="s">
        <v>2750</v>
      </c>
    </row>
    <row r="2095" spans="1:6" x14ac:dyDescent="0.25">
      <c r="A2095" t="s">
        <v>2468</v>
      </c>
      <c r="B2095" t="s">
        <v>164</v>
      </c>
      <c r="C2095" t="s">
        <v>165</v>
      </c>
      <c r="D2095" t="str">
        <f>HYPERLINK("http://service.sap.com/sap/support/notes/1682242","1682242")</f>
        <v>1682242</v>
      </c>
      <c r="E2095">
        <v>2</v>
      </c>
      <c r="F2095" t="s">
        <v>2751</v>
      </c>
    </row>
    <row r="2096" spans="1:6" x14ac:dyDescent="0.25">
      <c r="A2096" t="s">
        <v>2468</v>
      </c>
      <c r="B2096" t="s">
        <v>164</v>
      </c>
      <c r="C2096" t="s">
        <v>165</v>
      </c>
      <c r="D2096" t="str">
        <f>HYPERLINK("http://service.sap.com/sap/support/notes/1682933","1682933")</f>
        <v>1682933</v>
      </c>
      <c r="E2096">
        <v>2</v>
      </c>
      <c r="F2096" t="s">
        <v>2752</v>
      </c>
    </row>
    <row r="2097" spans="1:6" x14ac:dyDescent="0.25">
      <c r="A2097" t="s">
        <v>2468</v>
      </c>
      <c r="B2097" t="s">
        <v>166</v>
      </c>
      <c r="C2097" t="s">
        <v>167</v>
      </c>
      <c r="D2097" t="str">
        <f>HYPERLINK("http://service.sap.com/sap/support/notes/1666903","1666903")</f>
        <v>1666903</v>
      </c>
      <c r="E2097">
        <v>2</v>
      </c>
      <c r="F2097" t="s">
        <v>2753</v>
      </c>
    </row>
    <row r="2098" spans="1:6" x14ac:dyDescent="0.25">
      <c r="A2098" t="s">
        <v>2468</v>
      </c>
      <c r="B2098" t="s">
        <v>166</v>
      </c>
      <c r="C2098" t="s">
        <v>167</v>
      </c>
      <c r="D2098" t="str">
        <f>HYPERLINK("http://service.sap.com/sap/support/notes/1673383","1673383")</f>
        <v>1673383</v>
      </c>
      <c r="E2098">
        <v>1</v>
      </c>
      <c r="F2098" t="s">
        <v>2754</v>
      </c>
    </row>
    <row r="2099" spans="1:6" x14ac:dyDescent="0.25">
      <c r="A2099" t="s">
        <v>2468</v>
      </c>
      <c r="B2099" t="s">
        <v>166</v>
      </c>
      <c r="C2099" t="s">
        <v>167</v>
      </c>
      <c r="D2099" t="str">
        <f>HYPERLINK("http://service.sap.com/sap/support/notes/1676219","1676219")</f>
        <v>1676219</v>
      </c>
      <c r="E2099">
        <v>1</v>
      </c>
      <c r="F2099" t="s">
        <v>2755</v>
      </c>
    </row>
    <row r="2100" spans="1:6" x14ac:dyDescent="0.25">
      <c r="A2100" t="s">
        <v>2468</v>
      </c>
      <c r="B2100" t="s">
        <v>166</v>
      </c>
      <c r="C2100" t="s">
        <v>167</v>
      </c>
      <c r="D2100" t="str">
        <f>HYPERLINK("http://service.sap.com/sap/support/notes/1676309","1676309")</f>
        <v>1676309</v>
      </c>
      <c r="E2100">
        <v>1</v>
      </c>
      <c r="F2100" t="s">
        <v>2756</v>
      </c>
    </row>
    <row r="2101" spans="1:6" x14ac:dyDescent="0.25">
      <c r="A2101" t="s">
        <v>2468</v>
      </c>
      <c r="B2101" t="s">
        <v>166</v>
      </c>
      <c r="C2101" t="s">
        <v>167</v>
      </c>
      <c r="D2101" t="str">
        <f>HYPERLINK("http://service.sap.com/sap/support/notes/1677364","1677364")</f>
        <v>1677364</v>
      </c>
      <c r="E2101">
        <v>3</v>
      </c>
      <c r="F2101" t="s">
        <v>2757</v>
      </c>
    </row>
    <row r="2102" spans="1:6" x14ac:dyDescent="0.25">
      <c r="A2102" t="s">
        <v>2468</v>
      </c>
      <c r="B2102" t="s">
        <v>166</v>
      </c>
      <c r="C2102" t="s">
        <v>167</v>
      </c>
      <c r="D2102" t="str">
        <f>HYPERLINK("http://service.sap.com/sap/support/notes/1681207","1681207")</f>
        <v>1681207</v>
      </c>
      <c r="E2102">
        <v>1</v>
      </c>
      <c r="F2102" t="s">
        <v>2758</v>
      </c>
    </row>
    <row r="2103" spans="1:6" x14ac:dyDescent="0.25">
      <c r="A2103" t="s">
        <v>2468</v>
      </c>
      <c r="B2103" t="s">
        <v>166</v>
      </c>
      <c r="C2103" t="s">
        <v>167</v>
      </c>
      <c r="D2103" t="str">
        <f>HYPERLINK("http://service.sap.com/sap/support/notes/1681438","1681438")</f>
        <v>1681438</v>
      </c>
      <c r="E2103">
        <v>1</v>
      </c>
      <c r="F2103" t="s">
        <v>2759</v>
      </c>
    </row>
    <row r="2104" spans="1:6" x14ac:dyDescent="0.25">
      <c r="A2104" t="s">
        <v>2468</v>
      </c>
      <c r="B2104" t="s">
        <v>166</v>
      </c>
      <c r="C2104" t="s">
        <v>167</v>
      </c>
      <c r="D2104" t="str">
        <f>HYPERLINK("http://service.sap.com/sap/support/notes/1685372","1685372")</f>
        <v>1685372</v>
      </c>
      <c r="E2104">
        <v>2</v>
      </c>
      <c r="F2104" t="s">
        <v>2760</v>
      </c>
    </row>
    <row r="2105" spans="1:6" x14ac:dyDescent="0.25">
      <c r="A2105" t="s">
        <v>2468</v>
      </c>
      <c r="B2105" t="s">
        <v>168</v>
      </c>
      <c r="C2105" t="s">
        <v>169</v>
      </c>
      <c r="D2105" t="str">
        <f>HYPERLINK("http://service.sap.com/sap/support/notes/1665659","1665659")</f>
        <v>1665659</v>
      </c>
      <c r="E2105">
        <v>2</v>
      </c>
      <c r="F2105" t="s">
        <v>2761</v>
      </c>
    </row>
    <row r="2106" spans="1:6" x14ac:dyDescent="0.25">
      <c r="A2106" t="s">
        <v>2468</v>
      </c>
      <c r="B2106" t="s">
        <v>168</v>
      </c>
      <c r="C2106" t="s">
        <v>169</v>
      </c>
      <c r="D2106" t="str">
        <f>HYPERLINK("http://service.sap.com/sap/support/notes/1667660","1667660")</f>
        <v>1667660</v>
      </c>
      <c r="E2106">
        <v>1</v>
      </c>
      <c r="F2106" t="s">
        <v>2762</v>
      </c>
    </row>
    <row r="2107" spans="1:6" x14ac:dyDescent="0.25">
      <c r="A2107" t="s">
        <v>2468</v>
      </c>
      <c r="B2107" t="s">
        <v>168</v>
      </c>
      <c r="C2107" t="s">
        <v>169</v>
      </c>
      <c r="D2107" t="str">
        <f>HYPERLINK("http://service.sap.com/sap/support/notes/1676641","1676641")</f>
        <v>1676641</v>
      </c>
      <c r="E2107">
        <v>1</v>
      </c>
      <c r="F2107" t="s">
        <v>2763</v>
      </c>
    </row>
    <row r="2108" spans="1:6" x14ac:dyDescent="0.25">
      <c r="A2108" t="s">
        <v>2468</v>
      </c>
      <c r="B2108" t="s">
        <v>168</v>
      </c>
      <c r="C2108" t="s">
        <v>169</v>
      </c>
      <c r="D2108" t="str">
        <f>HYPERLINK("http://service.sap.com/sap/support/notes/1679233","1679233")</f>
        <v>1679233</v>
      </c>
      <c r="E2108">
        <v>1</v>
      </c>
      <c r="F2108" t="s">
        <v>2764</v>
      </c>
    </row>
    <row r="2109" spans="1:6" x14ac:dyDescent="0.25">
      <c r="A2109" t="s">
        <v>2468</v>
      </c>
      <c r="B2109" t="s">
        <v>168</v>
      </c>
      <c r="C2109" t="s">
        <v>169</v>
      </c>
      <c r="D2109" t="str">
        <f>HYPERLINK("http://service.sap.com/sap/support/notes/1680110","1680110")</f>
        <v>1680110</v>
      </c>
      <c r="E2109">
        <v>1</v>
      </c>
      <c r="F2109" t="s">
        <v>2765</v>
      </c>
    </row>
    <row r="2110" spans="1:6" x14ac:dyDescent="0.25">
      <c r="A2110" t="s">
        <v>2468</v>
      </c>
      <c r="B2110" t="s">
        <v>168</v>
      </c>
      <c r="C2110" t="s">
        <v>169</v>
      </c>
      <c r="D2110" t="str">
        <f>HYPERLINK("http://service.sap.com/sap/support/notes/1681667","1681667")</f>
        <v>1681667</v>
      </c>
      <c r="E2110">
        <v>1</v>
      </c>
      <c r="F2110" t="s">
        <v>2766</v>
      </c>
    </row>
    <row r="2111" spans="1:6" x14ac:dyDescent="0.25">
      <c r="A2111" t="s">
        <v>2468</v>
      </c>
      <c r="B2111" t="s">
        <v>168</v>
      </c>
      <c r="C2111" t="s">
        <v>169</v>
      </c>
      <c r="D2111" t="str">
        <f>HYPERLINK("http://service.sap.com/sap/support/notes/1682280","1682280")</f>
        <v>1682280</v>
      </c>
      <c r="E2111">
        <v>1</v>
      </c>
      <c r="F2111" t="s">
        <v>2767</v>
      </c>
    </row>
    <row r="2112" spans="1:6" x14ac:dyDescent="0.25">
      <c r="A2112" t="s">
        <v>2468</v>
      </c>
      <c r="B2112" t="s">
        <v>171</v>
      </c>
      <c r="C2112" t="s">
        <v>172</v>
      </c>
      <c r="D2112" t="str">
        <f>HYPERLINK("http://service.sap.com/sap/support/notes/1676847","1676847")</f>
        <v>1676847</v>
      </c>
      <c r="E2112">
        <v>1</v>
      </c>
      <c r="F2112" t="s">
        <v>2768</v>
      </c>
    </row>
    <row r="2113" spans="1:6" x14ac:dyDescent="0.25">
      <c r="A2113" t="s">
        <v>2468</v>
      </c>
      <c r="B2113" t="s">
        <v>171</v>
      </c>
      <c r="C2113" t="s">
        <v>172</v>
      </c>
      <c r="D2113" t="str">
        <f>HYPERLINK("http://service.sap.com/sap/support/notes/1677638","1677638")</f>
        <v>1677638</v>
      </c>
      <c r="E2113">
        <v>1</v>
      </c>
      <c r="F2113" t="s">
        <v>2769</v>
      </c>
    </row>
    <row r="2114" spans="1:6" x14ac:dyDescent="0.25">
      <c r="A2114" t="s">
        <v>2468</v>
      </c>
      <c r="B2114" t="s">
        <v>171</v>
      </c>
      <c r="C2114" t="s">
        <v>172</v>
      </c>
      <c r="D2114" t="str">
        <f>HYPERLINK("http://service.sap.com/sap/support/notes/1680736","1680736")</f>
        <v>1680736</v>
      </c>
      <c r="E2114">
        <v>1</v>
      </c>
      <c r="F2114" t="s">
        <v>2770</v>
      </c>
    </row>
    <row r="2115" spans="1:6" x14ac:dyDescent="0.25">
      <c r="A2115" t="s">
        <v>2468</v>
      </c>
      <c r="B2115" t="s">
        <v>171</v>
      </c>
      <c r="C2115" t="s">
        <v>172</v>
      </c>
      <c r="D2115" t="str">
        <f>HYPERLINK("http://service.sap.com/sap/support/notes/1681350","1681350")</f>
        <v>1681350</v>
      </c>
      <c r="E2115">
        <v>1</v>
      </c>
      <c r="F2115" t="s">
        <v>2771</v>
      </c>
    </row>
    <row r="2116" spans="1:6" x14ac:dyDescent="0.25">
      <c r="A2116" t="s">
        <v>2468</v>
      </c>
      <c r="B2116" t="s">
        <v>171</v>
      </c>
      <c r="C2116" t="s">
        <v>172</v>
      </c>
      <c r="D2116" t="str">
        <f>HYPERLINK("http://service.sap.com/sap/support/notes/1684440","1684440")</f>
        <v>1684440</v>
      </c>
      <c r="E2116">
        <v>1</v>
      </c>
      <c r="F2116" t="s">
        <v>2772</v>
      </c>
    </row>
    <row r="2117" spans="1:6" x14ac:dyDescent="0.25">
      <c r="A2117" t="s">
        <v>2468</v>
      </c>
      <c r="B2117" t="s">
        <v>173</v>
      </c>
      <c r="C2117" t="s">
        <v>174</v>
      </c>
      <c r="D2117" t="str">
        <f>HYPERLINK("http://service.sap.com/sap/support/notes/1672141","1672141")</f>
        <v>1672141</v>
      </c>
      <c r="E2117">
        <v>1</v>
      </c>
      <c r="F2117" t="s">
        <v>2773</v>
      </c>
    </row>
    <row r="2118" spans="1:6" x14ac:dyDescent="0.25">
      <c r="A2118" t="s">
        <v>2468</v>
      </c>
      <c r="B2118" t="s">
        <v>173</v>
      </c>
      <c r="C2118" t="s">
        <v>174</v>
      </c>
      <c r="D2118" t="str">
        <f>HYPERLINK("http://service.sap.com/sap/support/notes/1678211","1678211")</f>
        <v>1678211</v>
      </c>
      <c r="E2118">
        <v>1</v>
      </c>
      <c r="F2118" t="s">
        <v>2774</v>
      </c>
    </row>
    <row r="2119" spans="1:6" x14ac:dyDescent="0.25">
      <c r="A2119" t="s">
        <v>2468</v>
      </c>
      <c r="B2119" t="s">
        <v>173</v>
      </c>
      <c r="C2119" t="s">
        <v>174</v>
      </c>
      <c r="D2119" t="str">
        <f>HYPERLINK("http://service.sap.com/sap/support/notes/1680723","1680723")</f>
        <v>1680723</v>
      </c>
      <c r="E2119">
        <v>1</v>
      </c>
      <c r="F2119" t="s">
        <v>2775</v>
      </c>
    </row>
    <row r="2120" spans="1:6" x14ac:dyDescent="0.25">
      <c r="A2120" t="s">
        <v>2468</v>
      </c>
      <c r="B2120" t="s">
        <v>173</v>
      </c>
      <c r="C2120" t="s">
        <v>174</v>
      </c>
      <c r="D2120" t="str">
        <f>HYPERLINK("http://service.sap.com/sap/support/notes/1683280","1683280")</f>
        <v>1683280</v>
      </c>
      <c r="E2120">
        <v>1</v>
      </c>
      <c r="F2120" t="s">
        <v>2776</v>
      </c>
    </row>
    <row r="2121" spans="1:6" x14ac:dyDescent="0.25">
      <c r="A2121" t="s">
        <v>2468</v>
      </c>
      <c r="B2121" t="s">
        <v>175</v>
      </c>
      <c r="C2121" t="s">
        <v>176</v>
      </c>
      <c r="D2121" t="str">
        <f>HYPERLINK("http://service.sap.com/sap/support/notes/1628318","1628318")</f>
        <v>1628318</v>
      </c>
      <c r="E2121">
        <v>5</v>
      </c>
      <c r="F2121" t="s">
        <v>2777</v>
      </c>
    </row>
    <row r="2122" spans="1:6" x14ac:dyDescent="0.25">
      <c r="A2122" t="s">
        <v>2468</v>
      </c>
      <c r="B2122" t="s">
        <v>175</v>
      </c>
      <c r="C2122" t="s">
        <v>176</v>
      </c>
      <c r="D2122" t="str">
        <f>HYPERLINK("http://service.sap.com/sap/support/notes/1652206","1652206")</f>
        <v>1652206</v>
      </c>
      <c r="E2122">
        <v>2</v>
      </c>
      <c r="F2122" t="s">
        <v>2778</v>
      </c>
    </row>
    <row r="2123" spans="1:6" x14ac:dyDescent="0.25">
      <c r="A2123" t="s">
        <v>2468</v>
      </c>
      <c r="B2123" t="s">
        <v>175</v>
      </c>
      <c r="C2123" t="s">
        <v>176</v>
      </c>
      <c r="D2123" t="str">
        <f>HYPERLINK("http://service.sap.com/sap/support/notes/1663785","1663785")</f>
        <v>1663785</v>
      </c>
      <c r="E2123">
        <v>3</v>
      </c>
      <c r="F2123" t="s">
        <v>2779</v>
      </c>
    </row>
    <row r="2124" spans="1:6" x14ac:dyDescent="0.25">
      <c r="A2124" t="s">
        <v>2468</v>
      </c>
      <c r="B2124" t="s">
        <v>175</v>
      </c>
      <c r="C2124" t="s">
        <v>176</v>
      </c>
      <c r="D2124" t="str">
        <f>HYPERLINK("http://service.sap.com/sap/support/notes/1667907","1667907")</f>
        <v>1667907</v>
      </c>
      <c r="E2124">
        <v>4</v>
      </c>
      <c r="F2124" t="s">
        <v>2780</v>
      </c>
    </row>
    <row r="2125" spans="1:6" x14ac:dyDescent="0.25">
      <c r="A2125" t="s">
        <v>2468</v>
      </c>
      <c r="B2125" t="s">
        <v>175</v>
      </c>
      <c r="C2125" t="s">
        <v>176</v>
      </c>
      <c r="D2125" t="str">
        <f>HYPERLINK("http://service.sap.com/sap/support/notes/1678028","1678028")</f>
        <v>1678028</v>
      </c>
      <c r="E2125">
        <v>2</v>
      </c>
      <c r="F2125" t="s">
        <v>2781</v>
      </c>
    </row>
    <row r="2126" spans="1:6" x14ac:dyDescent="0.25">
      <c r="A2126" t="s">
        <v>2468</v>
      </c>
      <c r="B2126" t="s">
        <v>177</v>
      </c>
      <c r="C2126" t="s">
        <v>178</v>
      </c>
      <c r="D2126" t="str">
        <f>HYPERLINK("http://service.sap.com/sap/support/notes/1670322","1670322")</f>
        <v>1670322</v>
      </c>
      <c r="E2126">
        <v>3</v>
      </c>
      <c r="F2126" t="s">
        <v>2782</v>
      </c>
    </row>
    <row r="2127" spans="1:6" x14ac:dyDescent="0.25">
      <c r="A2127" t="s">
        <v>2468</v>
      </c>
      <c r="B2127" t="s">
        <v>177</v>
      </c>
      <c r="C2127" t="s">
        <v>178</v>
      </c>
      <c r="D2127" t="str">
        <f>HYPERLINK("http://service.sap.com/sap/support/notes/1671089","1671089")</f>
        <v>1671089</v>
      </c>
      <c r="E2127">
        <v>6</v>
      </c>
      <c r="F2127" t="s">
        <v>2783</v>
      </c>
    </row>
    <row r="2128" spans="1:6" x14ac:dyDescent="0.25">
      <c r="A2128" t="s">
        <v>2468</v>
      </c>
      <c r="B2128" t="s">
        <v>177</v>
      </c>
      <c r="C2128" t="s">
        <v>178</v>
      </c>
      <c r="D2128" t="str">
        <f>HYPERLINK("http://service.sap.com/sap/support/notes/1675088","1675088")</f>
        <v>1675088</v>
      </c>
      <c r="E2128">
        <v>9</v>
      </c>
      <c r="F2128" t="s">
        <v>2784</v>
      </c>
    </row>
    <row r="2129" spans="1:6" x14ac:dyDescent="0.25">
      <c r="A2129" t="s">
        <v>2468</v>
      </c>
      <c r="B2129" t="s">
        <v>177</v>
      </c>
      <c r="C2129" t="s">
        <v>178</v>
      </c>
      <c r="D2129" t="str">
        <f>HYPERLINK("http://service.sap.com/sap/support/notes/1675593","1675593")</f>
        <v>1675593</v>
      </c>
      <c r="E2129">
        <v>2</v>
      </c>
      <c r="F2129" t="s">
        <v>2785</v>
      </c>
    </row>
    <row r="2130" spans="1:6" x14ac:dyDescent="0.25">
      <c r="A2130" t="s">
        <v>2468</v>
      </c>
      <c r="B2130" t="s">
        <v>177</v>
      </c>
      <c r="C2130" t="s">
        <v>178</v>
      </c>
      <c r="D2130" t="str">
        <f>HYPERLINK("http://service.sap.com/sap/support/notes/1678053","1678053")</f>
        <v>1678053</v>
      </c>
      <c r="E2130">
        <v>2</v>
      </c>
      <c r="F2130" t="s">
        <v>2786</v>
      </c>
    </row>
    <row r="2131" spans="1:6" x14ac:dyDescent="0.25">
      <c r="A2131" t="s">
        <v>2468</v>
      </c>
      <c r="B2131" t="s">
        <v>177</v>
      </c>
      <c r="C2131" t="s">
        <v>178</v>
      </c>
      <c r="D2131" t="str">
        <f>HYPERLINK("http://service.sap.com/sap/support/notes/1679786","1679786")</f>
        <v>1679786</v>
      </c>
      <c r="E2131">
        <v>3</v>
      </c>
      <c r="F2131" t="s">
        <v>2787</v>
      </c>
    </row>
    <row r="2132" spans="1:6" x14ac:dyDescent="0.25">
      <c r="A2132" t="s">
        <v>2468</v>
      </c>
      <c r="B2132" t="s">
        <v>179</v>
      </c>
      <c r="C2132" t="s">
        <v>180</v>
      </c>
      <c r="D2132" t="str">
        <f>HYPERLINK("http://service.sap.com/sap/support/notes/1665084","1665084")</f>
        <v>1665084</v>
      </c>
      <c r="E2132">
        <v>1</v>
      </c>
      <c r="F2132" t="s">
        <v>2788</v>
      </c>
    </row>
    <row r="2133" spans="1:6" x14ac:dyDescent="0.25">
      <c r="A2133" t="s">
        <v>2468</v>
      </c>
      <c r="B2133" t="s">
        <v>179</v>
      </c>
      <c r="C2133" t="s">
        <v>180</v>
      </c>
      <c r="D2133" t="str">
        <f>HYPERLINK("http://service.sap.com/sap/support/notes/1677133","1677133")</f>
        <v>1677133</v>
      </c>
      <c r="E2133">
        <v>2</v>
      </c>
      <c r="F2133" t="s">
        <v>2789</v>
      </c>
    </row>
    <row r="2134" spans="1:6" x14ac:dyDescent="0.25">
      <c r="A2134" t="s">
        <v>2468</v>
      </c>
      <c r="B2134" t="s">
        <v>179</v>
      </c>
      <c r="C2134" t="s">
        <v>180</v>
      </c>
      <c r="D2134" t="str">
        <f>HYPERLINK("http://service.sap.com/sap/support/notes/1677296","1677296")</f>
        <v>1677296</v>
      </c>
      <c r="E2134">
        <v>1</v>
      </c>
      <c r="F2134" t="s">
        <v>2790</v>
      </c>
    </row>
    <row r="2135" spans="1:6" x14ac:dyDescent="0.25">
      <c r="A2135" t="s">
        <v>2468</v>
      </c>
      <c r="B2135" t="s">
        <v>179</v>
      </c>
      <c r="C2135" t="s">
        <v>180</v>
      </c>
      <c r="D2135" t="str">
        <f>HYPERLINK("http://service.sap.com/sap/support/notes/1678167","1678167")</f>
        <v>1678167</v>
      </c>
      <c r="E2135">
        <v>1</v>
      </c>
      <c r="F2135" t="s">
        <v>2791</v>
      </c>
    </row>
    <row r="2136" spans="1:6" x14ac:dyDescent="0.25">
      <c r="A2136" t="s">
        <v>2468</v>
      </c>
      <c r="B2136" t="s">
        <v>179</v>
      </c>
      <c r="C2136" t="s">
        <v>180</v>
      </c>
      <c r="D2136" t="str">
        <f>HYPERLINK("http://service.sap.com/sap/support/notes/1680743","1680743")</f>
        <v>1680743</v>
      </c>
      <c r="E2136">
        <v>1</v>
      </c>
      <c r="F2136" t="s">
        <v>2792</v>
      </c>
    </row>
    <row r="2137" spans="1:6" x14ac:dyDescent="0.25">
      <c r="A2137" t="s">
        <v>2468</v>
      </c>
      <c r="B2137" t="s">
        <v>179</v>
      </c>
      <c r="C2137" t="s">
        <v>180</v>
      </c>
      <c r="D2137" t="str">
        <f>HYPERLINK("http://service.sap.com/sap/support/notes/1681584","1681584")</f>
        <v>1681584</v>
      </c>
      <c r="E2137">
        <v>2</v>
      </c>
      <c r="F2137" t="s">
        <v>2793</v>
      </c>
    </row>
    <row r="2138" spans="1:6" x14ac:dyDescent="0.25">
      <c r="A2138" t="s">
        <v>2468</v>
      </c>
      <c r="B2138" t="s">
        <v>179</v>
      </c>
      <c r="C2138" t="s">
        <v>180</v>
      </c>
      <c r="D2138" t="str">
        <f>HYPERLINK("http://service.sap.com/sap/support/notes/1684002","1684002")</f>
        <v>1684002</v>
      </c>
      <c r="E2138">
        <v>1</v>
      </c>
      <c r="F2138" t="s">
        <v>2794</v>
      </c>
    </row>
    <row r="2139" spans="1:6" x14ac:dyDescent="0.25">
      <c r="A2139" t="s">
        <v>2468</v>
      </c>
      <c r="B2139" t="s">
        <v>181</v>
      </c>
      <c r="C2139" t="s">
        <v>182</v>
      </c>
      <c r="D2139" t="str">
        <f>HYPERLINK("http://service.sap.com/sap/support/notes/1671364","1671364")</f>
        <v>1671364</v>
      </c>
      <c r="E2139">
        <v>2</v>
      </c>
      <c r="F2139" t="s">
        <v>2795</v>
      </c>
    </row>
    <row r="2140" spans="1:6" x14ac:dyDescent="0.25">
      <c r="A2140" t="s">
        <v>2468</v>
      </c>
      <c r="B2140" t="s">
        <v>181</v>
      </c>
      <c r="C2140" t="s">
        <v>182</v>
      </c>
      <c r="D2140" t="str">
        <f>HYPERLINK("http://service.sap.com/sap/support/notes/1671866","1671866")</f>
        <v>1671866</v>
      </c>
      <c r="E2140">
        <v>4</v>
      </c>
      <c r="F2140" t="s">
        <v>2796</v>
      </c>
    </row>
    <row r="2141" spans="1:6" x14ac:dyDescent="0.25">
      <c r="A2141" t="s">
        <v>2468</v>
      </c>
      <c r="B2141" t="s">
        <v>181</v>
      </c>
      <c r="C2141" t="s">
        <v>182</v>
      </c>
      <c r="D2141" t="str">
        <f>HYPERLINK("http://service.sap.com/sap/support/notes/1674273","1674273")</f>
        <v>1674273</v>
      </c>
      <c r="E2141">
        <v>2</v>
      </c>
      <c r="F2141" t="s">
        <v>2446</v>
      </c>
    </row>
    <row r="2142" spans="1:6" x14ac:dyDescent="0.25">
      <c r="A2142" t="s">
        <v>2468</v>
      </c>
      <c r="B2142" t="s">
        <v>185</v>
      </c>
      <c r="C2142" t="s">
        <v>186</v>
      </c>
      <c r="D2142" t="str">
        <f>HYPERLINK("http://service.sap.com/sap/support/notes/1669497","1669497")</f>
        <v>1669497</v>
      </c>
      <c r="E2142">
        <v>1</v>
      </c>
      <c r="F2142" t="s">
        <v>2797</v>
      </c>
    </row>
    <row r="2143" spans="1:6" x14ac:dyDescent="0.25">
      <c r="A2143" t="s">
        <v>2468</v>
      </c>
      <c r="B2143" t="s">
        <v>185</v>
      </c>
      <c r="C2143" t="s">
        <v>186</v>
      </c>
      <c r="D2143" t="str">
        <f>HYPERLINK("http://service.sap.com/sap/support/notes/1678092","1678092")</f>
        <v>1678092</v>
      </c>
      <c r="E2143">
        <v>3</v>
      </c>
      <c r="F2143" t="s">
        <v>2798</v>
      </c>
    </row>
    <row r="2144" spans="1:6" x14ac:dyDescent="0.25">
      <c r="A2144" t="s">
        <v>2468</v>
      </c>
      <c r="B2144" t="s">
        <v>185</v>
      </c>
      <c r="C2144" t="s">
        <v>186</v>
      </c>
      <c r="D2144" t="str">
        <f>HYPERLINK("http://service.sap.com/sap/support/notes/1682275","1682275")</f>
        <v>1682275</v>
      </c>
      <c r="E2144">
        <v>1</v>
      </c>
      <c r="F2144" t="s">
        <v>2799</v>
      </c>
    </row>
    <row r="2145" spans="1:6" x14ac:dyDescent="0.25">
      <c r="A2145" t="s">
        <v>2468</v>
      </c>
      <c r="B2145" t="s">
        <v>187</v>
      </c>
      <c r="C2145" t="s">
        <v>82</v>
      </c>
      <c r="D2145" t="str">
        <f>HYPERLINK("http://service.sap.com/sap/support/notes/1680677","1680677")</f>
        <v>1680677</v>
      </c>
      <c r="E2145">
        <v>1</v>
      </c>
      <c r="F2145" t="s">
        <v>2800</v>
      </c>
    </row>
    <row r="2146" spans="1:6" x14ac:dyDescent="0.25">
      <c r="A2146" t="s">
        <v>2468</v>
      </c>
      <c r="B2146" t="s">
        <v>188</v>
      </c>
      <c r="C2146" t="s">
        <v>60</v>
      </c>
      <c r="D2146" t="str">
        <f>HYPERLINK("http://service.sap.com/sap/support/notes/1678250","1678250")</f>
        <v>1678250</v>
      </c>
      <c r="E2146">
        <v>1</v>
      </c>
      <c r="F2146" t="s">
        <v>2801</v>
      </c>
    </row>
    <row r="2147" spans="1:6" x14ac:dyDescent="0.25">
      <c r="A2147" t="s">
        <v>2468</v>
      </c>
      <c r="B2147" t="s">
        <v>188</v>
      </c>
      <c r="C2147" t="s">
        <v>60</v>
      </c>
      <c r="D2147" t="str">
        <f>HYPERLINK("http://service.sap.com/sap/support/notes/1678778","1678778")</f>
        <v>1678778</v>
      </c>
      <c r="E2147">
        <v>1</v>
      </c>
      <c r="F2147" t="s">
        <v>2802</v>
      </c>
    </row>
    <row r="2148" spans="1:6" x14ac:dyDescent="0.25">
      <c r="A2148" t="s">
        <v>2468</v>
      </c>
      <c r="B2148" t="s">
        <v>188</v>
      </c>
      <c r="C2148" t="s">
        <v>60</v>
      </c>
      <c r="D2148" t="str">
        <f>HYPERLINK("http://service.sap.com/sap/support/notes/1679672","1679672")</f>
        <v>1679672</v>
      </c>
      <c r="E2148">
        <v>3</v>
      </c>
      <c r="F2148" t="s">
        <v>2803</v>
      </c>
    </row>
    <row r="2149" spans="1:6" x14ac:dyDescent="0.25">
      <c r="A2149" t="s">
        <v>2468</v>
      </c>
      <c r="B2149" t="s">
        <v>188</v>
      </c>
      <c r="C2149" t="s">
        <v>60</v>
      </c>
      <c r="D2149" t="str">
        <f>HYPERLINK("http://service.sap.com/sap/support/notes/1682382","1682382")</f>
        <v>1682382</v>
      </c>
      <c r="E2149">
        <v>1</v>
      </c>
      <c r="F2149" t="s">
        <v>2804</v>
      </c>
    </row>
    <row r="2150" spans="1:6" x14ac:dyDescent="0.25">
      <c r="A2150" t="s">
        <v>2468</v>
      </c>
      <c r="B2150" t="s">
        <v>191</v>
      </c>
      <c r="C2150" t="s">
        <v>62</v>
      </c>
      <c r="D2150" t="str">
        <f>HYPERLINK("http://service.sap.com/sap/support/notes/1608001","1608001")</f>
        <v>1608001</v>
      </c>
      <c r="E2150">
        <v>2</v>
      </c>
      <c r="F2150" t="s">
        <v>2805</v>
      </c>
    </row>
    <row r="2151" spans="1:6" x14ac:dyDescent="0.25">
      <c r="A2151" t="s">
        <v>2468</v>
      </c>
      <c r="B2151" t="s">
        <v>335</v>
      </c>
      <c r="C2151" t="s">
        <v>2455</v>
      </c>
      <c r="D2151" t="str">
        <f>HYPERLINK("http://service.sap.com/sap/support/notes/1679873","1679873")</f>
        <v>1679873</v>
      </c>
      <c r="E2151">
        <v>1</v>
      </c>
      <c r="F2151" t="s">
        <v>2806</v>
      </c>
    </row>
    <row r="2152" spans="1:6" x14ac:dyDescent="0.25">
      <c r="A2152" t="s">
        <v>2468</v>
      </c>
      <c r="B2152" t="s">
        <v>335</v>
      </c>
      <c r="C2152" t="s">
        <v>2455</v>
      </c>
      <c r="D2152" t="str">
        <f>HYPERLINK("http://service.sap.com/sap/support/notes/1681093","1681093")</f>
        <v>1681093</v>
      </c>
      <c r="E2152">
        <v>1</v>
      </c>
      <c r="F2152" t="s">
        <v>2807</v>
      </c>
    </row>
    <row r="2153" spans="1:6" x14ac:dyDescent="0.25">
      <c r="A2153" t="s">
        <v>2468</v>
      </c>
      <c r="B2153" t="s">
        <v>196</v>
      </c>
      <c r="C2153" t="s">
        <v>197</v>
      </c>
      <c r="D2153" t="str">
        <f>HYPERLINK("http://service.sap.com/sap/support/notes/1673102","1673102")</f>
        <v>1673102</v>
      </c>
      <c r="E2153">
        <v>2</v>
      </c>
      <c r="F2153" t="s">
        <v>2808</v>
      </c>
    </row>
    <row r="2154" spans="1:6" x14ac:dyDescent="0.25">
      <c r="A2154" t="s">
        <v>2468</v>
      </c>
      <c r="B2154" t="s">
        <v>196</v>
      </c>
      <c r="C2154" t="s">
        <v>197</v>
      </c>
      <c r="D2154" t="str">
        <f>HYPERLINK("http://service.sap.com/sap/support/notes/1674123","1674123")</f>
        <v>1674123</v>
      </c>
      <c r="E2154">
        <v>4</v>
      </c>
      <c r="F2154" t="s">
        <v>2463</v>
      </c>
    </row>
    <row r="2155" spans="1:6" x14ac:dyDescent="0.25">
      <c r="A2155" t="s">
        <v>2468</v>
      </c>
      <c r="B2155" t="s">
        <v>196</v>
      </c>
      <c r="C2155" t="s">
        <v>197</v>
      </c>
      <c r="D2155" t="str">
        <f>HYPERLINK("http://service.sap.com/sap/support/notes/1675058","1675058")</f>
        <v>1675058</v>
      </c>
      <c r="E2155">
        <v>1</v>
      </c>
      <c r="F2155" t="s">
        <v>2809</v>
      </c>
    </row>
    <row r="2156" spans="1:6" x14ac:dyDescent="0.25">
      <c r="A2156" t="s">
        <v>2468</v>
      </c>
      <c r="B2156" t="s">
        <v>196</v>
      </c>
      <c r="C2156" t="s">
        <v>197</v>
      </c>
      <c r="D2156" t="str">
        <f>HYPERLINK("http://service.sap.com/sap/support/notes/1675704","1675704")</f>
        <v>1675704</v>
      </c>
      <c r="E2156">
        <v>6</v>
      </c>
      <c r="F2156" t="s">
        <v>2810</v>
      </c>
    </row>
    <row r="2157" spans="1:6" x14ac:dyDescent="0.25">
      <c r="A2157" t="s">
        <v>2468</v>
      </c>
      <c r="B2157" t="s">
        <v>196</v>
      </c>
      <c r="C2157" t="s">
        <v>197</v>
      </c>
      <c r="D2157" t="str">
        <f>HYPERLINK("http://service.sap.com/sap/support/notes/1678015","1678015")</f>
        <v>1678015</v>
      </c>
      <c r="E2157">
        <v>1</v>
      </c>
      <c r="F2157" t="s">
        <v>2811</v>
      </c>
    </row>
    <row r="2158" spans="1:6" x14ac:dyDescent="0.25">
      <c r="A2158" t="s">
        <v>2468</v>
      </c>
      <c r="B2158" t="s">
        <v>196</v>
      </c>
      <c r="C2158" t="s">
        <v>197</v>
      </c>
      <c r="D2158" t="str">
        <f>HYPERLINK("http://service.sap.com/sap/support/notes/1678451","1678451")</f>
        <v>1678451</v>
      </c>
      <c r="E2158">
        <v>2</v>
      </c>
      <c r="F2158" t="s">
        <v>2812</v>
      </c>
    </row>
    <row r="2159" spans="1:6" x14ac:dyDescent="0.25">
      <c r="A2159" t="s">
        <v>2468</v>
      </c>
      <c r="B2159" t="s">
        <v>196</v>
      </c>
      <c r="C2159" t="s">
        <v>197</v>
      </c>
      <c r="D2159" t="str">
        <f>HYPERLINK("http://service.sap.com/sap/support/notes/1682165","1682165")</f>
        <v>1682165</v>
      </c>
      <c r="E2159">
        <v>4</v>
      </c>
      <c r="F2159" t="s">
        <v>2813</v>
      </c>
    </row>
    <row r="2160" spans="1:6" x14ac:dyDescent="0.25">
      <c r="A2160" t="s">
        <v>2468</v>
      </c>
      <c r="B2160" t="s">
        <v>196</v>
      </c>
      <c r="C2160" t="s">
        <v>197</v>
      </c>
      <c r="D2160" t="str">
        <f>HYPERLINK("http://service.sap.com/sap/support/notes/1685856","1685856")</f>
        <v>1685856</v>
      </c>
      <c r="E2160">
        <v>1</v>
      </c>
      <c r="F2160" t="s">
        <v>2814</v>
      </c>
    </row>
    <row r="2161" spans="1:6" x14ac:dyDescent="0.25">
      <c r="A2161" t="s">
        <v>2468</v>
      </c>
      <c r="B2161" t="s">
        <v>198</v>
      </c>
      <c r="C2161" t="s">
        <v>199</v>
      </c>
      <c r="D2161" t="str">
        <f>HYPERLINK("http://service.sap.com/sap/support/notes/1659612","1659612")</f>
        <v>1659612</v>
      </c>
      <c r="E2161">
        <v>3</v>
      </c>
      <c r="F2161" t="s">
        <v>2815</v>
      </c>
    </row>
    <row r="2162" spans="1:6" x14ac:dyDescent="0.25">
      <c r="A2162" t="s">
        <v>2468</v>
      </c>
      <c r="B2162" t="s">
        <v>198</v>
      </c>
      <c r="C2162" t="s">
        <v>199</v>
      </c>
      <c r="D2162" t="str">
        <f>HYPERLINK("http://service.sap.com/sap/support/notes/1668855","1668855")</f>
        <v>1668855</v>
      </c>
      <c r="E2162">
        <v>5</v>
      </c>
      <c r="F2162" t="s">
        <v>2816</v>
      </c>
    </row>
    <row r="2163" spans="1:6" x14ac:dyDescent="0.25">
      <c r="A2163" t="s">
        <v>2468</v>
      </c>
      <c r="B2163" t="s">
        <v>200</v>
      </c>
      <c r="C2163" t="s">
        <v>201</v>
      </c>
      <c r="D2163" t="str">
        <f>HYPERLINK("http://service.sap.com/sap/support/notes/1659378","1659378")</f>
        <v>1659378</v>
      </c>
      <c r="E2163">
        <v>2</v>
      </c>
      <c r="F2163" t="s">
        <v>2817</v>
      </c>
    </row>
    <row r="2164" spans="1:6" x14ac:dyDescent="0.25">
      <c r="A2164" t="s">
        <v>2468</v>
      </c>
      <c r="B2164" t="s">
        <v>203</v>
      </c>
      <c r="C2164" t="s">
        <v>204</v>
      </c>
    </row>
    <row r="2165" spans="1:6" x14ac:dyDescent="0.25">
      <c r="A2165" t="s">
        <v>2468</v>
      </c>
      <c r="B2165" t="s">
        <v>350</v>
      </c>
      <c r="C2165" t="s">
        <v>592</v>
      </c>
      <c r="D2165" t="str">
        <f>HYPERLINK("http://service.sap.com/sap/support/notes/1662380","1662380")</f>
        <v>1662380</v>
      </c>
      <c r="E2165">
        <v>9</v>
      </c>
      <c r="F2165" t="s">
        <v>2818</v>
      </c>
    </row>
    <row r="2166" spans="1:6" x14ac:dyDescent="0.25">
      <c r="A2166" t="s">
        <v>2468</v>
      </c>
      <c r="B2166" t="s">
        <v>205</v>
      </c>
      <c r="C2166" t="s">
        <v>206</v>
      </c>
      <c r="D2166" t="str">
        <f>HYPERLINK("http://service.sap.com/sap/support/notes/1530306","1530306")</f>
        <v>1530306</v>
      </c>
      <c r="E2166">
        <v>2</v>
      </c>
      <c r="F2166" t="s">
        <v>2819</v>
      </c>
    </row>
    <row r="2167" spans="1:6" x14ac:dyDescent="0.25">
      <c r="A2167" t="s">
        <v>2468</v>
      </c>
      <c r="B2167" t="s">
        <v>205</v>
      </c>
      <c r="C2167" t="s">
        <v>206</v>
      </c>
      <c r="D2167" t="str">
        <f>HYPERLINK("http://service.sap.com/sap/support/notes/1671207","1671207")</f>
        <v>1671207</v>
      </c>
      <c r="E2167">
        <v>2</v>
      </c>
      <c r="F2167" t="s">
        <v>2820</v>
      </c>
    </row>
    <row r="2168" spans="1:6" x14ac:dyDescent="0.25">
      <c r="A2168" t="s">
        <v>2468</v>
      </c>
      <c r="B2168" t="s">
        <v>207</v>
      </c>
      <c r="C2168" t="s">
        <v>208</v>
      </c>
    </row>
    <row r="2169" spans="1:6" x14ac:dyDescent="0.25">
      <c r="A2169" t="s">
        <v>2468</v>
      </c>
      <c r="B2169" t="s">
        <v>209</v>
      </c>
      <c r="C2169" t="s">
        <v>210</v>
      </c>
    </row>
    <row r="2170" spans="1:6" x14ac:dyDescent="0.25">
      <c r="A2170" t="s">
        <v>2468</v>
      </c>
      <c r="B2170" t="s">
        <v>2220</v>
      </c>
      <c r="C2170" t="s">
        <v>136</v>
      </c>
    </row>
    <row r="2171" spans="1:6" x14ac:dyDescent="0.25">
      <c r="A2171" t="s">
        <v>2468</v>
      </c>
      <c r="B2171" t="s">
        <v>2221</v>
      </c>
      <c r="C2171" t="s">
        <v>77</v>
      </c>
      <c r="D2171" t="str">
        <f>HYPERLINK("http://service.sap.com/sap/support/notes/1673831","1673831")</f>
        <v>1673831</v>
      </c>
      <c r="E2171">
        <v>4</v>
      </c>
      <c r="F2171" t="s">
        <v>2821</v>
      </c>
    </row>
    <row r="2172" spans="1:6" x14ac:dyDescent="0.25">
      <c r="A2172" t="s">
        <v>2468</v>
      </c>
      <c r="B2172" t="s">
        <v>389</v>
      </c>
      <c r="C2172" t="s">
        <v>390</v>
      </c>
    </row>
    <row r="2173" spans="1:6" x14ac:dyDescent="0.25">
      <c r="A2173" t="s">
        <v>2468</v>
      </c>
      <c r="B2173" t="s">
        <v>391</v>
      </c>
      <c r="C2173" t="s">
        <v>392</v>
      </c>
      <c r="D2173" t="str">
        <f>HYPERLINK("http://service.sap.com/sap/support/notes/1646554","1646554")</f>
        <v>1646554</v>
      </c>
      <c r="E2173">
        <v>1</v>
      </c>
      <c r="F2173" t="s">
        <v>2822</v>
      </c>
    </row>
    <row r="2174" spans="1:6" x14ac:dyDescent="0.25">
      <c r="A2174" t="s">
        <v>2823</v>
      </c>
      <c r="B2174" t="s">
        <v>5</v>
      </c>
      <c r="C2174" t="s">
        <v>6</v>
      </c>
    </row>
    <row r="2175" spans="1:6" x14ac:dyDescent="0.25">
      <c r="A2175" t="s">
        <v>2823</v>
      </c>
      <c r="B2175" t="s">
        <v>7</v>
      </c>
      <c r="C2175" t="s">
        <v>8</v>
      </c>
    </row>
    <row r="2176" spans="1:6" x14ac:dyDescent="0.25">
      <c r="A2176" t="s">
        <v>2823</v>
      </c>
      <c r="B2176" t="s">
        <v>11</v>
      </c>
      <c r="C2176" t="s">
        <v>12</v>
      </c>
      <c r="D2176" t="str">
        <f>HYPERLINK("http://service.sap.com/sap/support/notes/1655719","1655719")</f>
        <v>1655719</v>
      </c>
      <c r="E2176">
        <v>2</v>
      </c>
      <c r="F2176" t="s">
        <v>2824</v>
      </c>
    </row>
    <row r="2177" spans="1:6" x14ac:dyDescent="0.25">
      <c r="A2177" t="s">
        <v>2823</v>
      </c>
      <c r="B2177" t="s">
        <v>11</v>
      </c>
      <c r="C2177" t="s">
        <v>12</v>
      </c>
      <c r="D2177" t="str">
        <f>HYPERLINK("http://service.sap.com/sap/support/notes/1688201","1688201")</f>
        <v>1688201</v>
      </c>
      <c r="E2177">
        <v>2</v>
      </c>
      <c r="F2177" t="s">
        <v>2824</v>
      </c>
    </row>
    <row r="2178" spans="1:6" x14ac:dyDescent="0.25">
      <c r="A2178" t="s">
        <v>2823</v>
      </c>
      <c r="B2178" t="s">
        <v>15</v>
      </c>
      <c r="C2178" t="s">
        <v>16</v>
      </c>
    </row>
    <row r="2179" spans="1:6" x14ac:dyDescent="0.25">
      <c r="A2179" t="s">
        <v>2823</v>
      </c>
      <c r="B2179" t="s">
        <v>17</v>
      </c>
      <c r="C2179" t="s">
        <v>18</v>
      </c>
    </row>
    <row r="2180" spans="1:6" x14ac:dyDescent="0.25">
      <c r="A2180" t="s">
        <v>2823</v>
      </c>
      <c r="B2180" t="s">
        <v>19</v>
      </c>
      <c r="C2180" t="s">
        <v>20</v>
      </c>
      <c r="D2180" t="str">
        <f>HYPERLINK("http://service.sap.com/sap/support/notes/1689972","1689972")</f>
        <v>1689972</v>
      </c>
      <c r="E2180">
        <v>2</v>
      </c>
      <c r="F2180" t="s">
        <v>2825</v>
      </c>
    </row>
    <row r="2181" spans="1:6" x14ac:dyDescent="0.25">
      <c r="A2181" t="s">
        <v>2823</v>
      </c>
      <c r="B2181" t="s">
        <v>19</v>
      </c>
      <c r="C2181" t="s">
        <v>20</v>
      </c>
      <c r="D2181" t="str">
        <f>HYPERLINK("http://service.sap.com/sap/support/notes/1695205","1695205")</f>
        <v>1695205</v>
      </c>
      <c r="E2181">
        <v>1</v>
      </c>
      <c r="F2181" t="s">
        <v>2826</v>
      </c>
    </row>
    <row r="2182" spans="1:6" x14ac:dyDescent="0.25">
      <c r="A2182" t="s">
        <v>2823</v>
      </c>
      <c r="B2182" t="s">
        <v>448</v>
      </c>
      <c r="C2182" t="s">
        <v>449</v>
      </c>
      <c r="D2182" t="str">
        <f>HYPERLINK("http://service.sap.com/sap/support/notes/1689054","1689054")</f>
        <v>1689054</v>
      </c>
      <c r="E2182">
        <v>3</v>
      </c>
      <c r="F2182" t="s">
        <v>2827</v>
      </c>
    </row>
    <row r="2183" spans="1:6" x14ac:dyDescent="0.25">
      <c r="A2183" t="s">
        <v>2823</v>
      </c>
      <c r="B2183" t="s">
        <v>21</v>
      </c>
      <c r="C2183" t="s">
        <v>12</v>
      </c>
    </row>
    <row r="2184" spans="1:6" x14ac:dyDescent="0.25">
      <c r="A2184" t="s">
        <v>2823</v>
      </c>
      <c r="B2184" t="s">
        <v>29</v>
      </c>
      <c r="C2184" t="s">
        <v>30</v>
      </c>
    </row>
    <row r="2185" spans="1:6" x14ac:dyDescent="0.25">
      <c r="A2185" t="s">
        <v>2823</v>
      </c>
      <c r="B2185" t="s">
        <v>31</v>
      </c>
      <c r="C2185" t="s">
        <v>32</v>
      </c>
      <c r="D2185" t="str">
        <f>HYPERLINK("http://service.sap.com/sap/support/notes/1625786","1625786")</f>
        <v>1625786</v>
      </c>
      <c r="E2185">
        <v>5</v>
      </c>
      <c r="F2185" t="s">
        <v>2828</v>
      </c>
    </row>
    <row r="2186" spans="1:6" x14ac:dyDescent="0.25">
      <c r="A2186" t="s">
        <v>2823</v>
      </c>
      <c r="B2186" t="s">
        <v>31</v>
      </c>
      <c r="C2186" t="s">
        <v>32</v>
      </c>
      <c r="D2186" t="str">
        <f>HYPERLINK("http://service.sap.com/sap/support/notes/1681916","1681916")</f>
        <v>1681916</v>
      </c>
      <c r="E2186">
        <v>2</v>
      </c>
      <c r="F2186" t="s">
        <v>2829</v>
      </c>
    </row>
    <row r="2187" spans="1:6" x14ac:dyDescent="0.25">
      <c r="A2187" t="s">
        <v>2823</v>
      </c>
      <c r="B2187" t="s">
        <v>31</v>
      </c>
      <c r="C2187" t="s">
        <v>32</v>
      </c>
      <c r="D2187" t="str">
        <f>HYPERLINK("http://service.sap.com/sap/support/notes/1692896","1692896")</f>
        <v>1692896</v>
      </c>
      <c r="E2187">
        <v>4</v>
      </c>
      <c r="F2187" t="s">
        <v>2830</v>
      </c>
    </row>
    <row r="2188" spans="1:6" x14ac:dyDescent="0.25">
      <c r="A2188" t="s">
        <v>2823</v>
      </c>
      <c r="B2188" t="s">
        <v>31</v>
      </c>
      <c r="C2188" t="s">
        <v>32</v>
      </c>
      <c r="D2188" t="str">
        <f>HYPERLINK("http://service.sap.com/sap/support/notes/1695388","1695388")</f>
        <v>1695388</v>
      </c>
      <c r="E2188">
        <v>3</v>
      </c>
      <c r="F2188" t="s">
        <v>2831</v>
      </c>
    </row>
    <row r="2189" spans="1:6" x14ac:dyDescent="0.25">
      <c r="A2189" t="s">
        <v>2823</v>
      </c>
      <c r="B2189" t="s">
        <v>33</v>
      </c>
      <c r="C2189" t="s">
        <v>34</v>
      </c>
      <c r="D2189" t="str">
        <f>HYPERLINK("http://service.sap.com/sap/support/notes/1686768","1686768")</f>
        <v>1686768</v>
      </c>
      <c r="E2189">
        <v>1</v>
      </c>
      <c r="F2189" t="s">
        <v>2472</v>
      </c>
    </row>
    <row r="2190" spans="1:6" x14ac:dyDescent="0.25">
      <c r="A2190" t="s">
        <v>2823</v>
      </c>
      <c r="B2190" t="s">
        <v>33</v>
      </c>
      <c r="C2190" t="s">
        <v>34</v>
      </c>
      <c r="D2190" t="str">
        <f>HYPERLINK("http://service.sap.com/sap/support/notes/1686858","1686858")</f>
        <v>1686858</v>
      </c>
      <c r="E2190">
        <v>1</v>
      </c>
      <c r="F2190" t="s">
        <v>2832</v>
      </c>
    </row>
    <row r="2191" spans="1:6" x14ac:dyDescent="0.25">
      <c r="A2191" t="s">
        <v>2823</v>
      </c>
      <c r="B2191" t="s">
        <v>33</v>
      </c>
      <c r="C2191" t="s">
        <v>34</v>
      </c>
      <c r="D2191" t="str">
        <f>HYPERLINK("http://service.sap.com/sap/support/notes/1687879","1687879")</f>
        <v>1687879</v>
      </c>
      <c r="E2191">
        <v>1</v>
      </c>
      <c r="F2191" t="s">
        <v>2833</v>
      </c>
    </row>
    <row r="2192" spans="1:6" x14ac:dyDescent="0.25">
      <c r="A2192" t="s">
        <v>2823</v>
      </c>
      <c r="B2192" t="s">
        <v>33</v>
      </c>
      <c r="C2192" t="s">
        <v>34</v>
      </c>
      <c r="D2192" t="str">
        <f>HYPERLINK("http://service.sap.com/sap/support/notes/1695955","1695955")</f>
        <v>1695955</v>
      </c>
      <c r="E2192">
        <v>1</v>
      </c>
      <c r="F2192" t="s">
        <v>2834</v>
      </c>
    </row>
    <row r="2193" spans="1:6" x14ac:dyDescent="0.25">
      <c r="A2193" t="s">
        <v>2823</v>
      </c>
      <c r="B2193" t="s">
        <v>41</v>
      </c>
      <c r="C2193" t="s">
        <v>42</v>
      </c>
      <c r="D2193" t="str">
        <f>HYPERLINK("http://service.sap.com/sap/support/notes/700094","700094")</f>
        <v>700094</v>
      </c>
      <c r="E2193">
        <v>8</v>
      </c>
      <c r="F2193" t="s">
        <v>252</v>
      </c>
    </row>
    <row r="2194" spans="1:6" x14ac:dyDescent="0.25">
      <c r="A2194" t="s">
        <v>2823</v>
      </c>
      <c r="B2194" t="s">
        <v>41</v>
      </c>
      <c r="C2194" t="s">
        <v>42</v>
      </c>
      <c r="D2194" t="str">
        <f>HYPERLINK("http://service.sap.com/sap/support/notes/1686808","1686808")</f>
        <v>1686808</v>
      </c>
      <c r="E2194">
        <v>1</v>
      </c>
      <c r="F2194" t="s">
        <v>2835</v>
      </c>
    </row>
    <row r="2195" spans="1:6" x14ac:dyDescent="0.25">
      <c r="A2195" t="s">
        <v>2823</v>
      </c>
      <c r="B2195" t="s">
        <v>41</v>
      </c>
      <c r="C2195" t="s">
        <v>42</v>
      </c>
      <c r="D2195" t="str">
        <f>HYPERLINK("http://service.sap.com/sap/support/notes/1693582","1693582")</f>
        <v>1693582</v>
      </c>
      <c r="E2195">
        <v>1</v>
      </c>
      <c r="F2195" t="s">
        <v>2836</v>
      </c>
    </row>
    <row r="2196" spans="1:6" x14ac:dyDescent="0.25">
      <c r="A2196" t="s">
        <v>2823</v>
      </c>
      <c r="B2196" t="s">
        <v>43</v>
      </c>
      <c r="C2196" t="s">
        <v>44</v>
      </c>
      <c r="D2196" t="str">
        <f>HYPERLINK("http://service.sap.com/sap/support/notes/1642931","1642931")</f>
        <v>1642931</v>
      </c>
      <c r="E2196">
        <v>1</v>
      </c>
      <c r="F2196" t="s">
        <v>2837</v>
      </c>
    </row>
    <row r="2197" spans="1:6" x14ac:dyDescent="0.25">
      <c r="A2197" t="s">
        <v>2823</v>
      </c>
      <c r="B2197" t="s">
        <v>43</v>
      </c>
      <c r="C2197" t="s">
        <v>44</v>
      </c>
      <c r="D2197" t="str">
        <f>HYPERLINK("http://service.sap.com/sap/support/notes/1654029","1654029")</f>
        <v>1654029</v>
      </c>
      <c r="E2197">
        <v>1</v>
      </c>
      <c r="F2197" t="s">
        <v>2838</v>
      </c>
    </row>
    <row r="2198" spans="1:6" x14ac:dyDescent="0.25">
      <c r="A2198" t="s">
        <v>2823</v>
      </c>
      <c r="B2198" t="s">
        <v>43</v>
      </c>
      <c r="C2198" t="s">
        <v>44</v>
      </c>
      <c r="D2198" t="str">
        <f>HYPERLINK("http://service.sap.com/sap/support/notes/1682597","1682597")</f>
        <v>1682597</v>
      </c>
      <c r="E2198">
        <v>3</v>
      </c>
      <c r="F2198" t="s">
        <v>2839</v>
      </c>
    </row>
    <row r="2199" spans="1:6" x14ac:dyDescent="0.25">
      <c r="A2199" t="s">
        <v>2823</v>
      </c>
      <c r="B2199" t="s">
        <v>43</v>
      </c>
      <c r="C2199" t="s">
        <v>44</v>
      </c>
      <c r="D2199" t="str">
        <f>HYPERLINK("http://service.sap.com/sap/support/notes/1686971","1686971")</f>
        <v>1686971</v>
      </c>
      <c r="E2199">
        <v>2</v>
      </c>
      <c r="F2199" t="s">
        <v>2840</v>
      </c>
    </row>
    <row r="2200" spans="1:6" x14ac:dyDescent="0.25">
      <c r="A2200" t="s">
        <v>2823</v>
      </c>
      <c r="B2200" t="s">
        <v>43</v>
      </c>
      <c r="C2200" t="s">
        <v>44</v>
      </c>
      <c r="D2200" t="str">
        <f>HYPERLINK("http://service.sap.com/sap/support/notes/1690760","1690760")</f>
        <v>1690760</v>
      </c>
      <c r="E2200">
        <v>1</v>
      </c>
      <c r="F2200" t="s">
        <v>2841</v>
      </c>
    </row>
    <row r="2201" spans="1:6" x14ac:dyDescent="0.25">
      <c r="A2201" t="s">
        <v>2823</v>
      </c>
      <c r="B2201" t="s">
        <v>43</v>
      </c>
      <c r="C2201" t="s">
        <v>44</v>
      </c>
      <c r="D2201" t="str">
        <f>HYPERLINK("http://service.sap.com/sap/support/notes/1691891","1691891")</f>
        <v>1691891</v>
      </c>
      <c r="E2201">
        <v>1</v>
      </c>
      <c r="F2201" t="s">
        <v>2842</v>
      </c>
    </row>
    <row r="2202" spans="1:6" x14ac:dyDescent="0.25">
      <c r="A2202" t="s">
        <v>2823</v>
      </c>
      <c r="B2202" t="s">
        <v>43</v>
      </c>
      <c r="C2202" t="s">
        <v>44</v>
      </c>
      <c r="D2202" t="str">
        <f>HYPERLINK("http://service.sap.com/sap/support/notes/1692015","1692015")</f>
        <v>1692015</v>
      </c>
      <c r="E2202">
        <v>1</v>
      </c>
      <c r="F2202" t="s">
        <v>2843</v>
      </c>
    </row>
    <row r="2203" spans="1:6" x14ac:dyDescent="0.25">
      <c r="A2203" t="s">
        <v>2823</v>
      </c>
      <c r="B2203" t="s">
        <v>43</v>
      </c>
      <c r="C2203" t="s">
        <v>44</v>
      </c>
      <c r="D2203" t="str">
        <f>HYPERLINK("http://service.sap.com/sap/support/notes/1692718","1692718")</f>
        <v>1692718</v>
      </c>
      <c r="E2203">
        <v>3</v>
      </c>
      <c r="F2203" t="s">
        <v>2844</v>
      </c>
    </row>
    <row r="2204" spans="1:6" x14ac:dyDescent="0.25">
      <c r="A2204" t="s">
        <v>2823</v>
      </c>
      <c r="B2204" t="s">
        <v>43</v>
      </c>
      <c r="C2204" t="s">
        <v>44</v>
      </c>
      <c r="D2204" t="str">
        <f>HYPERLINK("http://service.sap.com/sap/support/notes/1695811","1695811")</f>
        <v>1695811</v>
      </c>
      <c r="E2204">
        <v>6</v>
      </c>
      <c r="F2204" t="s">
        <v>2845</v>
      </c>
    </row>
    <row r="2205" spans="1:6" x14ac:dyDescent="0.25">
      <c r="A2205" t="s">
        <v>2823</v>
      </c>
      <c r="B2205" t="s">
        <v>256</v>
      </c>
      <c r="C2205" t="s">
        <v>165</v>
      </c>
      <c r="D2205" t="str">
        <f>HYPERLINK("http://service.sap.com/sap/support/notes/1686160","1686160")</f>
        <v>1686160</v>
      </c>
      <c r="E2205">
        <v>2</v>
      </c>
      <c r="F2205" t="s">
        <v>2846</v>
      </c>
    </row>
    <row r="2206" spans="1:6" x14ac:dyDescent="0.25">
      <c r="A2206" t="s">
        <v>2823</v>
      </c>
      <c r="B2206" t="s">
        <v>57</v>
      </c>
      <c r="C2206" t="s">
        <v>58</v>
      </c>
      <c r="D2206" t="str">
        <f>HYPERLINK("http://service.sap.com/sap/support/notes/1678908","1678908")</f>
        <v>1678908</v>
      </c>
      <c r="E2206">
        <v>4</v>
      </c>
      <c r="F2206" t="s">
        <v>2847</v>
      </c>
    </row>
    <row r="2207" spans="1:6" x14ac:dyDescent="0.25">
      <c r="A2207" t="s">
        <v>2823</v>
      </c>
      <c r="B2207" t="s">
        <v>57</v>
      </c>
      <c r="C2207" t="s">
        <v>58</v>
      </c>
      <c r="D2207" t="str">
        <f>HYPERLINK("http://service.sap.com/sap/support/notes/1684405","1684405")</f>
        <v>1684405</v>
      </c>
      <c r="E2207">
        <v>3</v>
      </c>
      <c r="F2207" t="s">
        <v>2848</v>
      </c>
    </row>
    <row r="2208" spans="1:6" x14ac:dyDescent="0.25">
      <c r="A2208" t="s">
        <v>2823</v>
      </c>
      <c r="B2208" t="s">
        <v>57</v>
      </c>
      <c r="C2208" t="s">
        <v>58</v>
      </c>
      <c r="D2208" t="str">
        <f>HYPERLINK("http://service.sap.com/sap/support/notes/1685078","1685078")</f>
        <v>1685078</v>
      </c>
      <c r="E2208">
        <v>3</v>
      </c>
      <c r="F2208" t="s">
        <v>2493</v>
      </c>
    </row>
    <row r="2209" spans="1:6" x14ac:dyDescent="0.25">
      <c r="A2209" t="s">
        <v>2823</v>
      </c>
      <c r="B2209" t="s">
        <v>57</v>
      </c>
      <c r="C2209" t="s">
        <v>58</v>
      </c>
      <c r="D2209" t="str">
        <f>HYPERLINK("http://service.sap.com/sap/support/notes/1685389","1685389")</f>
        <v>1685389</v>
      </c>
      <c r="E2209">
        <v>1</v>
      </c>
      <c r="F2209" t="s">
        <v>2849</v>
      </c>
    </row>
    <row r="2210" spans="1:6" x14ac:dyDescent="0.25">
      <c r="A2210" t="s">
        <v>2823</v>
      </c>
      <c r="B2210" t="s">
        <v>259</v>
      </c>
      <c r="C2210" t="s">
        <v>190</v>
      </c>
      <c r="D2210" t="str">
        <f>HYPERLINK("http://service.sap.com/sap/support/notes/1682746","1682746")</f>
        <v>1682746</v>
      </c>
      <c r="E2210">
        <v>1</v>
      </c>
      <c r="F2210" t="s">
        <v>2850</v>
      </c>
    </row>
    <row r="2211" spans="1:6" x14ac:dyDescent="0.25">
      <c r="A2211" t="s">
        <v>2823</v>
      </c>
      <c r="B2211" t="s">
        <v>259</v>
      </c>
      <c r="C2211" t="s">
        <v>190</v>
      </c>
      <c r="D2211" t="str">
        <f>HYPERLINK("http://service.sap.com/sap/support/notes/1700392","1700392")</f>
        <v>1700392</v>
      </c>
      <c r="E2211">
        <v>1</v>
      </c>
      <c r="F2211" t="s">
        <v>2851</v>
      </c>
    </row>
    <row r="2212" spans="1:6" x14ac:dyDescent="0.25">
      <c r="A2212" t="s">
        <v>2823</v>
      </c>
      <c r="B2212" t="s">
        <v>66</v>
      </c>
      <c r="C2212" t="s">
        <v>67</v>
      </c>
    </row>
    <row r="2213" spans="1:6" x14ac:dyDescent="0.25">
      <c r="A2213" t="s">
        <v>2823</v>
      </c>
      <c r="B2213" t="s">
        <v>70</v>
      </c>
      <c r="C2213" t="s">
        <v>71</v>
      </c>
      <c r="D2213" t="str">
        <f>HYPERLINK("http://service.sap.com/sap/support/notes/1676478","1676478")</f>
        <v>1676478</v>
      </c>
      <c r="E2213">
        <v>6</v>
      </c>
      <c r="F2213" t="s">
        <v>2852</v>
      </c>
    </row>
    <row r="2214" spans="1:6" x14ac:dyDescent="0.25">
      <c r="A2214" t="s">
        <v>2823</v>
      </c>
      <c r="B2214" t="s">
        <v>70</v>
      </c>
      <c r="C2214" t="s">
        <v>71</v>
      </c>
      <c r="D2214" t="str">
        <f>HYPERLINK("http://service.sap.com/sap/support/notes/1692452","1692452")</f>
        <v>1692452</v>
      </c>
      <c r="E2214">
        <v>4</v>
      </c>
      <c r="F2214" t="s">
        <v>2853</v>
      </c>
    </row>
    <row r="2215" spans="1:6" x14ac:dyDescent="0.25">
      <c r="A2215" t="s">
        <v>2823</v>
      </c>
      <c r="B2215" t="s">
        <v>72</v>
      </c>
      <c r="C2215" t="s">
        <v>73</v>
      </c>
    </row>
    <row r="2216" spans="1:6" x14ac:dyDescent="0.25">
      <c r="A2216" t="s">
        <v>2823</v>
      </c>
      <c r="B2216" t="s">
        <v>281</v>
      </c>
      <c r="C2216" t="s">
        <v>368</v>
      </c>
    </row>
    <row r="2217" spans="1:6" x14ac:dyDescent="0.25">
      <c r="A2217" t="s">
        <v>2823</v>
      </c>
      <c r="B2217" t="s">
        <v>282</v>
      </c>
      <c r="C2217" t="s">
        <v>369</v>
      </c>
      <c r="D2217" t="str">
        <f>HYPERLINK("http://service.sap.com/sap/support/notes/1658593","1658593")</f>
        <v>1658593</v>
      </c>
      <c r="E2217">
        <v>2</v>
      </c>
      <c r="F2217" t="s">
        <v>2854</v>
      </c>
    </row>
    <row r="2218" spans="1:6" x14ac:dyDescent="0.25">
      <c r="A2218" t="s">
        <v>2823</v>
      </c>
      <c r="B2218" t="s">
        <v>282</v>
      </c>
      <c r="C2218" t="s">
        <v>369</v>
      </c>
      <c r="D2218" t="str">
        <f>HYPERLINK("http://service.sap.com/sap/support/notes/1681450","1681450")</f>
        <v>1681450</v>
      </c>
      <c r="E2218">
        <v>5</v>
      </c>
      <c r="F2218" t="s">
        <v>2855</v>
      </c>
    </row>
    <row r="2219" spans="1:6" x14ac:dyDescent="0.25">
      <c r="A2219" t="s">
        <v>2823</v>
      </c>
      <c r="B2219" t="s">
        <v>657</v>
      </c>
      <c r="C2219" t="s">
        <v>371</v>
      </c>
      <c r="D2219" t="str">
        <f>HYPERLINK("http://service.sap.com/sap/support/notes/1668163","1668163")</f>
        <v>1668163</v>
      </c>
      <c r="E2219">
        <v>1</v>
      </c>
      <c r="F2219" t="s">
        <v>2856</v>
      </c>
    </row>
    <row r="2220" spans="1:6" x14ac:dyDescent="0.25">
      <c r="A2220" t="s">
        <v>2823</v>
      </c>
      <c r="B2220" t="s">
        <v>284</v>
      </c>
      <c r="C2220" t="s">
        <v>393</v>
      </c>
    </row>
    <row r="2221" spans="1:6" x14ac:dyDescent="0.25">
      <c r="A2221" t="s">
        <v>2823</v>
      </c>
      <c r="B2221" t="s">
        <v>301</v>
      </c>
      <c r="C2221" t="s">
        <v>302</v>
      </c>
      <c r="D2221" t="str">
        <f>HYPERLINK("http://service.sap.com/sap/support/notes/1696880","1696880")</f>
        <v>1696880</v>
      </c>
      <c r="E2221">
        <v>2</v>
      </c>
      <c r="F2221" t="s">
        <v>2857</v>
      </c>
    </row>
    <row r="2222" spans="1:6" x14ac:dyDescent="0.25">
      <c r="A2222" t="s">
        <v>2823</v>
      </c>
      <c r="B2222" t="s">
        <v>76</v>
      </c>
      <c r="C2222" t="s">
        <v>77</v>
      </c>
    </row>
    <row r="2223" spans="1:6" x14ac:dyDescent="0.25">
      <c r="A2223" t="s">
        <v>2823</v>
      </c>
      <c r="B2223" t="s">
        <v>78</v>
      </c>
      <c r="C2223" t="s">
        <v>79</v>
      </c>
      <c r="D2223" t="str">
        <f>HYPERLINK("http://service.sap.com/sap/support/notes/1661244","1661244")</f>
        <v>1661244</v>
      </c>
      <c r="E2223">
        <v>3</v>
      </c>
      <c r="F2223" t="s">
        <v>2858</v>
      </c>
    </row>
    <row r="2224" spans="1:6" x14ac:dyDescent="0.25">
      <c r="A2224" t="s">
        <v>2823</v>
      </c>
      <c r="B2224" t="s">
        <v>78</v>
      </c>
      <c r="C2224" t="s">
        <v>79</v>
      </c>
      <c r="D2224" t="str">
        <f>HYPERLINK("http://service.sap.com/sap/support/notes/1676957","1676957")</f>
        <v>1676957</v>
      </c>
      <c r="E2224">
        <v>2</v>
      </c>
      <c r="F2224" t="s">
        <v>2859</v>
      </c>
    </row>
    <row r="2225" spans="1:6" x14ac:dyDescent="0.25">
      <c r="A2225" t="s">
        <v>2823</v>
      </c>
      <c r="B2225" t="s">
        <v>78</v>
      </c>
      <c r="C2225" t="s">
        <v>79</v>
      </c>
      <c r="D2225" t="str">
        <f>HYPERLINK("http://service.sap.com/sap/support/notes/1684264","1684264")</f>
        <v>1684264</v>
      </c>
      <c r="E2225">
        <v>2</v>
      </c>
      <c r="F2225" t="s">
        <v>2860</v>
      </c>
    </row>
    <row r="2226" spans="1:6" x14ac:dyDescent="0.25">
      <c r="A2226" t="s">
        <v>2823</v>
      </c>
      <c r="B2226" t="s">
        <v>78</v>
      </c>
      <c r="C2226" t="s">
        <v>79</v>
      </c>
      <c r="D2226" t="str">
        <f>HYPERLINK("http://service.sap.com/sap/support/notes/1688619","1688619")</f>
        <v>1688619</v>
      </c>
      <c r="E2226">
        <v>1</v>
      </c>
      <c r="F2226" t="s">
        <v>2861</v>
      </c>
    </row>
    <row r="2227" spans="1:6" x14ac:dyDescent="0.25">
      <c r="A2227" t="s">
        <v>2823</v>
      </c>
      <c r="B2227" t="s">
        <v>80</v>
      </c>
      <c r="C2227" t="s">
        <v>32</v>
      </c>
      <c r="D2227" t="str">
        <f>HYPERLINK("http://service.sap.com/sap/support/notes/1634081","1634081")</f>
        <v>1634081</v>
      </c>
      <c r="E2227">
        <v>2</v>
      </c>
      <c r="F2227" t="s">
        <v>2862</v>
      </c>
    </row>
    <row r="2228" spans="1:6" x14ac:dyDescent="0.25">
      <c r="A2228" t="s">
        <v>2823</v>
      </c>
      <c r="B2228" t="s">
        <v>80</v>
      </c>
      <c r="C2228" t="s">
        <v>32</v>
      </c>
      <c r="D2228" t="str">
        <f>HYPERLINK("http://service.sap.com/sap/support/notes/1656380","1656380")</f>
        <v>1656380</v>
      </c>
      <c r="E2228">
        <v>3</v>
      </c>
      <c r="F2228" t="s">
        <v>2863</v>
      </c>
    </row>
    <row r="2229" spans="1:6" x14ac:dyDescent="0.25">
      <c r="A2229" t="s">
        <v>2823</v>
      </c>
      <c r="B2229" t="s">
        <v>80</v>
      </c>
      <c r="C2229" t="s">
        <v>32</v>
      </c>
      <c r="D2229" t="str">
        <f>HYPERLINK("http://service.sap.com/sap/support/notes/1660577","1660577")</f>
        <v>1660577</v>
      </c>
      <c r="E2229">
        <v>8</v>
      </c>
      <c r="F2229" t="s">
        <v>2506</v>
      </c>
    </row>
    <row r="2230" spans="1:6" x14ac:dyDescent="0.25">
      <c r="A2230" t="s">
        <v>2823</v>
      </c>
      <c r="B2230" t="s">
        <v>80</v>
      </c>
      <c r="C2230" t="s">
        <v>32</v>
      </c>
      <c r="D2230" t="str">
        <f>HYPERLINK("http://service.sap.com/sap/support/notes/1667509","1667509")</f>
        <v>1667509</v>
      </c>
      <c r="E2230">
        <v>3</v>
      </c>
      <c r="F2230" t="s">
        <v>2864</v>
      </c>
    </row>
    <row r="2231" spans="1:6" x14ac:dyDescent="0.25">
      <c r="A2231" t="s">
        <v>2823</v>
      </c>
      <c r="B2231" t="s">
        <v>80</v>
      </c>
      <c r="C2231" t="s">
        <v>32</v>
      </c>
      <c r="D2231" t="str">
        <f>HYPERLINK("http://service.sap.com/sap/support/notes/1669623","1669623")</f>
        <v>1669623</v>
      </c>
      <c r="E2231">
        <v>4</v>
      </c>
      <c r="F2231" t="s">
        <v>2865</v>
      </c>
    </row>
    <row r="2232" spans="1:6" x14ac:dyDescent="0.25">
      <c r="A2232" t="s">
        <v>2823</v>
      </c>
      <c r="B2232" t="s">
        <v>80</v>
      </c>
      <c r="C2232" t="s">
        <v>32</v>
      </c>
      <c r="D2232" t="str">
        <f>HYPERLINK("http://service.sap.com/sap/support/notes/1669904","1669904")</f>
        <v>1669904</v>
      </c>
      <c r="E2232">
        <v>4</v>
      </c>
      <c r="F2232" t="s">
        <v>2866</v>
      </c>
    </row>
    <row r="2233" spans="1:6" x14ac:dyDescent="0.25">
      <c r="A2233" t="s">
        <v>2823</v>
      </c>
      <c r="B2233" t="s">
        <v>80</v>
      </c>
      <c r="C2233" t="s">
        <v>32</v>
      </c>
      <c r="D2233" t="str">
        <f>HYPERLINK("http://service.sap.com/sap/support/notes/1671382","1671382")</f>
        <v>1671382</v>
      </c>
      <c r="E2233">
        <v>1</v>
      </c>
      <c r="F2233" t="s">
        <v>2867</v>
      </c>
    </row>
    <row r="2234" spans="1:6" x14ac:dyDescent="0.25">
      <c r="A2234" t="s">
        <v>2823</v>
      </c>
      <c r="B2234" t="s">
        <v>80</v>
      </c>
      <c r="C2234" t="s">
        <v>32</v>
      </c>
      <c r="D2234" t="str">
        <f>HYPERLINK("http://service.sap.com/sap/support/notes/1676556","1676556")</f>
        <v>1676556</v>
      </c>
      <c r="E2234">
        <v>4</v>
      </c>
      <c r="F2234" t="s">
        <v>2868</v>
      </c>
    </row>
    <row r="2235" spans="1:6" x14ac:dyDescent="0.25">
      <c r="A2235" t="s">
        <v>2823</v>
      </c>
      <c r="B2235" t="s">
        <v>80</v>
      </c>
      <c r="C2235" t="s">
        <v>32</v>
      </c>
      <c r="D2235" t="str">
        <f>HYPERLINK("http://service.sap.com/sap/support/notes/1678725","1678725")</f>
        <v>1678725</v>
      </c>
      <c r="E2235">
        <v>5</v>
      </c>
      <c r="F2235" t="s">
        <v>2869</v>
      </c>
    </row>
    <row r="2236" spans="1:6" x14ac:dyDescent="0.25">
      <c r="A2236" t="s">
        <v>2823</v>
      </c>
      <c r="B2236" t="s">
        <v>80</v>
      </c>
      <c r="C2236" t="s">
        <v>32</v>
      </c>
      <c r="D2236" t="str">
        <f>HYPERLINK("http://service.sap.com/sap/support/notes/1680363","1680363")</f>
        <v>1680363</v>
      </c>
      <c r="E2236">
        <v>3</v>
      </c>
      <c r="F2236" t="s">
        <v>2870</v>
      </c>
    </row>
    <row r="2237" spans="1:6" x14ac:dyDescent="0.25">
      <c r="A2237" t="s">
        <v>2823</v>
      </c>
      <c r="B2237" t="s">
        <v>80</v>
      </c>
      <c r="C2237" t="s">
        <v>32</v>
      </c>
      <c r="D2237" t="str">
        <f>HYPERLINK("http://service.sap.com/sap/support/notes/1681328","1681328")</f>
        <v>1681328</v>
      </c>
      <c r="E2237">
        <v>1</v>
      </c>
      <c r="F2237" t="s">
        <v>2871</v>
      </c>
    </row>
    <row r="2238" spans="1:6" x14ac:dyDescent="0.25">
      <c r="A2238" t="s">
        <v>2823</v>
      </c>
      <c r="B2238" t="s">
        <v>80</v>
      </c>
      <c r="C2238" t="s">
        <v>32</v>
      </c>
      <c r="D2238" t="str">
        <f>HYPERLINK("http://service.sap.com/sap/support/notes/1681519","1681519")</f>
        <v>1681519</v>
      </c>
      <c r="E2238">
        <v>2</v>
      </c>
      <c r="F2238" t="s">
        <v>2872</v>
      </c>
    </row>
    <row r="2239" spans="1:6" x14ac:dyDescent="0.25">
      <c r="A2239" t="s">
        <v>2823</v>
      </c>
      <c r="B2239" t="s">
        <v>80</v>
      </c>
      <c r="C2239" t="s">
        <v>32</v>
      </c>
      <c r="D2239" t="str">
        <f>HYPERLINK("http://service.sap.com/sap/support/notes/1681777","1681777")</f>
        <v>1681777</v>
      </c>
      <c r="E2239">
        <v>6</v>
      </c>
      <c r="F2239" t="s">
        <v>2873</v>
      </c>
    </row>
    <row r="2240" spans="1:6" x14ac:dyDescent="0.25">
      <c r="A2240" t="s">
        <v>2823</v>
      </c>
      <c r="B2240" t="s">
        <v>80</v>
      </c>
      <c r="C2240" t="s">
        <v>32</v>
      </c>
      <c r="D2240" t="str">
        <f>HYPERLINK("http://service.sap.com/sap/support/notes/1687984","1687984")</f>
        <v>1687984</v>
      </c>
      <c r="E2240">
        <v>2</v>
      </c>
      <c r="F2240" t="s">
        <v>2874</v>
      </c>
    </row>
    <row r="2241" spans="1:6" x14ac:dyDescent="0.25">
      <c r="A2241" t="s">
        <v>2823</v>
      </c>
      <c r="B2241" t="s">
        <v>80</v>
      </c>
      <c r="C2241" t="s">
        <v>32</v>
      </c>
      <c r="D2241" t="str">
        <f>HYPERLINK("http://service.sap.com/sap/support/notes/1689099","1689099")</f>
        <v>1689099</v>
      </c>
      <c r="E2241">
        <v>2</v>
      </c>
      <c r="F2241" t="s">
        <v>2875</v>
      </c>
    </row>
    <row r="2242" spans="1:6" x14ac:dyDescent="0.25">
      <c r="A2242" t="s">
        <v>2823</v>
      </c>
      <c r="B2242" t="s">
        <v>80</v>
      </c>
      <c r="C2242" t="s">
        <v>32</v>
      </c>
      <c r="D2242" t="str">
        <f>HYPERLINK("http://service.sap.com/sap/support/notes/1690724","1690724")</f>
        <v>1690724</v>
      </c>
      <c r="E2242">
        <v>1</v>
      </c>
      <c r="F2242" t="s">
        <v>2876</v>
      </c>
    </row>
    <row r="2243" spans="1:6" x14ac:dyDescent="0.25">
      <c r="A2243" t="s">
        <v>2823</v>
      </c>
      <c r="B2243" t="s">
        <v>80</v>
      </c>
      <c r="C2243" t="s">
        <v>32</v>
      </c>
      <c r="D2243" t="str">
        <f>HYPERLINK("http://service.sap.com/sap/support/notes/1691976","1691976")</f>
        <v>1691976</v>
      </c>
      <c r="E2243">
        <v>2</v>
      </c>
      <c r="F2243" t="s">
        <v>2877</v>
      </c>
    </row>
    <row r="2244" spans="1:6" x14ac:dyDescent="0.25">
      <c r="A2244" t="s">
        <v>2823</v>
      </c>
      <c r="B2244" t="s">
        <v>80</v>
      </c>
      <c r="C2244" t="s">
        <v>32</v>
      </c>
      <c r="D2244" t="str">
        <f>HYPERLINK("http://service.sap.com/sap/support/notes/1692381","1692381")</f>
        <v>1692381</v>
      </c>
      <c r="E2244">
        <v>4</v>
      </c>
      <c r="F2244" t="s">
        <v>2878</v>
      </c>
    </row>
    <row r="2245" spans="1:6" x14ac:dyDescent="0.25">
      <c r="A2245" t="s">
        <v>2823</v>
      </c>
      <c r="B2245" t="s">
        <v>80</v>
      </c>
      <c r="C2245" t="s">
        <v>32</v>
      </c>
      <c r="D2245" t="str">
        <f>HYPERLINK("http://service.sap.com/sap/support/notes/1692860","1692860")</f>
        <v>1692860</v>
      </c>
      <c r="E2245">
        <v>1</v>
      </c>
      <c r="F2245" t="s">
        <v>2879</v>
      </c>
    </row>
    <row r="2246" spans="1:6" x14ac:dyDescent="0.25">
      <c r="A2246" t="s">
        <v>2823</v>
      </c>
      <c r="B2246" t="s">
        <v>80</v>
      </c>
      <c r="C2246" t="s">
        <v>32</v>
      </c>
      <c r="D2246" t="str">
        <f>HYPERLINK("http://service.sap.com/sap/support/notes/1693070","1693070")</f>
        <v>1693070</v>
      </c>
      <c r="E2246">
        <v>2</v>
      </c>
      <c r="F2246" t="s">
        <v>2880</v>
      </c>
    </row>
    <row r="2247" spans="1:6" x14ac:dyDescent="0.25">
      <c r="A2247" t="s">
        <v>2823</v>
      </c>
      <c r="B2247" t="s">
        <v>80</v>
      </c>
      <c r="C2247" t="s">
        <v>32</v>
      </c>
      <c r="D2247" t="str">
        <f>HYPERLINK("http://service.sap.com/sap/support/notes/1695622","1695622")</f>
        <v>1695622</v>
      </c>
      <c r="E2247">
        <v>3</v>
      </c>
      <c r="F2247" t="s">
        <v>2881</v>
      </c>
    </row>
    <row r="2248" spans="1:6" x14ac:dyDescent="0.25">
      <c r="A2248" t="s">
        <v>2823</v>
      </c>
      <c r="B2248" t="s">
        <v>80</v>
      </c>
      <c r="C2248" t="s">
        <v>32</v>
      </c>
      <c r="D2248" t="str">
        <f>HYPERLINK("http://service.sap.com/sap/support/notes/1696431","1696431")</f>
        <v>1696431</v>
      </c>
      <c r="E2248">
        <v>1</v>
      </c>
      <c r="F2248" t="s">
        <v>2882</v>
      </c>
    </row>
    <row r="2249" spans="1:6" x14ac:dyDescent="0.25">
      <c r="A2249" t="s">
        <v>2823</v>
      </c>
      <c r="B2249" t="s">
        <v>80</v>
      </c>
      <c r="C2249" t="s">
        <v>32</v>
      </c>
      <c r="D2249" t="str">
        <f>HYPERLINK("http://service.sap.com/sap/support/notes/1696682","1696682")</f>
        <v>1696682</v>
      </c>
      <c r="E2249">
        <v>1</v>
      </c>
      <c r="F2249" t="s">
        <v>2883</v>
      </c>
    </row>
    <row r="2250" spans="1:6" x14ac:dyDescent="0.25">
      <c r="A2250" t="s">
        <v>2823</v>
      </c>
      <c r="B2250" t="s">
        <v>80</v>
      </c>
      <c r="C2250" t="s">
        <v>32</v>
      </c>
      <c r="D2250" t="str">
        <f>HYPERLINK("http://service.sap.com/sap/support/notes/1696900","1696900")</f>
        <v>1696900</v>
      </c>
      <c r="E2250">
        <v>2</v>
      </c>
      <c r="F2250" t="s">
        <v>2884</v>
      </c>
    </row>
    <row r="2251" spans="1:6" x14ac:dyDescent="0.25">
      <c r="A2251" t="s">
        <v>2823</v>
      </c>
      <c r="B2251" t="s">
        <v>80</v>
      </c>
      <c r="C2251" t="s">
        <v>32</v>
      </c>
      <c r="D2251" t="str">
        <f>HYPERLINK("http://service.sap.com/sap/support/notes/1697238","1697238")</f>
        <v>1697238</v>
      </c>
      <c r="E2251">
        <v>2</v>
      </c>
      <c r="F2251" t="s">
        <v>2885</v>
      </c>
    </row>
    <row r="2252" spans="1:6" x14ac:dyDescent="0.25">
      <c r="A2252" t="s">
        <v>2823</v>
      </c>
      <c r="B2252" t="s">
        <v>80</v>
      </c>
      <c r="C2252" t="s">
        <v>32</v>
      </c>
      <c r="D2252" t="str">
        <f>HYPERLINK("http://service.sap.com/sap/support/notes/1697556","1697556")</f>
        <v>1697556</v>
      </c>
      <c r="E2252">
        <v>1</v>
      </c>
      <c r="F2252" t="s">
        <v>2886</v>
      </c>
    </row>
    <row r="2253" spans="1:6" x14ac:dyDescent="0.25">
      <c r="A2253" t="s">
        <v>2823</v>
      </c>
      <c r="B2253" t="s">
        <v>81</v>
      </c>
      <c r="C2253" t="s">
        <v>82</v>
      </c>
      <c r="D2253" t="str">
        <f>HYPERLINK("http://service.sap.com/sap/support/notes/1680960","1680960")</f>
        <v>1680960</v>
      </c>
      <c r="E2253">
        <v>2</v>
      </c>
      <c r="F2253" t="s">
        <v>2887</v>
      </c>
    </row>
    <row r="2254" spans="1:6" x14ac:dyDescent="0.25">
      <c r="A2254" t="s">
        <v>2823</v>
      </c>
      <c r="B2254" t="s">
        <v>81</v>
      </c>
      <c r="C2254" t="s">
        <v>82</v>
      </c>
      <c r="D2254" t="str">
        <f>HYPERLINK("http://service.sap.com/sap/support/notes/1683073","1683073")</f>
        <v>1683073</v>
      </c>
      <c r="E2254">
        <v>3</v>
      </c>
      <c r="F2254" t="s">
        <v>2888</v>
      </c>
    </row>
    <row r="2255" spans="1:6" x14ac:dyDescent="0.25">
      <c r="A2255" t="s">
        <v>2823</v>
      </c>
      <c r="B2255" t="s">
        <v>81</v>
      </c>
      <c r="C2255" t="s">
        <v>82</v>
      </c>
      <c r="D2255" t="str">
        <f>HYPERLINK("http://service.sap.com/sap/support/notes/1696207","1696207")</f>
        <v>1696207</v>
      </c>
      <c r="E2255">
        <v>1</v>
      </c>
      <c r="F2255" t="s">
        <v>2889</v>
      </c>
    </row>
    <row r="2256" spans="1:6" x14ac:dyDescent="0.25">
      <c r="A2256" t="s">
        <v>2823</v>
      </c>
      <c r="B2256" t="s">
        <v>83</v>
      </c>
      <c r="C2256" t="s">
        <v>84</v>
      </c>
      <c r="D2256" t="str">
        <f>HYPERLINK("http://service.sap.com/sap/support/notes/1591267","1591267")</f>
        <v>1591267</v>
      </c>
      <c r="E2256">
        <v>2</v>
      </c>
      <c r="F2256" t="s">
        <v>2890</v>
      </c>
    </row>
    <row r="2257" spans="1:6" x14ac:dyDescent="0.25">
      <c r="A2257" t="s">
        <v>2823</v>
      </c>
      <c r="B2257" t="s">
        <v>83</v>
      </c>
      <c r="C2257" t="s">
        <v>84</v>
      </c>
      <c r="D2257" t="str">
        <f>HYPERLINK("http://service.sap.com/sap/support/notes/1633434","1633434")</f>
        <v>1633434</v>
      </c>
      <c r="E2257">
        <v>5</v>
      </c>
      <c r="F2257" t="s">
        <v>2891</v>
      </c>
    </row>
    <row r="2258" spans="1:6" x14ac:dyDescent="0.25">
      <c r="A2258" t="s">
        <v>2823</v>
      </c>
      <c r="B2258" t="s">
        <v>83</v>
      </c>
      <c r="C2258" t="s">
        <v>84</v>
      </c>
      <c r="D2258" t="str">
        <f>HYPERLINK("http://service.sap.com/sap/support/notes/1676193","1676193")</f>
        <v>1676193</v>
      </c>
      <c r="E2258">
        <v>2</v>
      </c>
      <c r="F2258" t="s">
        <v>2892</v>
      </c>
    </row>
    <row r="2259" spans="1:6" x14ac:dyDescent="0.25">
      <c r="A2259" t="s">
        <v>2823</v>
      </c>
      <c r="B2259" t="s">
        <v>83</v>
      </c>
      <c r="C2259" t="s">
        <v>84</v>
      </c>
      <c r="D2259" t="str">
        <f>HYPERLINK("http://service.sap.com/sap/support/notes/1682965","1682965")</f>
        <v>1682965</v>
      </c>
      <c r="E2259">
        <v>1</v>
      </c>
      <c r="F2259" t="s">
        <v>2893</v>
      </c>
    </row>
    <row r="2260" spans="1:6" x14ac:dyDescent="0.25">
      <c r="A2260" t="s">
        <v>2823</v>
      </c>
      <c r="B2260" t="s">
        <v>83</v>
      </c>
      <c r="C2260" t="s">
        <v>84</v>
      </c>
      <c r="D2260" t="str">
        <f>HYPERLINK("http://service.sap.com/sap/support/notes/1684316","1684316")</f>
        <v>1684316</v>
      </c>
      <c r="E2260">
        <v>2</v>
      </c>
      <c r="F2260" t="s">
        <v>2894</v>
      </c>
    </row>
    <row r="2261" spans="1:6" x14ac:dyDescent="0.25">
      <c r="A2261" t="s">
        <v>2823</v>
      </c>
      <c r="B2261" t="s">
        <v>83</v>
      </c>
      <c r="C2261" t="s">
        <v>84</v>
      </c>
      <c r="D2261" t="str">
        <f>HYPERLINK("http://service.sap.com/sap/support/notes/1684939","1684939")</f>
        <v>1684939</v>
      </c>
      <c r="E2261">
        <v>1</v>
      </c>
      <c r="F2261" t="s">
        <v>2895</v>
      </c>
    </row>
    <row r="2262" spans="1:6" x14ac:dyDescent="0.25">
      <c r="A2262" t="s">
        <v>2823</v>
      </c>
      <c r="B2262" t="s">
        <v>83</v>
      </c>
      <c r="C2262" t="s">
        <v>84</v>
      </c>
      <c r="D2262" t="str">
        <f>HYPERLINK("http://service.sap.com/sap/support/notes/1686565","1686565")</f>
        <v>1686565</v>
      </c>
      <c r="E2262">
        <v>1</v>
      </c>
      <c r="F2262" t="s">
        <v>2896</v>
      </c>
    </row>
    <row r="2263" spans="1:6" x14ac:dyDescent="0.25">
      <c r="A2263" t="s">
        <v>2823</v>
      </c>
      <c r="B2263" t="s">
        <v>83</v>
      </c>
      <c r="C2263" t="s">
        <v>84</v>
      </c>
      <c r="D2263" t="str">
        <f>HYPERLINK("http://service.sap.com/sap/support/notes/1689727","1689727")</f>
        <v>1689727</v>
      </c>
      <c r="E2263">
        <v>2</v>
      </c>
      <c r="F2263" t="s">
        <v>2897</v>
      </c>
    </row>
    <row r="2264" spans="1:6" x14ac:dyDescent="0.25">
      <c r="A2264" t="s">
        <v>2823</v>
      </c>
      <c r="B2264" t="s">
        <v>83</v>
      </c>
      <c r="C2264" t="s">
        <v>84</v>
      </c>
      <c r="D2264" t="str">
        <f>HYPERLINK("http://service.sap.com/sap/support/notes/1689846","1689846")</f>
        <v>1689846</v>
      </c>
      <c r="E2264">
        <v>1</v>
      </c>
      <c r="F2264" t="s">
        <v>2898</v>
      </c>
    </row>
    <row r="2265" spans="1:6" x14ac:dyDescent="0.25">
      <c r="A2265" t="s">
        <v>2823</v>
      </c>
      <c r="B2265" t="s">
        <v>83</v>
      </c>
      <c r="C2265" t="s">
        <v>84</v>
      </c>
      <c r="D2265" t="str">
        <f>HYPERLINK("http://service.sap.com/sap/support/notes/1689885","1689885")</f>
        <v>1689885</v>
      </c>
      <c r="E2265">
        <v>1</v>
      </c>
      <c r="F2265" t="s">
        <v>2899</v>
      </c>
    </row>
    <row r="2266" spans="1:6" x14ac:dyDescent="0.25">
      <c r="A2266" t="s">
        <v>2823</v>
      </c>
      <c r="B2266" t="s">
        <v>83</v>
      </c>
      <c r="C2266" t="s">
        <v>84</v>
      </c>
      <c r="D2266" t="str">
        <f>HYPERLINK("http://service.sap.com/sap/support/notes/1690452","1690452")</f>
        <v>1690452</v>
      </c>
      <c r="E2266">
        <v>1</v>
      </c>
      <c r="F2266" t="s">
        <v>2900</v>
      </c>
    </row>
    <row r="2267" spans="1:6" x14ac:dyDescent="0.25">
      <c r="A2267" t="s">
        <v>2823</v>
      </c>
      <c r="B2267" t="s">
        <v>83</v>
      </c>
      <c r="C2267" t="s">
        <v>84</v>
      </c>
      <c r="D2267" t="str">
        <f>HYPERLINK("http://service.sap.com/sap/support/notes/1692262","1692262")</f>
        <v>1692262</v>
      </c>
      <c r="E2267">
        <v>1</v>
      </c>
      <c r="F2267" t="s">
        <v>2901</v>
      </c>
    </row>
    <row r="2268" spans="1:6" x14ac:dyDescent="0.25">
      <c r="A2268" t="s">
        <v>2823</v>
      </c>
      <c r="B2268" t="s">
        <v>83</v>
      </c>
      <c r="C2268" t="s">
        <v>84</v>
      </c>
      <c r="D2268" t="str">
        <f>HYPERLINK("http://service.sap.com/sap/support/notes/1692826","1692826")</f>
        <v>1692826</v>
      </c>
      <c r="E2268">
        <v>1</v>
      </c>
      <c r="F2268" t="s">
        <v>2902</v>
      </c>
    </row>
    <row r="2269" spans="1:6" x14ac:dyDescent="0.25">
      <c r="A2269" t="s">
        <v>2823</v>
      </c>
      <c r="B2269" t="s">
        <v>83</v>
      </c>
      <c r="C2269" t="s">
        <v>84</v>
      </c>
      <c r="D2269" t="str">
        <f>HYPERLINK("http://service.sap.com/sap/support/notes/1692844","1692844")</f>
        <v>1692844</v>
      </c>
      <c r="E2269">
        <v>1</v>
      </c>
      <c r="F2269" t="s">
        <v>2903</v>
      </c>
    </row>
    <row r="2270" spans="1:6" x14ac:dyDescent="0.25">
      <c r="A2270" t="s">
        <v>2823</v>
      </c>
      <c r="B2270" t="s">
        <v>83</v>
      </c>
      <c r="C2270" t="s">
        <v>84</v>
      </c>
      <c r="D2270" t="str">
        <f>HYPERLINK("http://service.sap.com/sap/support/notes/1693853","1693853")</f>
        <v>1693853</v>
      </c>
      <c r="E2270">
        <v>1</v>
      </c>
      <c r="F2270" t="s">
        <v>2904</v>
      </c>
    </row>
    <row r="2271" spans="1:6" x14ac:dyDescent="0.25">
      <c r="A2271" t="s">
        <v>2823</v>
      </c>
      <c r="B2271" t="s">
        <v>83</v>
      </c>
      <c r="C2271" t="s">
        <v>84</v>
      </c>
      <c r="D2271" t="str">
        <f>HYPERLINK("http://service.sap.com/sap/support/notes/1695147","1695147")</f>
        <v>1695147</v>
      </c>
      <c r="E2271">
        <v>1</v>
      </c>
      <c r="F2271" t="s">
        <v>2905</v>
      </c>
    </row>
    <row r="2272" spans="1:6" x14ac:dyDescent="0.25">
      <c r="A2272" t="s">
        <v>2823</v>
      </c>
      <c r="B2272" t="s">
        <v>83</v>
      </c>
      <c r="C2272" t="s">
        <v>84</v>
      </c>
      <c r="D2272" t="str">
        <f>HYPERLINK("http://service.sap.com/sap/support/notes/1696725","1696725")</f>
        <v>1696725</v>
      </c>
      <c r="E2272">
        <v>1</v>
      </c>
      <c r="F2272" t="s">
        <v>2906</v>
      </c>
    </row>
    <row r="2273" spans="1:6" x14ac:dyDescent="0.25">
      <c r="A2273" t="s">
        <v>2823</v>
      </c>
      <c r="B2273" t="s">
        <v>86</v>
      </c>
      <c r="C2273" t="s">
        <v>87</v>
      </c>
      <c r="D2273" t="str">
        <f>HYPERLINK("http://service.sap.com/sap/support/notes/1637355","1637355")</f>
        <v>1637355</v>
      </c>
      <c r="E2273">
        <v>1</v>
      </c>
      <c r="F2273" t="s">
        <v>2907</v>
      </c>
    </row>
    <row r="2274" spans="1:6" x14ac:dyDescent="0.25">
      <c r="A2274" t="s">
        <v>2823</v>
      </c>
      <c r="B2274" t="s">
        <v>86</v>
      </c>
      <c r="C2274" t="s">
        <v>87</v>
      </c>
      <c r="D2274" t="str">
        <f>HYPERLINK("http://service.sap.com/sap/support/notes/1693131","1693131")</f>
        <v>1693131</v>
      </c>
      <c r="E2274">
        <v>1</v>
      </c>
      <c r="F2274" t="s">
        <v>2908</v>
      </c>
    </row>
    <row r="2275" spans="1:6" x14ac:dyDescent="0.25">
      <c r="A2275" t="s">
        <v>2823</v>
      </c>
      <c r="B2275" t="s">
        <v>88</v>
      </c>
      <c r="C2275" t="s">
        <v>82</v>
      </c>
      <c r="D2275" t="str">
        <f>HYPERLINK("http://service.sap.com/sap/support/notes/1672179","1672179")</f>
        <v>1672179</v>
      </c>
      <c r="E2275">
        <v>2</v>
      </c>
      <c r="F2275" t="s">
        <v>2909</v>
      </c>
    </row>
    <row r="2276" spans="1:6" x14ac:dyDescent="0.25">
      <c r="A2276" t="s">
        <v>2823</v>
      </c>
      <c r="B2276" t="s">
        <v>88</v>
      </c>
      <c r="C2276" t="s">
        <v>82</v>
      </c>
      <c r="D2276" t="str">
        <f>HYPERLINK("http://service.sap.com/sap/support/notes/1692960","1692960")</f>
        <v>1692960</v>
      </c>
      <c r="E2276">
        <v>1</v>
      </c>
      <c r="F2276" t="s">
        <v>2910</v>
      </c>
    </row>
    <row r="2277" spans="1:6" x14ac:dyDescent="0.25">
      <c r="A2277" t="s">
        <v>2823</v>
      </c>
      <c r="B2277" t="s">
        <v>89</v>
      </c>
      <c r="C2277" t="s">
        <v>34</v>
      </c>
      <c r="D2277" t="str">
        <f>HYPERLINK("http://service.sap.com/sap/support/notes/1678685","1678685")</f>
        <v>1678685</v>
      </c>
      <c r="E2277">
        <v>1</v>
      </c>
      <c r="F2277" t="s">
        <v>2911</v>
      </c>
    </row>
    <row r="2278" spans="1:6" x14ac:dyDescent="0.25">
      <c r="A2278" t="s">
        <v>2823</v>
      </c>
      <c r="B2278" t="s">
        <v>89</v>
      </c>
      <c r="C2278" t="s">
        <v>34</v>
      </c>
      <c r="D2278" t="str">
        <f>HYPERLINK("http://service.sap.com/sap/support/notes/1682813","1682813")</f>
        <v>1682813</v>
      </c>
      <c r="E2278">
        <v>1</v>
      </c>
      <c r="F2278" t="s">
        <v>2912</v>
      </c>
    </row>
    <row r="2279" spans="1:6" x14ac:dyDescent="0.25">
      <c r="A2279" t="s">
        <v>2823</v>
      </c>
      <c r="B2279" t="s">
        <v>89</v>
      </c>
      <c r="C2279" t="s">
        <v>34</v>
      </c>
      <c r="D2279" t="str">
        <f>HYPERLINK("http://service.sap.com/sap/support/notes/1682974","1682974")</f>
        <v>1682974</v>
      </c>
      <c r="E2279">
        <v>1</v>
      </c>
      <c r="F2279" t="s">
        <v>2913</v>
      </c>
    </row>
    <row r="2280" spans="1:6" x14ac:dyDescent="0.25">
      <c r="A2280" t="s">
        <v>2823</v>
      </c>
      <c r="B2280" t="s">
        <v>89</v>
      </c>
      <c r="C2280" t="s">
        <v>34</v>
      </c>
      <c r="D2280" t="str">
        <f>HYPERLINK("http://service.sap.com/sap/support/notes/1683973","1683973")</f>
        <v>1683973</v>
      </c>
      <c r="E2280">
        <v>2</v>
      </c>
      <c r="F2280" t="s">
        <v>2914</v>
      </c>
    </row>
    <row r="2281" spans="1:6" x14ac:dyDescent="0.25">
      <c r="A2281" t="s">
        <v>2823</v>
      </c>
      <c r="B2281" t="s">
        <v>89</v>
      </c>
      <c r="C2281" t="s">
        <v>34</v>
      </c>
      <c r="D2281" t="str">
        <f>HYPERLINK("http://service.sap.com/sap/support/notes/1684212","1684212")</f>
        <v>1684212</v>
      </c>
      <c r="E2281">
        <v>1</v>
      </c>
      <c r="F2281" t="s">
        <v>2915</v>
      </c>
    </row>
    <row r="2282" spans="1:6" x14ac:dyDescent="0.25">
      <c r="A2282" t="s">
        <v>2823</v>
      </c>
      <c r="B2282" t="s">
        <v>89</v>
      </c>
      <c r="C2282" t="s">
        <v>34</v>
      </c>
      <c r="D2282" t="str">
        <f>HYPERLINK("http://service.sap.com/sap/support/notes/1686957","1686957")</f>
        <v>1686957</v>
      </c>
      <c r="E2282">
        <v>4</v>
      </c>
      <c r="F2282" t="s">
        <v>2916</v>
      </c>
    </row>
    <row r="2283" spans="1:6" x14ac:dyDescent="0.25">
      <c r="A2283" t="s">
        <v>2823</v>
      </c>
      <c r="B2283" t="s">
        <v>89</v>
      </c>
      <c r="C2283" t="s">
        <v>34</v>
      </c>
      <c r="D2283" t="str">
        <f>HYPERLINK("http://service.sap.com/sap/support/notes/1687455","1687455")</f>
        <v>1687455</v>
      </c>
      <c r="E2283">
        <v>2</v>
      </c>
      <c r="F2283" t="s">
        <v>2917</v>
      </c>
    </row>
    <row r="2284" spans="1:6" x14ac:dyDescent="0.25">
      <c r="A2284" t="s">
        <v>2823</v>
      </c>
      <c r="B2284" t="s">
        <v>89</v>
      </c>
      <c r="C2284" t="s">
        <v>34</v>
      </c>
      <c r="D2284" t="str">
        <f>HYPERLINK("http://service.sap.com/sap/support/notes/1688459","1688459")</f>
        <v>1688459</v>
      </c>
      <c r="E2284">
        <v>3</v>
      </c>
      <c r="F2284" t="s">
        <v>2918</v>
      </c>
    </row>
    <row r="2285" spans="1:6" x14ac:dyDescent="0.25">
      <c r="A2285" t="s">
        <v>2823</v>
      </c>
      <c r="B2285" t="s">
        <v>89</v>
      </c>
      <c r="C2285" t="s">
        <v>34</v>
      </c>
      <c r="D2285" t="str">
        <f>HYPERLINK("http://service.sap.com/sap/support/notes/1688529","1688529")</f>
        <v>1688529</v>
      </c>
      <c r="E2285">
        <v>1</v>
      </c>
      <c r="F2285" t="s">
        <v>2919</v>
      </c>
    </row>
    <row r="2286" spans="1:6" x14ac:dyDescent="0.25">
      <c r="A2286" t="s">
        <v>2823</v>
      </c>
      <c r="B2286" t="s">
        <v>89</v>
      </c>
      <c r="C2286" t="s">
        <v>34</v>
      </c>
      <c r="D2286" t="str">
        <f>HYPERLINK("http://service.sap.com/sap/support/notes/1688792","1688792")</f>
        <v>1688792</v>
      </c>
      <c r="E2286">
        <v>1</v>
      </c>
      <c r="F2286" t="s">
        <v>2920</v>
      </c>
    </row>
    <row r="2287" spans="1:6" x14ac:dyDescent="0.25">
      <c r="A2287" t="s">
        <v>2823</v>
      </c>
      <c r="B2287" t="s">
        <v>89</v>
      </c>
      <c r="C2287" t="s">
        <v>34</v>
      </c>
      <c r="D2287" t="str">
        <f>HYPERLINK("http://service.sap.com/sap/support/notes/1689651","1689651")</f>
        <v>1689651</v>
      </c>
      <c r="E2287">
        <v>6</v>
      </c>
      <c r="F2287" t="s">
        <v>2921</v>
      </c>
    </row>
    <row r="2288" spans="1:6" x14ac:dyDescent="0.25">
      <c r="A2288" t="s">
        <v>2823</v>
      </c>
      <c r="B2288" t="s">
        <v>89</v>
      </c>
      <c r="C2288" t="s">
        <v>34</v>
      </c>
      <c r="D2288" t="str">
        <f>HYPERLINK("http://service.sap.com/sap/support/notes/1690114","1690114")</f>
        <v>1690114</v>
      </c>
      <c r="E2288">
        <v>4</v>
      </c>
      <c r="F2288" t="s">
        <v>2922</v>
      </c>
    </row>
    <row r="2289" spans="1:6" x14ac:dyDescent="0.25">
      <c r="A2289" t="s">
        <v>2823</v>
      </c>
      <c r="B2289" t="s">
        <v>89</v>
      </c>
      <c r="C2289" t="s">
        <v>34</v>
      </c>
      <c r="D2289" t="str">
        <f>HYPERLINK("http://service.sap.com/sap/support/notes/1690542","1690542")</f>
        <v>1690542</v>
      </c>
      <c r="E2289">
        <v>6</v>
      </c>
      <c r="F2289" t="s">
        <v>2923</v>
      </c>
    </row>
    <row r="2290" spans="1:6" x14ac:dyDescent="0.25">
      <c r="A2290" t="s">
        <v>2823</v>
      </c>
      <c r="B2290" t="s">
        <v>89</v>
      </c>
      <c r="C2290" t="s">
        <v>34</v>
      </c>
      <c r="D2290" t="str">
        <f>HYPERLINK("http://service.sap.com/sap/support/notes/1691848","1691848")</f>
        <v>1691848</v>
      </c>
      <c r="E2290">
        <v>3</v>
      </c>
      <c r="F2290" t="s">
        <v>2924</v>
      </c>
    </row>
    <row r="2291" spans="1:6" x14ac:dyDescent="0.25">
      <c r="A2291" t="s">
        <v>2823</v>
      </c>
      <c r="B2291" t="s">
        <v>89</v>
      </c>
      <c r="C2291" t="s">
        <v>34</v>
      </c>
      <c r="D2291" t="str">
        <f>HYPERLINK("http://service.sap.com/sap/support/notes/1694496","1694496")</f>
        <v>1694496</v>
      </c>
      <c r="E2291">
        <v>4</v>
      </c>
      <c r="F2291" t="s">
        <v>2925</v>
      </c>
    </row>
    <row r="2292" spans="1:6" x14ac:dyDescent="0.25">
      <c r="A2292" t="s">
        <v>2823</v>
      </c>
      <c r="B2292" t="s">
        <v>89</v>
      </c>
      <c r="C2292" t="s">
        <v>34</v>
      </c>
      <c r="D2292" t="str">
        <f>HYPERLINK("http://service.sap.com/sap/support/notes/1696250","1696250")</f>
        <v>1696250</v>
      </c>
      <c r="E2292">
        <v>1</v>
      </c>
      <c r="F2292" t="s">
        <v>2926</v>
      </c>
    </row>
    <row r="2293" spans="1:6" x14ac:dyDescent="0.25">
      <c r="A2293" t="s">
        <v>2823</v>
      </c>
      <c r="B2293" t="s">
        <v>90</v>
      </c>
      <c r="C2293" t="s">
        <v>82</v>
      </c>
      <c r="D2293" t="str">
        <f>HYPERLINK("http://service.sap.com/sap/support/notes/1693164","1693164")</f>
        <v>1693164</v>
      </c>
      <c r="E2293">
        <v>1</v>
      </c>
      <c r="F2293" t="s">
        <v>2927</v>
      </c>
    </row>
    <row r="2294" spans="1:6" x14ac:dyDescent="0.25">
      <c r="A2294" t="s">
        <v>2823</v>
      </c>
      <c r="B2294" t="s">
        <v>91</v>
      </c>
      <c r="C2294" t="s">
        <v>92</v>
      </c>
      <c r="D2294" t="str">
        <f>HYPERLINK("http://service.sap.com/sap/support/notes/1663621","1663621")</f>
        <v>1663621</v>
      </c>
      <c r="E2294">
        <v>5</v>
      </c>
      <c r="F2294" t="s">
        <v>2928</v>
      </c>
    </row>
    <row r="2295" spans="1:6" x14ac:dyDescent="0.25">
      <c r="A2295" t="s">
        <v>2823</v>
      </c>
      <c r="B2295" t="s">
        <v>91</v>
      </c>
      <c r="C2295" t="s">
        <v>92</v>
      </c>
      <c r="D2295" t="str">
        <f>HYPERLINK("http://service.sap.com/sap/support/notes/1664962","1664962")</f>
        <v>1664962</v>
      </c>
      <c r="E2295">
        <v>7</v>
      </c>
      <c r="F2295" t="s">
        <v>2929</v>
      </c>
    </row>
    <row r="2296" spans="1:6" x14ac:dyDescent="0.25">
      <c r="A2296" t="s">
        <v>2823</v>
      </c>
      <c r="B2296" t="s">
        <v>91</v>
      </c>
      <c r="C2296" t="s">
        <v>92</v>
      </c>
      <c r="D2296" t="str">
        <f>HYPERLINK("http://service.sap.com/sap/support/notes/1686431","1686431")</f>
        <v>1686431</v>
      </c>
      <c r="E2296">
        <v>4</v>
      </c>
      <c r="F2296" t="s">
        <v>2930</v>
      </c>
    </row>
    <row r="2297" spans="1:6" x14ac:dyDescent="0.25">
      <c r="A2297" t="s">
        <v>2823</v>
      </c>
      <c r="B2297" t="s">
        <v>91</v>
      </c>
      <c r="C2297" t="s">
        <v>92</v>
      </c>
      <c r="D2297" t="str">
        <f>HYPERLINK("http://service.sap.com/sap/support/notes/1688450","1688450")</f>
        <v>1688450</v>
      </c>
      <c r="E2297">
        <v>2</v>
      </c>
      <c r="F2297" t="s">
        <v>2931</v>
      </c>
    </row>
    <row r="2298" spans="1:6" x14ac:dyDescent="0.25">
      <c r="A2298" t="s">
        <v>2823</v>
      </c>
      <c r="B2298" t="s">
        <v>91</v>
      </c>
      <c r="C2298" t="s">
        <v>92</v>
      </c>
      <c r="D2298" t="str">
        <f>HYPERLINK("http://service.sap.com/sap/support/notes/1692578","1692578")</f>
        <v>1692578</v>
      </c>
      <c r="E2298">
        <v>1</v>
      </c>
      <c r="F2298" t="s">
        <v>2932</v>
      </c>
    </row>
    <row r="2299" spans="1:6" x14ac:dyDescent="0.25">
      <c r="A2299" t="s">
        <v>2823</v>
      </c>
      <c r="B2299" t="s">
        <v>94</v>
      </c>
      <c r="C2299" t="s">
        <v>95</v>
      </c>
      <c r="D2299" t="str">
        <f>HYPERLINK("http://service.sap.com/sap/support/notes/1678126","1678126")</f>
        <v>1678126</v>
      </c>
      <c r="E2299">
        <v>2</v>
      </c>
      <c r="F2299" t="s">
        <v>2933</v>
      </c>
    </row>
    <row r="2300" spans="1:6" x14ac:dyDescent="0.25">
      <c r="A2300" t="s">
        <v>2823</v>
      </c>
      <c r="B2300" t="s">
        <v>94</v>
      </c>
      <c r="C2300" t="s">
        <v>95</v>
      </c>
      <c r="D2300" t="str">
        <f>HYPERLINK("http://service.sap.com/sap/support/notes/1683198","1683198")</f>
        <v>1683198</v>
      </c>
      <c r="E2300">
        <v>1</v>
      </c>
      <c r="F2300" t="s">
        <v>2934</v>
      </c>
    </row>
    <row r="2301" spans="1:6" x14ac:dyDescent="0.25">
      <c r="A2301" t="s">
        <v>2823</v>
      </c>
      <c r="B2301" t="s">
        <v>306</v>
      </c>
      <c r="C2301" t="s">
        <v>132</v>
      </c>
      <c r="D2301" t="str">
        <f>HYPERLINK("http://service.sap.com/sap/support/notes/1681069","1681069")</f>
        <v>1681069</v>
      </c>
      <c r="E2301">
        <v>1</v>
      </c>
      <c r="F2301" t="s">
        <v>2935</v>
      </c>
    </row>
    <row r="2302" spans="1:6" x14ac:dyDescent="0.25">
      <c r="A2302" t="s">
        <v>2823</v>
      </c>
      <c r="B2302" t="s">
        <v>381</v>
      </c>
      <c r="C2302" t="s">
        <v>382</v>
      </c>
      <c r="D2302" t="str">
        <f>HYPERLINK("http://service.sap.com/sap/support/notes/1682655","1682655")</f>
        <v>1682655</v>
      </c>
      <c r="E2302">
        <v>1</v>
      </c>
      <c r="F2302" t="s">
        <v>2936</v>
      </c>
    </row>
    <row r="2303" spans="1:6" x14ac:dyDescent="0.25">
      <c r="A2303" t="s">
        <v>2823</v>
      </c>
      <c r="B2303" t="s">
        <v>381</v>
      </c>
      <c r="C2303" t="s">
        <v>382</v>
      </c>
      <c r="D2303" t="str">
        <f>HYPERLINK("http://service.sap.com/sap/support/notes/1683639","1683639")</f>
        <v>1683639</v>
      </c>
      <c r="E2303">
        <v>1</v>
      </c>
      <c r="F2303" t="s">
        <v>2937</v>
      </c>
    </row>
    <row r="2304" spans="1:6" x14ac:dyDescent="0.25">
      <c r="A2304" t="s">
        <v>2823</v>
      </c>
      <c r="B2304" t="s">
        <v>96</v>
      </c>
      <c r="C2304" t="s">
        <v>97</v>
      </c>
      <c r="D2304" t="str">
        <f>HYPERLINK("http://service.sap.com/sap/support/notes/1678181","1678181")</f>
        <v>1678181</v>
      </c>
      <c r="E2304">
        <v>3</v>
      </c>
      <c r="F2304" t="s">
        <v>2938</v>
      </c>
    </row>
    <row r="2305" spans="1:6" x14ac:dyDescent="0.25">
      <c r="A2305" t="s">
        <v>2823</v>
      </c>
      <c r="B2305" t="s">
        <v>96</v>
      </c>
      <c r="C2305" t="s">
        <v>97</v>
      </c>
      <c r="D2305" t="str">
        <f>HYPERLINK("http://service.sap.com/sap/support/notes/1679193","1679193")</f>
        <v>1679193</v>
      </c>
      <c r="E2305">
        <v>2</v>
      </c>
      <c r="F2305" t="s">
        <v>2939</v>
      </c>
    </row>
    <row r="2306" spans="1:6" x14ac:dyDescent="0.25">
      <c r="A2306" t="s">
        <v>2823</v>
      </c>
      <c r="B2306" t="s">
        <v>96</v>
      </c>
      <c r="C2306" t="s">
        <v>97</v>
      </c>
      <c r="D2306" t="str">
        <f>HYPERLINK("http://service.sap.com/sap/support/notes/1684245","1684245")</f>
        <v>1684245</v>
      </c>
      <c r="E2306">
        <v>1</v>
      </c>
      <c r="F2306" t="s">
        <v>2940</v>
      </c>
    </row>
    <row r="2307" spans="1:6" x14ac:dyDescent="0.25">
      <c r="A2307" t="s">
        <v>2823</v>
      </c>
      <c r="B2307" t="s">
        <v>96</v>
      </c>
      <c r="C2307" t="s">
        <v>97</v>
      </c>
      <c r="D2307" t="str">
        <f>HYPERLINK("http://service.sap.com/sap/support/notes/1689956","1689956")</f>
        <v>1689956</v>
      </c>
      <c r="E2307">
        <v>1</v>
      </c>
      <c r="F2307" t="s">
        <v>2941</v>
      </c>
    </row>
    <row r="2308" spans="1:6" x14ac:dyDescent="0.25">
      <c r="A2308" t="s">
        <v>2823</v>
      </c>
      <c r="B2308" t="s">
        <v>98</v>
      </c>
      <c r="C2308" t="s">
        <v>99</v>
      </c>
      <c r="D2308" t="str">
        <f>HYPERLINK("http://service.sap.com/sap/support/notes/1677780","1677780")</f>
        <v>1677780</v>
      </c>
      <c r="E2308">
        <v>2</v>
      </c>
      <c r="F2308" t="s">
        <v>2942</v>
      </c>
    </row>
    <row r="2309" spans="1:6" x14ac:dyDescent="0.25">
      <c r="A2309" t="s">
        <v>2823</v>
      </c>
      <c r="B2309" t="s">
        <v>98</v>
      </c>
      <c r="C2309" t="s">
        <v>99</v>
      </c>
      <c r="D2309" t="str">
        <f>HYPERLINK("http://service.sap.com/sap/support/notes/1680919","1680919")</f>
        <v>1680919</v>
      </c>
      <c r="E2309">
        <v>4</v>
      </c>
      <c r="F2309" t="s">
        <v>2943</v>
      </c>
    </row>
    <row r="2310" spans="1:6" x14ac:dyDescent="0.25">
      <c r="A2310" t="s">
        <v>2823</v>
      </c>
      <c r="B2310" t="s">
        <v>98</v>
      </c>
      <c r="C2310" t="s">
        <v>99</v>
      </c>
      <c r="D2310" t="str">
        <f>HYPERLINK("http://service.sap.com/sap/support/notes/1682027","1682027")</f>
        <v>1682027</v>
      </c>
      <c r="E2310">
        <v>3</v>
      </c>
      <c r="F2310" t="s">
        <v>2944</v>
      </c>
    </row>
    <row r="2311" spans="1:6" x14ac:dyDescent="0.25">
      <c r="A2311" t="s">
        <v>2823</v>
      </c>
      <c r="B2311" t="s">
        <v>98</v>
      </c>
      <c r="C2311" t="s">
        <v>99</v>
      </c>
      <c r="D2311" t="str">
        <f>HYPERLINK("http://service.sap.com/sap/support/notes/1682624","1682624")</f>
        <v>1682624</v>
      </c>
      <c r="E2311">
        <v>2</v>
      </c>
      <c r="F2311" t="s">
        <v>2945</v>
      </c>
    </row>
    <row r="2312" spans="1:6" x14ac:dyDescent="0.25">
      <c r="A2312" t="s">
        <v>2823</v>
      </c>
      <c r="B2312" t="s">
        <v>98</v>
      </c>
      <c r="C2312" t="s">
        <v>99</v>
      </c>
      <c r="D2312" t="str">
        <f>HYPERLINK("http://service.sap.com/sap/support/notes/1683118","1683118")</f>
        <v>1683118</v>
      </c>
      <c r="E2312">
        <v>2</v>
      </c>
      <c r="F2312" t="s">
        <v>2946</v>
      </c>
    </row>
    <row r="2313" spans="1:6" x14ac:dyDescent="0.25">
      <c r="A2313" t="s">
        <v>2823</v>
      </c>
      <c r="B2313" t="s">
        <v>98</v>
      </c>
      <c r="C2313" t="s">
        <v>99</v>
      </c>
      <c r="D2313" t="str">
        <f>HYPERLINK("http://service.sap.com/sap/support/notes/1683537","1683537")</f>
        <v>1683537</v>
      </c>
      <c r="E2313">
        <v>3</v>
      </c>
      <c r="F2313" t="s">
        <v>2947</v>
      </c>
    </row>
    <row r="2314" spans="1:6" x14ac:dyDescent="0.25">
      <c r="A2314" t="s">
        <v>2823</v>
      </c>
      <c r="B2314" t="s">
        <v>98</v>
      </c>
      <c r="C2314" t="s">
        <v>99</v>
      </c>
      <c r="D2314" t="str">
        <f>HYPERLINK("http://service.sap.com/sap/support/notes/1685242","1685242")</f>
        <v>1685242</v>
      </c>
      <c r="E2314">
        <v>2</v>
      </c>
      <c r="F2314" t="s">
        <v>2948</v>
      </c>
    </row>
    <row r="2315" spans="1:6" x14ac:dyDescent="0.25">
      <c r="A2315" t="s">
        <v>2823</v>
      </c>
      <c r="B2315" t="s">
        <v>98</v>
      </c>
      <c r="C2315" t="s">
        <v>99</v>
      </c>
      <c r="D2315" t="str">
        <f>HYPERLINK("http://service.sap.com/sap/support/notes/1690144","1690144")</f>
        <v>1690144</v>
      </c>
      <c r="E2315">
        <v>2</v>
      </c>
      <c r="F2315" t="s">
        <v>2949</v>
      </c>
    </row>
    <row r="2316" spans="1:6" x14ac:dyDescent="0.25">
      <c r="A2316" t="s">
        <v>2823</v>
      </c>
      <c r="B2316" t="s">
        <v>98</v>
      </c>
      <c r="C2316" t="s">
        <v>99</v>
      </c>
      <c r="D2316" t="str">
        <f>HYPERLINK("http://service.sap.com/sap/support/notes/1691437","1691437")</f>
        <v>1691437</v>
      </c>
      <c r="E2316">
        <v>3</v>
      </c>
      <c r="F2316" t="s">
        <v>2950</v>
      </c>
    </row>
    <row r="2317" spans="1:6" x14ac:dyDescent="0.25">
      <c r="A2317" t="s">
        <v>2823</v>
      </c>
      <c r="B2317" t="s">
        <v>98</v>
      </c>
      <c r="C2317" t="s">
        <v>99</v>
      </c>
      <c r="D2317" t="str">
        <f>HYPERLINK("http://service.sap.com/sap/support/notes/1694693","1694693")</f>
        <v>1694693</v>
      </c>
      <c r="E2317">
        <v>2</v>
      </c>
      <c r="F2317" t="s">
        <v>2951</v>
      </c>
    </row>
    <row r="2318" spans="1:6" x14ac:dyDescent="0.25">
      <c r="A2318" t="s">
        <v>2823</v>
      </c>
      <c r="B2318" t="s">
        <v>100</v>
      </c>
      <c r="C2318" t="s">
        <v>36</v>
      </c>
      <c r="D2318" t="str">
        <f>HYPERLINK("http://service.sap.com/sap/support/notes/1672616","1672616")</f>
        <v>1672616</v>
      </c>
      <c r="E2318">
        <v>2</v>
      </c>
      <c r="F2318" t="s">
        <v>2952</v>
      </c>
    </row>
    <row r="2319" spans="1:6" x14ac:dyDescent="0.25">
      <c r="A2319" t="s">
        <v>2823</v>
      </c>
      <c r="B2319" t="s">
        <v>101</v>
      </c>
      <c r="C2319" t="s">
        <v>38</v>
      </c>
      <c r="D2319" t="str">
        <f>HYPERLINK("http://service.sap.com/sap/support/notes/1658238","1658238")</f>
        <v>1658238</v>
      </c>
      <c r="E2319">
        <v>1</v>
      </c>
      <c r="F2319" t="s">
        <v>2953</v>
      </c>
    </row>
    <row r="2320" spans="1:6" x14ac:dyDescent="0.25">
      <c r="A2320" t="s">
        <v>2823</v>
      </c>
      <c r="B2320" t="s">
        <v>101</v>
      </c>
      <c r="C2320" t="s">
        <v>38</v>
      </c>
      <c r="D2320" t="str">
        <f>HYPERLINK("http://service.sap.com/sap/support/notes/1686706","1686706")</f>
        <v>1686706</v>
      </c>
      <c r="E2320">
        <v>2</v>
      </c>
      <c r="F2320" t="s">
        <v>2954</v>
      </c>
    </row>
    <row r="2321" spans="1:6" x14ac:dyDescent="0.25">
      <c r="A2321" t="s">
        <v>2823</v>
      </c>
      <c r="B2321" t="s">
        <v>101</v>
      </c>
      <c r="C2321" t="s">
        <v>38</v>
      </c>
      <c r="D2321" t="str">
        <f>HYPERLINK("http://service.sap.com/sap/support/notes/1697472","1697472")</f>
        <v>1697472</v>
      </c>
      <c r="E2321">
        <v>1</v>
      </c>
      <c r="F2321" t="s">
        <v>2955</v>
      </c>
    </row>
    <row r="2322" spans="1:6" x14ac:dyDescent="0.25">
      <c r="A2322" t="s">
        <v>2823</v>
      </c>
      <c r="B2322" t="s">
        <v>102</v>
      </c>
      <c r="C2322" t="s">
        <v>103</v>
      </c>
      <c r="D2322" t="str">
        <f>HYPERLINK("http://service.sap.com/sap/support/notes/1687689","1687689")</f>
        <v>1687689</v>
      </c>
      <c r="E2322">
        <v>3</v>
      </c>
      <c r="F2322" t="s">
        <v>2956</v>
      </c>
    </row>
    <row r="2323" spans="1:6" x14ac:dyDescent="0.25">
      <c r="A2323" t="s">
        <v>2823</v>
      </c>
      <c r="B2323" t="s">
        <v>104</v>
      </c>
      <c r="C2323" t="s">
        <v>105</v>
      </c>
      <c r="D2323" t="str">
        <f>HYPERLINK("http://service.sap.com/sap/support/notes/1684081","1684081")</f>
        <v>1684081</v>
      </c>
      <c r="E2323">
        <v>2</v>
      </c>
      <c r="F2323" t="s">
        <v>945</v>
      </c>
    </row>
    <row r="2324" spans="1:6" x14ac:dyDescent="0.25">
      <c r="A2324" t="s">
        <v>2823</v>
      </c>
      <c r="B2324" t="s">
        <v>104</v>
      </c>
      <c r="C2324" t="s">
        <v>105</v>
      </c>
      <c r="D2324" t="str">
        <f>HYPERLINK("http://service.sap.com/sap/support/notes/1694282","1694282")</f>
        <v>1694282</v>
      </c>
      <c r="E2324">
        <v>1</v>
      </c>
      <c r="F2324" t="s">
        <v>2957</v>
      </c>
    </row>
    <row r="2325" spans="1:6" x14ac:dyDescent="0.25">
      <c r="A2325" t="s">
        <v>2823</v>
      </c>
      <c r="B2325" t="s">
        <v>106</v>
      </c>
      <c r="C2325" t="s">
        <v>107</v>
      </c>
    </row>
    <row r="2326" spans="1:6" x14ac:dyDescent="0.25">
      <c r="A2326" t="s">
        <v>2823</v>
      </c>
      <c r="B2326" t="s">
        <v>108</v>
      </c>
      <c r="C2326" t="s">
        <v>109</v>
      </c>
      <c r="D2326" t="str">
        <f>HYPERLINK("http://service.sap.com/sap/support/notes/1685066","1685066")</f>
        <v>1685066</v>
      </c>
      <c r="E2326">
        <v>2</v>
      </c>
      <c r="F2326" t="s">
        <v>2958</v>
      </c>
    </row>
    <row r="2327" spans="1:6" x14ac:dyDescent="0.25">
      <c r="A2327" t="s">
        <v>2823</v>
      </c>
      <c r="B2327" t="s">
        <v>108</v>
      </c>
      <c r="C2327" t="s">
        <v>109</v>
      </c>
      <c r="D2327" t="str">
        <f>HYPERLINK("http://service.sap.com/sap/support/notes/1686423","1686423")</f>
        <v>1686423</v>
      </c>
      <c r="E2327">
        <v>1</v>
      </c>
      <c r="F2327" t="s">
        <v>2959</v>
      </c>
    </row>
    <row r="2328" spans="1:6" x14ac:dyDescent="0.25">
      <c r="A2328" t="s">
        <v>2823</v>
      </c>
      <c r="B2328" t="s">
        <v>108</v>
      </c>
      <c r="C2328" t="s">
        <v>109</v>
      </c>
      <c r="D2328" t="str">
        <f>HYPERLINK("http://service.sap.com/sap/support/notes/1689106","1689106")</f>
        <v>1689106</v>
      </c>
      <c r="E2328">
        <v>2</v>
      </c>
      <c r="F2328" t="s">
        <v>2960</v>
      </c>
    </row>
    <row r="2329" spans="1:6" x14ac:dyDescent="0.25">
      <c r="A2329" t="s">
        <v>2823</v>
      </c>
      <c r="B2329" t="s">
        <v>609</v>
      </c>
      <c r="C2329" t="s">
        <v>610</v>
      </c>
      <c r="D2329" t="str">
        <f>HYPERLINK("http://service.sap.com/sap/support/notes/1685672","1685672")</f>
        <v>1685672</v>
      </c>
      <c r="E2329">
        <v>2</v>
      </c>
      <c r="F2329" t="s">
        <v>2961</v>
      </c>
    </row>
    <row r="2330" spans="1:6" x14ac:dyDescent="0.25">
      <c r="A2330" t="s">
        <v>2823</v>
      </c>
      <c r="B2330" t="s">
        <v>609</v>
      </c>
      <c r="C2330" t="s">
        <v>610</v>
      </c>
      <c r="D2330" t="str">
        <f>HYPERLINK("http://service.sap.com/sap/support/notes/1685725","1685725")</f>
        <v>1685725</v>
      </c>
      <c r="E2330">
        <v>2</v>
      </c>
      <c r="F2330" t="s">
        <v>2962</v>
      </c>
    </row>
    <row r="2331" spans="1:6" x14ac:dyDescent="0.25">
      <c r="A2331" t="s">
        <v>2823</v>
      </c>
      <c r="B2331" t="s">
        <v>609</v>
      </c>
      <c r="C2331" t="s">
        <v>610</v>
      </c>
      <c r="D2331" t="str">
        <f>HYPERLINK("http://service.sap.com/sap/support/notes/1688304","1688304")</f>
        <v>1688304</v>
      </c>
      <c r="E2331">
        <v>4</v>
      </c>
      <c r="F2331" t="s">
        <v>2963</v>
      </c>
    </row>
    <row r="2332" spans="1:6" x14ac:dyDescent="0.25">
      <c r="A2332" t="s">
        <v>2823</v>
      </c>
      <c r="B2332" t="s">
        <v>609</v>
      </c>
      <c r="C2332" t="s">
        <v>610</v>
      </c>
      <c r="D2332" t="str">
        <f>HYPERLINK("http://service.sap.com/sap/support/notes/1688490","1688490")</f>
        <v>1688490</v>
      </c>
      <c r="E2332">
        <v>3</v>
      </c>
      <c r="F2332" t="s">
        <v>2964</v>
      </c>
    </row>
    <row r="2333" spans="1:6" x14ac:dyDescent="0.25">
      <c r="A2333" t="s">
        <v>2823</v>
      </c>
      <c r="B2333" t="s">
        <v>609</v>
      </c>
      <c r="C2333" t="s">
        <v>610</v>
      </c>
      <c r="D2333" t="str">
        <f>HYPERLINK("http://service.sap.com/sap/support/notes/1688663","1688663")</f>
        <v>1688663</v>
      </c>
      <c r="E2333">
        <v>3</v>
      </c>
      <c r="F2333" t="s">
        <v>2965</v>
      </c>
    </row>
    <row r="2334" spans="1:6" x14ac:dyDescent="0.25">
      <c r="A2334" t="s">
        <v>2823</v>
      </c>
      <c r="B2334" t="s">
        <v>609</v>
      </c>
      <c r="C2334" t="s">
        <v>610</v>
      </c>
      <c r="D2334" t="str">
        <f>HYPERLINK("http://service.sap.com/sap/support/notes/1691093","1691093")</f>
        <v>1691093</v>
      </c>
      <c r="E2334">
        <v>2</v>
      </c>
      <c r="F2334" t="s">
        <v>2966</v>
      </c>
    </row>
    <row r="2335" spans="1:6" x14ac:dyDescent="0.25">
      <c r="A2335" t="s">
        <v>2823</v>
      </c>
      <c r="B2335" t="s">
        <v>609</v>
      </c>
      <c r="C2335" t="s">
        <v>610</v>
      </c>
      <c r="D2335" t="str">
        <f>HYPERLINK("http://service.sap.com/sap/support/notes/1691766","1691766")</f>
        <v>1691766</v>
      </c>
      <c r="E2335">
        <v>2</v>
      </c>
      <c r="F2335" t="s">
        <v>2967</v>
      </c>
    </row>
    <row r="2336" spans="1:6" x14ac:dyDescent="0.25">
      <c r="A2336" t="s">
        <v>2823</v>
      </c>
      <c r="B2336" t="s">
        <v>609</v>
      </c>
      <c r="C2336" t="s">
        <v>610</v>
      </c>
      <c r="D2336" t="str">
        <f>HYPERLINK("http://service.sap.com/sap/support/notes/1694714","1694714")</f>
        <v>1694714</v>
      </c>
      <c r="E2336">
        <v>1</v>
      </c>
      <c r="F2336" t="s">
        <v>2968</v>
      </c>
    </row>
    <row r="2337" spans="1:6" x14ac:dyDescent="0.25">
      <c r="A2337" t="s">
        <v>2823</v>
      </c>
      <c r="B2337" t="s">
        <v>609</v>
      </c>
      <c r="C2337" t="s">
        <v>610</v>
      </c>
      <c r="D2337" t="str">
        <f>HYPERLINK("http://service.sap.com/sap/support/notes/1696426","1696426")</f>
        <v>1696426</v>
      </c>
      <c r="E2337">
        <v>1</v>
      </c>
      <c r="F2337" t="s">
        <v>2969</v>
      </c>
    </row>
    <row r="2338" spans="1:6" x14ac:dyDescent="0.25">
      <c r="A2338" t="s">
        <v>2823</v>
      </c>
      <c r="B2338" t="s">
        <v>609</v>
      </c>
      <c r="C2338" t="s">
        <v>610</v>
      </c>
      <c r="D2338" t="str">
        <f>HYPERLINK("http://service.sap.com/sap/support/notes/1697378","1697378")</f>
        <v>1697378</v>
      </c>
      <c r="E2338">
        <v>1</v>
      </c>
      <c r="F2338" t="s">
        <v>2970</v>
      </c>
    </row>
    <row r="2339" spans="1:6" x14ac:dyDescent="0.25">
      <c r="A2339" t="s">
        <v>2823</v>
      </c>
      <c r="B2339" t="s">
        <v>312</v>
      </c>
      <c r="C2339" t="s">
        <v>313</v>
      </c>
      <c r="D2339" t="str">
        <f>HYPERLINK("http://service.sap.com/sap/support/notes/1688971","1688971")</f>
        <v>1688971</v>
      </c>
      <c r="E2339">
        <v>2</v>
      </c>
      <c r="F2339" t="s">
        <v>2971</v>
      </c>
    </row>
    <row r="2340" spans="1:6" x14ac:dyDescent="0.25">
      <c r="A2340" t="s">
        <v>2823</v>
      </c>
      <c r="B2340" t="s">
        <v>312</v>
      </c>
      <c r="C2340" t="s">
        <v>313</v>
      </c>
      <c r="D2340" t="str">
        <f>HYPERLINK("http://service.sap.com/sap/support/notes/1692609","1692609")</f>
        <v>1692609</v>
      </c>
      <c r="E2340">
        <v>2</v>
      </c>
      <c r="F2340" t="s">
        <v>2972</v>
      </c>
    </row>
    <row r="2341" spans="1:6" x14ac:dyDescent="0.25">
      <c r="A2341" t="s">
        <v>2823</v>
      </c>
      <c r="B2341" t="s">
        <v>114</v>
      </c>
      <c r="C2341" t="s">
        <v>115</v>
      </c>
    </row>
    <row r="2342" spans="1:6" x14ac:dyDescent="0.25">
      <c r="A2342" t="s">
        <v>2823</v>
      </c>
      <c r="B2342" t="s">
        <v>116</v>
      </c>
      <c r="C2342" t="s">
        <v>117</v>
      </c>
      <c r="D2342" t="str">
        <f>HYPERLINK("http://service.sap.com/sap/support/notes/1686936","1686936")</f>
        <v>1686936</v>
      </c>
      <c r="E2342">
        <v>3</v>
      </c>
      <c r="F2342" t="s">
        <v>2973</v>
      </c>
    </row>
    <row r="2343" spans="1:6" x14ac:dyDescent="0.25">
      <c r="A2343" t="s">
        <v>2823</v>
      </c>
      <c r="B2343" t="s">
        <v>118</v>
      </c>
      <c r="C2343" t="s">
        <v>119</v>
      </c>
      <c r="D2343" t="str">
        <f>HYPERLINK("http://service.sap.com/sap/support/notes/1686725","1686725")</f>
        <v>1686725</v>
      </c>
      <c r="E2343">
        <v>2</v>
      </c>
      <c r="F2343" t="s">
        <v>2974</v>
      </c>
    </row>
    <row r="2344" spans="1:6" x14ac:dyDescent="0.25">
      <c r="A2344" t="s">
        <v>2823</v>
      </c>
      <c r="B2344" t="s">
        <v>118</v>
      </c>
      <c r="C2344" t="s">
        <v>119</v>
      </c>
      <c r="D2344" t="str">
        <f>HYPERLINK("http://service.sap.com/sap/support/notes/1689947","1689947")</f>
        <v>1689947</v>
      </c>
      <c r="E2344">
        <v>1</v>
      </c>
      <c r="F2344" t="s">
        <v>2975</v>
      </c>
    </row>
    <row r="2345" spans="1:6" x14ac:dyDescent="0.25">
      <c r="A2345" t="s">
        <v>2823</v>
      </c>
      <c r="B2345" t="s">
        <v>118</v>
      </c>
      <c r="C2345" t="s">
        <v>119</v>
      </c>
      <c r="D2345" t="str">
        <f>HYPERLINK("http://service.sap.com/sap/support/notes/1696425","1696425")</f>
        <v>1696425</v>
      </c>
      <c r="E2345">
        <v>5</v>
      </c>
      <c r="F2345" t="s">
        <v>2976</v>
      </c>
    </row>
    <row r="2346" spans="1:6" x14ac:dyDescent="0.25">
      <c r="A2346" t="s">
        <v>2823</v>
      </c>
      <c r="B2346" t="s">
        <v>120</v>
      </c>
      <c r="C2346" t="s">
        <v>121</v>
      </c>
      <c r="D2346" t="str">
        <f>HYPERLINK("http://service.sap.com/sap/support/notes/1671964","1671964")</f>
        <v>1671964</v>
      </c>
      <c r="E2346">
        <v>1</v>
      </c>
      <c r="F2346" t="s">
        <v>2977</v>
      </c>
    </row>
    <row r="2347" spans="1:6" x14ac:dyDescent="0.25">
      <c r="A2347" t="s">
        <v>2823</v>
      </c>
      <c r="B2347" t="s">
        <v>120</v>
      </c>
      <c r="C2347" t="s">
        <v>121</v>
      </c>
      <c r="D2347" t="str">
        <f>HYPERLINK("http://service.sap.com/sap/support/notes/1682896","1682896")</f>
        <v>1682896</v>
      </c>
      <c r="E2347">
        <v>1</v>
      </c>
      <c r="F2347" t="s">
        <v>2978</v>
      </c>
    </row>
    <row r="2348" spans="1:6" x14ac:dyDescent="0.25">
      <c r="A2348" t="s">
        <v>2823</v>
      </c>
      <c r="B2348" t="s">
        <v>120</v>
      </c>
      <c r="C2348" t="s">
        <v>121</v>
      </c>
      <c r="D2348" t="str">
        <f>HYPERLINK("http://service.sap.com/sap/support/notes/1683461","1683461")</f>
        <v>1683461</v>
      </c>
      <c r="E2348">
        <v>1</v>
      </c>
      <c r="F2348" t="s">
        <v>2979</v>
      </c>
    </row>
    <row r="2349" spans="1:6" x14ac:dyDescent="0.25">
      <c r="A2349" t="s">
        <v>2823</v>
      </c>
      <c r="B2349" t="s">
        <v>120</v>
      </c>
      <c r="C2349" t="s">
        <v>121</v>
      </c>
      <c r="D2349" t="str">
        <f>HYPERLINK("http://service.sap.com/sap/support/notes/1686330","1686330")</f>
        <v>1686330</v>
      </c>
      <c r="E2349">
        <v>1</v>
      </c>
      <c r="F2349" t="s">
        <v>2980</v>
      </c>
    </row>
    <row r="2350" spans="1:6" x14ac:dyDescent="0.25">
      <c r="A2350" t="s">
        <v>2823</v>
      </c>
      <c r="B2350" t="s">
        <v>120</v>
      </c>
      <c r="C2350" t="s">
        <v>121</v>
      </c>
      <c r="D2350" t="str">
        <f>HYPERLINK("http://service.sap.com/sap/support/notes/1688438","1688438")</f>
        <v>1688438</v>
      </c>
      <c r="E2350">
        <v>1</v>
      </c>
      <c r="F2350" t="s">
        <v>2981</v>
      </c>
    </row>
    <row r="2351" spans="1:6" x14ac:dyDescent="0.25">
      <c r="A2351" t="s">
        <v>2823</v>
      </c>
      <c r="B2351" t="s">
        <v>122</v>
      </c>
      <c r="C2351" t="s">
        <v>123</v>
      </c>
      <c r="D2351" t="str">
        <f>HYPERLINK("http://service.sap.com/sap/support/notes/1663525","1663525")</f>
        <v>1663525</v>
      </c>
      <c r="E2351">
        <v>4</v>
      </c>
      <c r="F2351" t="s">
        <v>2982</v>
      </c>
    </row>
    <row r="2352" spans="1:6" x14ac:dyDescent="0.25">
      <c r="A2352" t="s">
        <v>2823</v>
      </c>
      <c r="B2352" t="s">
        <v>122</v>
      </c>
      <c r="C2352" t="s">
        <v>123</v>
      </c>
      <c r="D2352" t="str">
        <f>HYPERLINK("http://service.sap.com/sap/support/notes/1686716","1686716")</f>
        <v>1686716</v>
      </c>
      <c r="E2352">
        <v>2</v>
      </c>
      <c r="F2352" t="s">
        <v>2983</v>
      </c>
    </row>
    <row r="2353" spans="1:6" x14ac:dyDescent="0.25">
      <c r="A2353" t="s">
        <v>2823</v>
      </c>
      <c r="B2353" t="s">
        <v>122</v>
      </c>
      <c r="C2353" t="s">
        <v>123</v>
      </c>
      <c r="D2353" t="str">
        <f>HYPERLINK("http://service.sap.com/sap/support/notes/1687989","1687989")</f>
        <v>1687989</v>
      </c>
      <c r="E2353">
        <v>1</v>
      </c>
      <c r="F2353" t="s">
        <v>2984</v>
      </c>
    </row>
    <row r="2354" spans="1:6" x14ac:dyDescent="0.25">
      <c r="A2354" t="s">
        <v>2823</v>
      </c>
      <c r="B2354" t="s">
        <v>122</v>
      </c>
      <c r="C2354" t="s">
        <v>123</v>
      </c>
      <c r="D2354" t="str">
        <f>HYPERLINK("http://service.sap.com/sap/support/notes/1688289","1688289")</f>
        <v>1688289</v>
      </c>
      <c r="E2354">
        <v>1</v>
      </c>
      <c r="F2354" t="s">
        <v>2985</v>
      </c>
    </row>
    <row r="2355" spans="1:6" x14ac:dyDescent="0.25">
      <c r="A2355" t="s">
        <v>2823</v>
      </c>
      <c r="B2355" t="s">
        <v>122</v>
      </c>
      <c r="C2355" t="s">
        <v>123</v>
      </c>
      <c r="D2355" t="str">
        <f>HYPERLINK("http://service.sap.com/sap/support/notes/1690272","1690272")</f>
        <v>1690272</v>
      </c>
      <c r="E2355">
        <v>2</v>
      </c>
      <c r="F2355" t="s">
        <v>2986</v>
      </c>
    </row>
    <row r="2356" spans="1:6" x14ac:dyDescent="0.25">
      <c r="A2356" t="s">
        <v>2823</v>
      </c>
      <c r="B2356" t="s">
        <v>122</v>
      </c>
      <c r="C2356" t="s">
        <v>123</v>
      </c>
      <c r="D2356" t="str">
        <f>HYPERLINK("http://service.sap.com/sap/support/notes/1697134","1697134")</f>
        <v>1697134</v>
      </c>
      <c r="E2356">
        <v>3</v>
      </c>
      <c r="F2356" t="s">
        <v>2987</v>
      </c>
    </row>
    <row r="2357" spans="1:6" x14ac:dyDescent="0.25">
      <c r="A2357" t="s">
        <v>2823</v>
      </c>
      <c r="B2357" t="s">
        <v>124</v>
      </c>
      <c r="C2357" t="s">
        <v>82</v>
      </c>
      <c r="D2357" t="str">
        <f>HYPERLINK("http://service.sap.com/sap/support/notes/1678390","1678390")</f>
        <v>1678390</v>
      </c>
      <c r="E2357">
        <v>2</v>
      </c>
      <c r="F2357" t="s">
        <v>2988</v>
      </c>
    </row>
    <row r="2358" spans="1:6" x14ac:dyDescent="0.25">
      <c r="A2358" t="s">
        <v>2823</v>
      </c>
      <c r="B2358" t="s">
        <v>124</v>
      </c>
      <c r="C2358" t="s">
        <v>82</v>
      </c>
      <c r="D2358" t="str">
        <f>HYPERLINK("http://service.sap.com/sap/support/notes/1679687","1679687")</f>
        <v>1679687</v>
      </c>
      <c r="E2358">
        <v>1</v>
      </c>
      <c r="F2358" t="s">
        <v>2989</v>
      </c>
    </row>
    <row r="2359" spans="1:6" x14ac:dyDescent="0.25">
      <c r="A2359" t="s">
        <v>2823</v>
      </c>
      <c r="B2359" t="s">
        <v>124</v>
      </c>
      <c r="C2359" t="s">
        <v>82</v>
      </c>
      <c r="D2359" t="str">
        <f>HYPERLINK("http://service.sap.com/sap/support/notes/1680263","1680263")</f>
        <v>1680263</v>
      </c>
      <c r="E2359">
        <v>1</v>
      </c>
      <c r="F2359" t="s">
        <v>2990</v>
      </c>
    </row>
    <row r="2360" spans="1:6" x14ac:dyDescent="0.25">
      <c r="A2360" t="s">
        <v>2823</v>
      </c>
      <c r="B2360" t="s">
        <v>124</v>
      </c>
      <c r="C2360" t="s">
        <v>82</v>
      </c>
      <c r="D2360" t="str">
        <f>HYPERLINK("http://service.sap.com/sap/support/notes/1683582","1683582")</f>
        <v>1683582</v>
      </c>
      <c r="E2360">
        <v>6</v>
      </c>
      <c r="F2360" t="s">
        <v>2991</v>
      </c>
    </row>
    <row r="2361" spans="1:6" x14ac:dyDescent="0.25">
      <c r="A2361" t="s">
        <v>2823</v>
      </c>
      <c r="B2361" t="s">
        <v>124</v>
      </c>
      <c r="C2361" t="s">
        <v>82</v>
      </c>
      <c r="D2361" t="str">
        <f>HYPERLINK("http://service.sap.com/sap/support/notes/1686820","1686820")</f>
        <v>1686820</v>
      </c>
      <c r="E2361">
        <v>2</v>
      </c>
      <c r="F2361" t="s">
        <v>2992</v>
      </c>
    </row>
    <row r="2362" spans="1:6" x14ac:dyDescent="0.25">
      <c r="A2362" t="s">
        <v>2823</v>
      </c>
      <c r="B2362" t="s">
        <v>124</v>
      </c>
      <c r="C2362" t="s">
        <v>82</v>
      </c>
      <c r="D2362" t="str">
        <f>HYPERLINK("http://service.sap.com/sap/support/notes/1688485","1688485")</f>
        <v>1688485</v>
      </c>
      <c r="E2362">
        <v>2</v>
      </c>
      <c r="F2362" t="s">
        <v>2993</v>
      </c>
    </row>
    <row r="2363" spans="1:6" x14ac:dyDescent="0.25">
      <c r="A2363" t="s">
        <v>2823</v>
      </c>
      <c r="B2363" t="s">
        <v>124</v>
      </c>
      <c r="C2363" t="s">
        <v>82</v>
      </c>
      <c r="D2363" t="str">
        <f>HYPERLINK("http://service.sap.com/sap/support/notes/1689509","1689509")</f>
        <v>1689509</v>
      </c>
      <c r="E2363">
        <v>1</v>
      </c>
      <c r="F2363" t="s">
        <v>2994</v>
      </c>
    </row>
    <row r="2364" spans="1:6" x14ac:dyDescent="0.25">
      <c r="A2364" t="s">
        <v>2823</v>
      </c>
      <c r="B2364" t="s">
        <v>124</v>
      </c>
      <c r="C2364" t="s">
        <v>82</v>
      </c>
      <c r="D2364" t="str">
        <f>HYPERLINK("http://service.sap.com/sap/support/notes/1690686","1690686")</f>
        <v>1690686</v>
      </c>
      <c r="E2364">
        <v>4</v>
      </c>
      <c r="F2364" t="s">
        <v>2995</v>
      </c>
    </row>
    <row r="2365" spans="1:6" x14ac:dyDescent="0.25">
      <c r="A2365" t="s">
        <v>2823</v>
      </c>
      <c r="B2365" t="s">
        <v>124</v>
      </c>
      <c r="C2365" t="s">
        <v>82</v>
      </c>
      <c r="D2365" t="str">
        <f>HYPERLINK("http://service.sap.com/sap/support/notes/1691902","1691902")</f>
        <v>1691902</v>
      </c>
      <c r="E2365">
        <v>2</v>
      </c>
      <c r="F2365" t="s">
        <v>2996</v>
      </c>
    </row>
    <row r="2366" spans="1:6" x14ac:dyDescent="0.25">
      <c r="A2366" t="s">
        <v>2823</v>
      </c>
      <c r="B2366" t="s">
        <v>124</v>
      </c>
      <c r="C2366" t="s">
        <v>82</v>
      </c>
      <c r="D2366" t="str">
        <f>HYPERLINK("http://service.sap.com/sap/support/notes/1693381","1693381")</f>
        <v>1693381</v>
      </c>
      <c r="E2366">
        <v>1</v>
      </c>
      <c r="F2366" t="s">
        <v>2997</v>
      </c>
    </row>
    <row r="2367" spans="1:6" x14ac:dyDescent="0.25">
      <c r="A2367" t="s">
        <v>2823</v>
      </c>
      <c r="B2367" t="s">
        <v>124</v>
      </c>
      <c r="C2367" t="s">
        <v>82</v>
      </c>
      <c r="D2367" t="str">
        <f>HYPERLINK("http://service.sap.com/sap/support/notes/1694034","1694034")</f>
        <v>1694034</v>
      </c>
      <c r="E2367">
        <v>1</v>
      </c>
      <c r="F2367" t="s">
        <v>2998</v>
      </c>
    </row>
    <row r="2368" spans="1:6" x14ac:dyDescent="0.25">
      <c r="A2368" t="s">
        <v>2823</v>
      </c>
      <c r="B2368" t="s">
        <v>124</v>
      </c>
      <c r="C2368" t="s">
        <v>82</v>
      </c>
      <c r="D2368" t="str">
        <f>HYPERLINK("http://service.sap.com/sap/support/notes/1694698","1694698")</f>
        <v>1694698</v>
      </c>
      <c r="E2368">
        <v>1</v>
      </c>
      <c r="F2368" t="s">
        <v>2999</v>
      </c>
    </row>
    <row r="2369" spans="1:6" x14ac:dyDescent="0.25">
      <c r="A2369" t="s">
        <v>2823</v>
      </c>
      <c r="B2369" t="s">
        <v>127</v>
      </c>
      <c r="C2369" t="s">
        <v>128</v>
      </c>
      <c r="D2369" t="str">
        <f>HYPERLINK("http://service.sap.com/sap/support/notes/1597662","1597662")</f>
        <v>1597662</v>
      </c>
      <c r="E2369">
        <v>5</v>
      </c>
      <c r="F2369" t="s">
        <v>3000</v>
      </c>
    </row>
    <row r="2370" spans="1:6" x14ac:dyDescent="0.25">
      <c r="A2370" t="s">
        <v>2823</v>
      </c>
      <c r="B2370" t="s">
        <v>127</v>
      </c>
      <c r="C2370" t="s">
        <v>128</v>
      </c>
      <c r="D2370" t="str">
        <f>HYPERLINK("http://service.sap.com/sap/support/notes/1684523","1684523")</f>
        <v>1684523</v>
      </c>
      <c r="E2370">
        <v>4</v>
      </c>
      <c r="F2370" t="s">
        <v>3001</v>
      </c>
    </row>
    <row r="2371" spans="1:6" x14ac:dyDescent="0.25">
      <c r="A2371" t="s">
        <v>2823</v>
      </c>
      <c r="B2371" t="s">
        <v>127</v>
      </c>
      <c r="C2371" t="s">
        <v>128</v>
      </c>
      <c r="D2371" t="str">
        <f>HYPERLINK("http://service.sap.com/sap/support/notes/1686711","1686711")</f>
        <v>1686711</v>
      </c>
      <c r="E2371">
        <v>1</v>
      </c>
      <c r="F2371" t="s">
        <v>3002</v>
      </c>
    </row>
    <row r="2372" spans="1:6" x14ac:dyDescent="0.25">
      <c r="A2372" t="s">
        <v>2823</v>
      </c>
      <c r="B2372" t="s">
        <v>127</v>
      </c>
      <c r="C2372" t="s">
        <v>128</v>
      </c>
      <c r="D2372" t="str">
        <f>HYPERLINK("http://service.sap.com/sap/support/notes/1687220","1687220")</f>
        <v>1687220</v>
      </c>
      <c r="E2372">
        <v>2</v>
      </c>
      <c r="F2372" t="s">
        <v>3003</v>
      </c>
    </row>
    <row r="2373" spans="1:6" x14ac:dyDescent="0.25">
      <c r="A2373" t="s">
        <v>2823</v>
      </c>
      <c r="B2373" t="s">
        <v>127</v>
      </c>
      <c r="C2373" t="s">
        <v>128</v>
      </c>
      <c r="D2373" t="str">
        <f>HYPERLINK("http://service.sap.com/sap/support/notes/1688015","1688015")</f>
        <v>1688015</v>
      </c>
      <c r="E2373">
        <v>1</v>
      </c>
      <c r="F2373" t="s">
        <v>3004</v>
      </c>
    </row>
    <row r="2374" spans="1:6" x14ac:dyDescent="0.25">
      <c r="A2374" t="s">
        <v>2823</v>
      </c>
      <c r="B2374" t="s">
        <v>127</v>
      </c>
      <c r="C2374" t="s">
        <v>128</v>
      </c>
      <c r="D2374" t="str">
        <f>HYPERLINK("http://service.sap.com/sap/support/notes/1689800","1689800")</f>
        <v>1689800</v>
      </c>
      <c r="E2374">
        <v>1</v>
      </c>
      <c r="F2374" t="s">
        <v>3005</v>
      </c>
    </row>
    <row r="2375" spans="1:6" x14ac:dyDescent="0.25">
      <c r="A2375" t="s">
        <v>2823</v>
      </c>
      <c r="B2375" t="s">
        <v>127</v>
      </c>
      <c r="C2375" t="s">
        <v>128</v>
      </c>
      <c r="D2375" t="str">
        <f>HYPERLINK("http://service.sap.com/sap/support/notes/1692281","1692281")</f>
        <v>1692281</v>
      </c>
      <c r="E2375">
        <v>2</v>
      </c>
      <c r="F2375" t="s">
        <v>3006</v>
      </c>
    </row>
    <row r="2376" spans="1:6" x14ac:dyDescent="0.25">
      <c r="A2376" t="s">
        <v>2823</v>
      </c>
      <c r="B2376" t="s">
        <v>131</v>
      </c>
      <c r="C2376" t="s">
        <v>132</v>
      </c>
    </row>
    <row r="2377" spans="1:6" x14ac:dyDescent="0.25">
      <c r="A2377" t="s">
        <v>2823</v>
      </c>
      <c r="B2377" t="s">
        <v>320</v>
      </c>
      <c r="C2377" t="s">
        <v>359</v>
      </c>
      <c r="D2377" t="str">
        <f>HYPERLINK("http://service.sap.com/sap/support/notes/1661593","1661593")</f>
        <v>1661593</v>
      </c>
      <c r="E2377">
        <v>14</v>
      </c>
      <c r="F2377" t="s">
        <v>3007</v>
      </c>
    </row>
    <row r="2378" spans="1:6" x14ac:dyDescent="0.25">
      <c r="A2378" t="s">
        <v>2823</v>
      </c>
      <c r="B2378" t="s">
        <v>320</v>
      </c>
      <c r="C2378" t="s">
        <v>359</v>
      </c>
      <c r="D2378" t="str">
        <f>HYPERLINK("http://service.sap.com/sap/support/notes/1688192","1688192")</f>
        <v>1688192</v>
      </c>
      <c r="E2378">
        <v>4</v>
      </c>
      <c r="F2378" t="s">
        <v>3008</v>
      </c>
    </row>
    <row r="2379" spans="1:6" x14ac:dyDescent="0.25">
      <c r="A2379" t="s">
        <v>2823</v>
      </c>
      <c r="B2379" t="s">
        <v>320</v>
      </c>
      <c r="C2379" t="s">
        <v>359</v>
      </c>
      <c r="D2379" t="str">
        <f>HYPERLINK("http://service.sap.com/sap/support/notes/1695306","1695306")</f>
        <v>1695306</v>
      </c>
      <c r="E2379">
        <v>1</v>
      </c>
      <c r="F2379" t="s">
        <v>3009</v>
      </c>
    </row>
    <row r="2380" spans="1:6" x14ac:dyDescent="0.25">
      <c r="A2380" t="s">
        <v>2823</v>
      </c>
      <c r="B2380" t="s">
        <v>133</v>
      </c>
      <c r="C2380" t="s">
        <v>134</v>
      </c>
      <c r="D2380" t="str">
        <f>HYPERLINK("http://service.sap.com/sap/support/notes/1690560","1690560")</f>
        <v>1690560</v>
      </c>
      <c r="E2380">
        <v>3</v>
      </c>
      <c r="F2380" t="s">
        <v>3010</v>
      </c>
    </row>
    <row r="2381" spans="1:6" x14ac:dyDescent="0.25">
      <c r="A2381" t="s">
        <v>2823</v>
      </c>
      <c r="B2381" t="s">
        <v>135</v>
      </c>
      <c r="C2381" t="s">
        <v>136</v>
      </c>
      <c r="D2381" t="str">
        <f>HYPERLINK("http://service.sap.com/sap/support/notes/1621088","1621088")</f>
        <v>1621088</v>
      </c>
      <c r="E2381">
        <v>2</v>
      </c>
      <c r="F2381" t="s">
        <v>3011</v>
      </c>
    </row>
    <row r="2382" spans="1:6" x14ac:dyDescent="0.25">
      <c r="A2382" t="s">
        <v>2823</v>
      </c>
      <c r="B2382" t="s">
        <v>135</v>
      </c>
      <c r="C2382" t="s">
        <v>136</v>
      </c>
      <c r="D2382" t="str">
        <f>HYPERLINK("http://service.sap.com/sap/support/notes/1636391","1636391")</f>
        <v>1636391</v>
      </c>
      <c r="E2382">
        <v>2</v>
      </c>
      <c r="F2382" t="s">
        <v>3012</v>
      </c>
    </row>
    <row r="2383" spans="1:6" x14ac:dyDescent="0.25">
      <c r="A2383" t="s">
        <v>2823</v>
      </c>
      <c r="B2383" t="s">
        <v>135</v>
      </c>
      <c r="C2383" t="s">
        <v>136</v>
      </c>
      <c r="D2383" t="str">
        <f>HYPERLINK("http://service.sap.com/sap/support/notes/1649625","1649625")</f>
        <v>1649625</v>
      </c>
      <c r="E2383">
        <v>8</v>
      </c>
      <c r="F2383" t="s">
        <v>3013</v>
      </c>
    </row>
    <row r="2384" spans="1:6" x14ac:dyDescent="0.25">
      <c r="A2384" t="s">
        <v>2823</v>
      </c>
      <c r="B2384" t="s">
        <v>135</v>
      </c>
      <c r="C2384" t="s">
        <v>136</v>
      </c>
      <c r="D2384" t="str">
        <f>HYPERLINK("http://service.sap.com/sap/support/notes/1650567","1650567")</f>
        <v>1650567</v>
      </c>
      <c r="E2384">
        <v>3</v>
      </c>
      <c r="F2384" t="s">
        <v>3014</v>
      </c>
    </row>
    <row r="2385" spans="1:6" x14ac:dyDescent="0.25">
      <c r="A2385" t="s">
        <v>2823</v>
      </c>
      <c r="B2385" t="s">
        <v>135</v>
      </c>
      <c r="C2385" t="s">
        <v>136</v>
      </c>
      <c r="D2385" t="str">
        <f>HYPERLINK("http://service.sap.com/sap/support/notes/1653946","1653946")</f>
        <v>1653946</v>
      </c>
      <c r="E2385">
        <v>2</v>
      </c>
      <c r="F2385" t="s">
        <v>3015</v>
      </c>
    </row>
    <row r="2386" spans="1:6" x14ac:dyDescent="0.25">
      <c r="A2386" t="s">
        <v>2823</v>
      </c>
      <c r="B2386" t="s">
        <v>135</v>
      </c>
      <c r="C2386" t="s">
        <v>136</v>
      </c>
      <c r="D2386" t="str">
        <f>HYPERLINK("http://service.sap.com/sap/support/notes/1656182","1656182")</f>
        <v>1656182</v>
      </c>
      <c r="E2386">
        <v>5</v>
      </c>
      <c r="F2386" t="s">
        <v>3016</v>
      </c>
    </row>
    <row r="2387" spans="1:6" x14ac:dyDescent="0.25">
      <c r="A2387" t="s">
        <v>2823</v>
      </c>
      <c r="B2387" t="s">
        <v>135</v>
      </c>
      <c r="C2387" t="s">
        <v>136</v>
      </c>
      <c r="D2387" t="str">
        <f>HYPERLINK("http://service.sap.com/sap/support/notes/1661167","1661167")</f>
        <v>1661167</v>
      </c>
      <c r="E2387">
        <v>3</v>
      </c>
      <c r="F2387" t="s">
        <v>3017</v>
      </c>
    </row>
    <row r="2388" spans="1:6" x14ac:dyDescent="0.25">
      <c r="A2388" t="s">
        <v>2823</v>
      </c>
      <c r="B2388" t="s">
        <v>135</v>
      </c>
      <c r="C2388" t="s">
        <v>136</v>
      </c>
      <c r="D2388" t="str">
        <f>HYPERLINK("http://service.sap.com/sap/support/notes/1661205","1661205")</f>
        <v>1661205</v>
      </c>
      <c r="E2388">
        <v>3</v>
      </c>
      <c r="F2388" t="s">
        <v>3018</v>
      </c>
    </row>
    <row r="2389" spans="1:6" x14ac:dyDescent="0.25">
      <c r="A2389" t="s">
        <v>2823</v>
      </c>
      <c r="B2389" t="s">
        <v>135</v>
      </c>
      <c r="C2389" t="s">
        <v>136</v>
      </c>
      <c r="D2389" t="str">
        <f>HYPERLINK("http://service.sap.com/sap/support/notes/1669582","1669582")</f>
        <v>1669582</v>
      </c>
      <c r="E2389">
        <v>1</v>
      </c>
      <c r="F2389" t="s">
        <v>3019</v>
      </c>
    </row>
    <row r="2390" spans="1:6" x14ac:dyDescent="0.25">
      <c r="A2390" t="s">
        <v>2823</v>
      </c>
      <c r="B2390" t="s">
        <v>135</v>
      </c>
      <c r="C2390" t="s">
        <v>136</v>
      </c>
      <c r="D2390" t="str">
        <f>HYPERLINK("http://service.sap.com/sap/support/notes/1671597","1671597")</f>
        <v>1671597</v>
      </c>
      <c r="E2390">
        <v>1</v>
      </c>
      <c r="F2390" t="s">
        <v>3020</v>
      </c>
    </row>
    <row r="2391" spans="1:6" x14ac:dyDescent="0.25">
      <c r="A2391" t="s">
        <v>2823</v>
      </c>
      <c r="B2391" t="s">
        <v>135</v>
      </c>
      <c r="C2391" t="s">
        <v>136</v>
      </c>
      <c r="D2391" t="str">
        <f>HYPERLINK("http://service.sap.com/sap/support/notes/1674026","1674026")</f>
        <v>1674026</v>
      </c>
      <c r="E2391">
        <v>5</v>
      </c>
      <c r="F2391" t="s">
        <v>3021</v>
      </c>
    </row>
    <row r="2392" spans="1:6" x14ac:dyDescent="0.25">
      <c r="A2392" t="s">
        <v>2823</v>
      </c>
      <c r="B2392" t="s">
        <v>135</v>
      </c>
      <c r="C2392" t="s">
        <v>136</v>
      </c>
      <c r="D2392" t="str">
        <f>HYPERLINK("http://service.sap.com/sap/support/notes/1674576","1674576")</f>
        <v>1674576</v>
      </c>
      <c r="E2392">
        <v>4</v>
      </c>
      <c r="F2392" t="s">
        <v>3022</v>
      </c>
    </row>
    <row r="2393" spans="1:6" x14ac:dyDescent="0.25">
      <c r="A2393" t="s">
        <v>2823</v>
      </c>
      <c r="B2393" t="s">
        <v>135</v>
      </c>
      <c r="C2393" t="s">
        <v>136</v>
      </c>
      <c r="D2393" t="str">
        <f>HYPERLINK("http://service.sap.com/sap/support/notes/1676940","1676940")</f>
        <v>1676940</v>
      </c>
      <c r="E2393">
        <v>8</v>
      </c>
      <c r="F2393" t="s">
        <v>3023</v>
      </c>
    </row>
    <row r="2394" spans="1:6" x14ac:dyDescent="0.25">
      <c r="A2394" t="s">
        <v>2823</v>
      </c>
      <c r="B2394" t="s">
        <v>135</v>
      </c>
      <c r="C2394" t="s">
        <v>136</v>
      </c>
      <c r="D2394" t="str">
        <f>HYPERLINK("http://service.sap.com/sap/support/notes/1677148","1677148")</f>
        <v>1677148</v>
      </c>
      <c r="E2394">
        <v>2</v>
      </c>
      <c r="F2394" t="s">
        <v>3024</v>
      </c>
    </row>
    <row r="2395" spans="1:6" x14ac:dyDescent="0.25">
      <c r="A2395" t="s">
        <v>2823</v>
      </c>
      <c r="B2395" t="s">
        <v>135</v>
      </c>
      <c r="C2395" t="s">
        <v>136</v>
      </c>
      <c r="D2395" t="str">
        <f>HYPERLINK("http://service.sap.com/sap/support/notes/1681541","1681541")</f>
        <v>1681541</v>
      </c>
      <c r="E2395">
        <v>3</v>
      </c>
      <c r="F2395" t="s">
        <v>3025</v>
      </c>
    </row>
    <row r="2396" spans="1:6" x14ac:dyDescent="0.25">
      <c r="A2396" t="s">
        <v>2823</v>
      </c>
      <c r="B2396" t="s">
        <v>135</v>
      </c>
      <c r="C2396" t="s">
        <v>136</v>
      </c>
      <c r="D2396" t="str">
        <f>HYPERLINK("http://service.sap.com/sap/support/notes/1682499","1682499")</f>
        <v>1682499</v>
      </c>
      <c r="E2396">
        <v>4</v>
      </c>
      <c r="F2396" t="s">
        <v>3026</v>
      </c>
    </row>
    <row r="2397" spans="1:6" x14ac:dyDescent="0.25">
      <c r="A2397" t="s">
        <v>2823</v>
      </c>
      <c r="B2397" t="s">
        <v>135</v>
      </c>
      <c r="C2397" t="s">
        <v>136</v>
      </c>
      <c r="D2397" t="str">
        <f>HYPERLINK("http://service.sap.com/sap/support/notes/1684773","1684773")</f>
        <v>1684773</v>
      </c>
      <c r="E2397">
        <v>2</v>
      </c>
      <c r="F2397" t="s">
        <v>3027</v>
      </c>
    </row>
    <row r="2398" spans="1:6" x14ac:dyDescent="0.25">
      <c r="A2398" t="s">
        <v>2823</v>
      </c>
      <c r="B2398" t="s">
        <v>135</v>
      </c>
      <c r="C2398" t="s">
        <v>136</v>
      </c>
      <c r="D2398" t="str">
        <f>HYPERLINK("http://service.sap.com/sap/support/notes/1685292","1685292")</f>
        <v>1685292</v>
      </c>
      <c r="E2398">
        <v>5</v>
      </c>
      <c r="F2398" t="s">
        <v>3028</v>
      </c>
    </row>
    <row r="2399" spans="1:6" x14ac:dyDescent="0.25">
      <c r="A2399" t="s">
        <v>2823</v>
      </c>
      <c r="B2399" t="s">
        <v>135</v>
      </c>
      <c r="C2399" t="s">
        <v>136</v>
      </c>
      <c r="D2399" t="str">
        <f>HYPERLINK("http://service.sap.com/sap/support/notes/1685714","1685714")</f>
        <v>1685714</v>
      </c>
      <c r="E2399">
        <v>3</v>
      </c>
      <c r="F2399" t="s">
        <v>3029</v>
      </c>
    </row>
    <row r="2400" spans="1:6" x14ac:dyDescent="0.25">
      <c r="A2400" t="s">
        <v>2823</v>
      </c>
      <c r="B2400" t="s">
        <v>135</v>
      </c>
      <c r="C2400" t="s">
        <v>136</v>
      </c>
      <c r="D2400" t="str">
        <f>HYPERLINK("http://service.sap.com/sap/support/notes/1685926","1685926")</f>
        <v>1685926</v>
      </c>
      <c r="E2400">
        <v>3</v>
      </c>
      <c r="F2400" t="s">
        <v>3030</v>
      </c>
    </row>
    <row r="2401" spans="1:6" x14ac:dyDescent="0.25">
      <c r="A2401" t="s">
        <v>2823</v>
      </c>
      <c r="B2401" t="s">
        <v>135</v>
      </c>
      <c r="C2401" t="s">
        <v>136</v>
      </c>
      <c r="D2401" t="str">
        <f>HYPERLINK("http://service.sap.com/sap/support/notes/1686430","1686430")</f>
        <v>1686430</v>
      </c>
      <c r="E2401">
        <v>2</v>
      </c>
      <c r="F2401" t="s">
        <v>3031</v>
      </c>
    </row>
    <row r="2402" spans="1:6" x14ac:dyDescent="0.25">
      <c r="A2402" t="s">
        <v>2823</v>
      </c>
      <c r="B2402" t="s">
        <v>135</v>
      </c>
      <c r="C2402" t="s">
        <v>136</v>
      </c>
      <c r="D2402" t="str">
        <f>HYPERLINK("http://service.sap.com/sap/support/notes/1686892","1686892")</f>
        <v>1686892</v>
      </c>
      <c r="E2402">
        <v>2</v>
      </c>
      <c r="F2402" t="s">
        <v>3032</v>
      </c>
    </row>
    <row r="2403" spans="1:6" x14ac:dyDescent="0.25">
      <c r="A2403" t="s">
        <v>2823</v>
      </c>
      <c r="B2403" t="s">
        <v>135</v>
      </c>
      <c r="C2403" t="s">
        <v>136</v>
      </c>
      <c r="D2403" t="str">
        <f>HYPERLINK("http://service.sap.com/sap/support/notes/1687852","1687852")</f>
        <v>1687852</v>
      </c>
      <c r="E2403">
        <v>3</v>
      </c>
      <c r="F2403" t="s">
        <v>3033</v>
      </c>
    </row>
    <row r="2404" spans="1:6" x14ac:dyDescent="0.25">
      <c r="A2404" t="s">
        <v>2823</v>
      </c>
      <c r="B2404" t="s">
        <v>135</v>
      </c>
      <c r="C2404" t="s">
        <v>136</v>
      </c>
      <c r="D2404" t="str">
        <f>HYPERLINK("http://service.sap.com/sap/support/notes/1688390","1688390")</f>
        <v>1688390</v>
      </c>
      <c r="E2404">
        <v>11</v>
      </c>
      <c r="F2404" t="s">
        <v>3034</v>
      </c>
    </row>
    <row r="2405" spans="1:6" x14ac:dyDescent="0.25">
      <c r="A2405" t="s">
        <v>2823</v>
      </c>
      <c r="B2405" t="s">
        <v>135</v>
      </c>
      <c r="C2405" t="s">
        <v>136</v>
      </c>
      <c r="D2405" t="str">
        <f>HYPERLINK("http://service.sap.com/sap/support/notes/1688639","1688639")</f>
        <v>1688639</v>
      </c>
      <c r="E2405">
        <v>2</v>
      </c>
      <c r="F2405" t="s">
        <v>3035</v>
      </c>
    </row>
    <row r="2406" spans="1:6" x14ac:dyDescent="0.25">
      <c r="A2406" t="s">
        <v>2823</v>
      </c>
      <c r="B2406" t="s">
        <v>135</v>
      </c>
      <c r="C2406" t="s">
        <v>136</v>
      </c>
      <c r="D2406" t="str">
        <f>HYPERLINK("http://service.sap.com/sap/support/notes/1688713","1688713")</f>
        <v>1688713</v>
      </c>
      <c r="E2406">
        <v>2</v>
      </c>
      <c r="F2406" t="s">
        <v>3036</v>
      </c>
    </row>
    <row r="2407" spans="1:6" x14ac:dyDescent="0.25">
      <c r="A2407" t="s">
        <v>2823</v>
      </c>
      <c r="B2407" t="s">
        <v>135</v>
      </c>
      <c r="C2407" t="s">
        <v>136</v>
      </c>
      <c r="D2407" t="str">
        <f>HYPERLINK("http://service.sap.com/sap/support/notes/1688726","1688726")</f>
        <v>1688726</v>
      </c>
      <c r="E2407">
        <v>1</v>
      </c>
      <c r="F2407" t="s">
        <v>3037</v>
      </c>
    </row>
    <row r="2408" spans="1:6" x14ac:dyDescent="0.25">
      <c r="A2408" t="s">
        <v>2823</v>
      </c>
      <c r="B2408" t="s">
        <v>135</v>
      </c>
      <c r="C2408" t="s">
        <v>136</v>
      </c>
      <c r="D2408" t="str">
        <f>HYPERLINK("http://service.sap.com/sap/support/notes/1688984","1688984")</f>
        <v>1688984</v>
      </c>
      <c r="E2408">
        <v>2</v>
      </c>
      <c r="F2408" t="s">
        <v>3038</v>
      </c>
    </row>
    <row r="2409" spans="1:6" x14ac:dyDescent="0.25">
      <c r="A2409" t="s">
        <v>2823</v>
      </c>
      <c r="B2409" t="s">
        <v>135</v>
      </c>
      <c r="C2409" t="s">
        <v>136</v>
      </c>
      <c r="D2409" t="str">
        <f>HYPERLINK("http://service.sap.com/sap/support/notes/1689145","1689145")</f>
        <v>1689145</v>
      </c>
      <c r="E2409">
        <v>2</v>
      </c>
      <c r="F2409" t="s">
        <v>3039</v>
      </c>
    </row>
    <row r="2410" spans="1:6" x14ac:dyDescent="0.25">
      <c r="A2410" t="s">
        <v>2823</v>
      </c>
      <c r="B2410" t="s">
        <v>135</v>
      </c>
      <c r="C2410" t="s">
        <v>136</v>
      </c>
      <c r="D2410" t="str">
        <f>HYPERLINK("http://service.sap.com/sap/support/notes/1689559","1689559")</f>
        <v>1689559</v>
      </c>
      <c r="E2410">
        <v>2</v>
      </c>
      <c r="F2410" t="s">
        <v>3040</v>
      </c>
    </row>
    <row r="2411" spans="1:6" x14ac:dyDescent="0.25">
      <c r="A2411" t="s">
        <v>2823</v>
      </c>
      <c r="B2411" t="s">
        <v>135</v>
      </c>
      <c r="C2411" t="s">
        <v>136</v>
      </c>
      <c r="D2411" t="str">
        <f>HYPERLINK("http://service.sap.com/sap/support/notes/1689642","1689642")</f>
        <v>1689642</v>
      </c>
      <c r="E2411">
        <v>4</v>
      </c>
      <c r="F2411" t="s">
        <v>3041</v>
      </c>
    </row>
    <row r="2412" spans="1:6" x14ac:dyDescent="0.25">
      <c r="A2412" t="s">
        <v>2823</v>
      </c>
      <c r="B2412" t="s">
        <v>135</v>
      </c>
      <c r="C2412" t="s">
        <v>136</v>
      </c>
      <c r="D2412" t="str">
        <f>HYPERLINK("http://service.sap.com/sap/support/notes/1689672","1689672")</f>
        <v>1689672</v>
      </c>
      <c r="E2412">
        <v>2</v>
      </c>
      <c r="F2412" t="s">
        <v>3042</v>
      </c>
    </row>
    <row r="2413" spans="1:6" x14ac:dyDescent="0.25">
      <c r="A2413" t="s">
        <v>2823</v>
      </c>
      <c r="B2413" t="s">
        <v>135</v>
      </c>
      <c r="C2413" t="s">
        <v>136</v>
      </c>
      <c r="D2413" t="str">
        <f>HYPERLINK("http://service.sap.com/sap/support/notes/1689715","1689715")</f>
        <v>1689715</v>
      </c>
      <c r="E2413">
        <v>4</v>
      </c>
      <c r="F2413" t="s">
        <v>3043</v>
      </c>
    </row>
    <row r="2414" spans="1:6" x14ac:dyDescent="0.25">
      <c r="A2414" t="s">
        <v>2823</v>
      </c>
      <c r="B2414" t="s">
        <v>135</v>
      </c>
      <c r="C2414" t="s">
        <v>136</v>
      </c>
      <c r="D2414" t="str">
        <f>HYPERLINK("http://service.sap.com/sap/support/notes/1690632","1690632")</f>
        <v>1690632</v>
      </c>
      <c r="E2414">
        <v>2</v>
      </c>
      <c r="F2414" t="s">
        <v>3044</v>
      </c>
    </row>
    <row r="2415" spans="1:6" x14ac:dyDescent="0.25">
      <c r="A2415" t="s">
        <v>2823</v>
      </c>
      <c r="B2415" t="s">
        <v>135</v>
      </c>
      <c r="C2415" t="s">
        <v>136</v>
      </c>
      <c r="D2415" t="str">
        <f>HYPERLINK("http://service.sap.com/sap/support/notes/1693260","1693260")</f>
        <v>1693260</v>
      </c>
      <c r="E2415">
        <v>2</v>
      </c>
      <c r="F2415" t="s">
        <v>3045</v>
      </c>
    </row>
    <row r="2416" spans="1:6" x14ac:dyDescent="0.25">
      <c r="A2416" t="s">
        <v>2823</v>
      </c>
      <c r="B2416" t="s">
        <v>135</v>
      </c>
      <c r="C2416" t="s">
        <v>136</v>
      </c>
      <c r="D2416" t="str">
        <f>HYPERLINK("http://service.sap.com/sap/support/notes/1693735","1693735")</f>
        <v>1693735</v>
      </c>
      <c r="E2416">
        <v>5</v>
      </c>
      <c r="F2416" t="s">
        <v>3046</v>
      </c>
    </row>
    <row r="2417" spans="1:6" x14ac:dyDescent="0.25">
      <c r="A2417" t="s">
        <v>2823</v>
      </c>
      <c r="B2417" t="s">
        <v>135</v>
      </c>
      <c r="C2417" t="s">
        <v>136</v>
      </c>
      <c r="D2417" t="str">
        <f>HYPERLINK("http://service.sap.com/sap/support/notes/1695469","1695469")</f>
        <v>1695469</v>
      </c>
      <c r="E2417">
        <v>2</v>
      </c>
      <c r="F2417" t="s">
        <v>3047</v>
      </c>
    </row>
    <row r="2418" spans="1:6" x14ac:dyDescent="0.25">
      <c r="A2418" t="s">
        <v>2823</v>
      </c>
      <c r="B2418" t="s">
        <v>135</v>
      </c>
      <c r="C2418" t="s">
        <v>136</v>
      </c>
      <c r="D2418" t="str">
        <f>HYPERLINK("http://service.sap.com/sap/support/notes/1695962","1695962")</f>
        <v>1695962</v>
      </c>
      <c r="E2418">
        <v>2</v>
      </c>
      <c r="F2418" t="s">
        <v>3048</v>
      </c>
    </row>
    <row r="2419" spans="1:6" x14ac:dyDescent="0.25">
      <c r="A2419" t="s">
        <v>2823</v>
      </c>
      <c r="B2419" t="s">
        <v>135</v>
      </c>
      <c r="C2419" t="s">
        <v>136</v>
      </c>
      <c r="D2419" t="str">
        <f>HYPERLINK("http://service.sap.com/sap/support/notes/1696083","1696083")</f>
        <v>1696083</v>
      </c>
      <c r="E2419">
        <v>3</v>
      </c>
      <c r="F2419" t="s">
        <v>3049</v>
      </c>
    </row>
    <row r="2420" spans="1:6" x14ac:dyDescent="0.25">
      <c r="A2420" t="s">
        <v>2823</v>
      </c>
      <c r="B2420" t="s">
        <v>137</v>
      </c>
      <c r="C2420" t="s">
        <v>40</v>
      </c>
      <c r="D2420" t="str">
        <f>HYPERLINK("http://service.sap.com/sap/support/notes/1651218","1651218")</f>
        <v>1651218</v>
      </c>
      <c r="E2420">
        <v>2</v>
      </c>
      <c r="F2420" t="s">
        <v>3050</v>
      </c>
    </row>
    <row r="2421" spans="1:6" x14ac:dyDescent="0.25">
      <c r="A2421" t="s">
        <v>2823</v>
      </c>
      <c r="B2421" t="s">
        <v>137</v>
      </c>
      <c r="C2421" t="s">
        <v>40</v>
      </c>
      <c r="D2421" t="str">
        <f>HYPERLINK("http://service.sap.com/sap/support/notes/1687130","1687130")</f>
        <v>1687130</v>
      </c>
      <c r="E2421">
        <v>1</v>
      </c>
      <c r="F2421" t="s">
        <v>3051</v>
      </c>
    </row>
    <row r="2422" spans="1:6" x14ac:dyDescent="0.25">
      <c r="A2422" t="s">
        <v>2823</v>
      </c>
      <c r="B2422" t="s">
        <v>137</v>
      </c>
      <c r="C2422" t="s">
        <v>40</v>
      </c>
      <c r="D2422" t="str">
        <f>HYPERLINK("http://service.sap.com/sap/support/notes/1687131","1687131")</f>
        <v>1687131</v>
      </c>
      <c r="E2422">
        <v>1</v>
      </c>
      <c r="F2422" t="s">
        <v>3052</v>
      </c>
    </row>
    <row r="2423" spans="1:6" x14ac:dyDescent="0.25">
      <c r="A2423" t="s">
        <v>2823</v>
      </c>
      <c r="B2423" t="s">
        <v>138</v>
      </c>
      <c r="C2423" t="s">
        <v>42</v>
      </c>
      <c r="D2423" t="str">
        <f>HYPERLINK("http://service.sap.com/sap/support/notes/1685147","1685147")</f>
        <v>1685147</v>
      </c>
      <c r="E2423">
        <v>3</v>
      </c>
      <c r="F2423" t="s">
        <v>3053</v>
      </c>
    </row>
    <row r="2424" spans="1:6" x14ac:dyDescent="0.25">
      <c r="A2424" t="s">
        <v>2823</v>
      </c>
      <c r="B2424" t="s">
        <v>138</v>
      </c>
      <c r="C2424" t="s">
        <v>42</v>
      </c>
      <c r="D2424" t="str">
        <f>HYPERLINK("http://service.sap.com/sap/support/notes/1686392","1686392")</f>
        <v>1686392</v>
      </c>
      <c r="E2424">
        <v>2</v>
      </c>
      <c r="F2424" t="s">
        <v>3054</v>
      </c>
    </row>
    <row r="2425" spans="1:6" x14ac:dyDescent="0.25">
      <c r="A2425" t="s">
        <v>2823</v>
      </c>
      <c r="B2425" t="s">
        <v>138</v>
      </c>
      <c r="C2425" t="s">
        <v>42</v>
      </c>
      <c r="D2425" t="str">
        <f>HYPERLINK("http://service.sap.com/sap/support/notes/1688266","1688266")</f>
        <v>1688266</v>
      </c>
      <c r="E2425">
        <v>1</v>
      </c>
      <c r="F2425" t="s">
        <v>3055</v>
      </c>
    </row>
    <row r="2426" spans="1:6" x14ac:dyDescent="0.25">
      <c r="A2426" t="s">
        <v>2823</v>
      </c>
      <c r="B2426" t="s">
        <v>138</v>
      </c>
      <c r="C2426" t="s">
        <v>42</v>
      </c>
      <c r="D2426" t="str">
        <f>HYPERLINK("http://service.sap.com/sap/support/notes/1689594","1689594")</f>
        <v>1689594</v>
      </c>
      <c r="E2426">
        <v>1</v>
      </c>
      <c r="F2426" t="s">
        <v>3056</v>
      </c>
    </row>
    <row r="2427" spans="1:6" x14ac:dyDescent="0.25">
      <c r="A2427" t="s">
        <v>2823</v>
      </c>
      <c r="B2427" t="s">
        <v>138</v>
      </c>
      <c r="C2427" t="s">
        <v>42</v>
      </c>
      <c r="D2427" t="str">
        <f>HYPERLINK("http://service.sap.com/sap/support/notes/1692426","1692426")</f>
        <v>1692426</v>
      </c>
      <c r="E2427">
        <v>2</v>
      </c>
      <c r="F2427" t="s">
        <v>3057</v>
      </c>
    </row>
    <row r="2428" spans="1:6" x14ac:dyDescent="0.25">
      <c r="A2428" t="s">
        <v>2823</v>
      </c>
      <c r="B2428" t="s">
        <v>138</v>
      </c>
      <c r="C2428" t="s">
        <v>42</v>
      </c>
      <c r="D2428" t="str">
        <f>HYPERLINK("http://service.sap.com/sap/support/notes/1692720","1692720")</f>
        <v>1692720</v>
      </c>
      <c r="E2428">
        <v>1</v>
      </c>
      <c r="F2428" t="s">
        <v>3058</v>
      </c>
    </row>
    <row r="2429" spans="1:6" x14ac:dyDescent="0.25">
      <c r="A2429" t="s">
        <v>2823</v>
      </c>
      <c r="B2429" t="s">
        <v>138</v>
      </c>
      <c r="C2429" t="s">
        <v>42</v>
      </c>
      <c r="D2429" t="str">
        <f>HYPERLINK("http://service.sap.com/sap/support/notes/1693529","1693529")</f>
        <v>1693529</v>
      </c>
      <c r="E2429">
        <v>1</v>
      </c>
      <c r="F2429" t="s">
        <v>3059</v>
      </c>
    </row>
    <row r="2430" spans="1:6" x14ac:dyDescent="0.25">
      <c r="A2430" t="s">
        <v>2823</v>
      </c>
      <c r="B2430" t="s">
        <v>138</v>
      </c>
      <c r="C2430" t="s">
        <v>42</v>
      </c>
      <c r="D2430" t="str">
        <f>HYPERLINK("http://service.sap.com/sap/support/notes/1694973","1694973")</f>
        <v>1694973</v>
      </c>
      <c r="E2430">
        <v>1</v>
      </c>
      <c r="F2430" t="s">
        <v>3060</v>
      </c>
    </row>
    <row r="2431" spans="1:6" x14ac:dyDescent="0.25">
      <c r="A2431" t="s">
        <v>2823</v>
      </c>
      <c r="B2431" t="s">
        <v>138</v>
      </c>
      <c r="C2431" t="s">
        <v>42</v>
      </c>
      <c r="D2431" t="str">
        <f>HYPERLINK("http://service.sap.com/sap/support/notes/1696311","1696311")</f>
        <v>1696311</v>
      </c>
      <c r="E2431">
        <v>1</v>
      </c>
      <c r="F2431" t="s">
        <v>3061</v>
      </c>
    </row>
    <row r="2432" spans="1:6" x14ac:dyDescent="0.25">
      <c r="A2432" t="s">
        <v>2823</v>
      </c>
      <c r="B2432" t="s">
        <v>138</v>
      </c>
      <c r="C2432" t="s">
        <v>42</v>
      </c>
      <c r="D2432" t="str">
        <f>HYPERLINK("http://service.sap.com/sap/support/notes/1696330","1696330")</f>
        <v>1696330</v>
      </c>
      <c r="E2432">
        <v>2</v>
      </c>
      <c r="F2432" t="s">
        <v>3062</v>
      </c>
    </row>
    <row r="2433" spans="1:6" x14ac:dyDescent="0.25">
      <c r="A2433" t="s">
        <v>2823</v>
      </c>
      <c r="B2433" t="s">
        <v>138</v>
      </c>
      <c r="C2433" t="s">
        <v>42</v>
      </c>
      <c r="D2433" t="str">
        <f>HYPERLINK("http://service.sap.com/sap/support/notes/1696920","1696920")</f>
        <v>1696920</v>
      </c>
      <c r="E2433">
        <v>1</v>
      </c>
      <c r="F2433" t="s">
        <v>3063</v>
      </c>
    </row>
    <row r="2434" spans="1:6" x14ac:dyDescent="0.25">
      <c r="A2434" t="s">
        <v>2823</v>
      </c>
      <c r="B2434" t="s">
        <v>383</v>
      </c>
      <c r="C2434" t="s">
        <v>82</v>
      </c>
      <c r="D2434" t="str">
        <f>HYPERLINK("http://service.sap.com/sap/support/notes/1694108","1694108")</f>
        <v>1694108</v>
      </c>
      <c r="E2434">
        <v>1</v>
      </c>
      <c r="F2434" t="s">
        <v>3064</v>
      </c>
    </row>
    <row r="2435" spans="1:6" x14ac:dyDescent="0.25">
      <c r="A2435" t="s">
        <v>2823</v>
      </c>
      <c r="B2435" t="s">
        <v>139</v>
      </c>
      <c r="C2435" t="s">
        <v>140</v>
      </c>
      <c r="D2435" t="str">
        <f>HYPERLINK("http://service.sap.com/sap/support/notes/1624220","1624220")</f>
        <v>1624220</v>
      </c>
      <c r="E2435">
        <v>12</v>
      </c>
      <c r="F2435" t="s">
        <v>3065</v>
      </c>
    </row>
    <row r="2436" spans="1:6" x14ac:dyDescent="0.25">
      <c r="A2436" t="s">
        <v>2823</v>
      </c>
      <c r="B2436" t="s">
        <v>139</v>
      </c>
      <c r="C2436" t="s">
        <v>140</v>
      </c>
      <c r="D2436" t="str">
        <f>HYPERLINK("http://service.sap.com/sap/support/notes/1630586","1630586")</f>
        <v>1630586</v>
      </c>
      <c r="E2436">
        <v>1</v>
      </c>
      <c r="F2436" t="s">
        <v>3066</v>
      </c>
    </row>
    <row r="2437" spans="1:6" x14ac:dyDescent="0.25">
      <c r="A2437" t="s">
        <v>2823</v>
      </c>
      <c r="B2437" t="s">
        <v>139</v>
      </c>
      <c r="C2437" t="s">
        <v>140</v>
      </c>
      <c r="D2437" t="str">
        <f>HYPERLINK("http://service.sap.com/sap/support/notes/1670240","1670240")</f>
        <v>1670240</v>
      </c>
      <c r="E2437">
        <v>3</v>
      </c>
      <c r="F2437" t="s">
        <v>3067</v>
      </c>
    </row>
    <row r="2438" spans="1:6" x14ac:dyDescent="0.25">
      <c r="A2438" t="s">
        <v>2823</v>
      </c>
      <c r="B2438" t="s">
        <v>142</v>
      </c>
      <c r="C2438" t="s">
        <v>82</v>
      </c>
      <c r="D2438" t="str">
        <f>HYPERLINK("http://service.sap.com/sap/support/notes/1687089","1687089")</f>
        <v>1687089</v>
      </c>
      <c r="E2438">
        <v>8</v>
      </c>
      <c r="F2438" t="s">
        <v>3068</v>
      </c>
    </row>
    <row r="2439" spans="1:6" x14ac:dyDescent="0.25">
      <c r="A2439" t="s">
        <v>2823</v>
      </c>
      <c r="B2439" t="s">
        <v>142</v>
      </c>
      <c r="C2439" t="s">
        <v>82</v>
      </c>
      <c r="D2439" t="str">
        <f>HYPERLINK("http://service.sap.com/sap/support/notes/1693890","1693890")</f>
        <v>1693890</v>
      </c>
      <c r="E2439">
        <v>2</v>
      </c>
      <c r="F2439" t="s">
        <v>3069</v>
      </c>
    </row>
    <row r="2440" spans="1:6" x14ac:dyDescent="0.25">
      <c r="A2440" t="s">
        <v>2823</v>
      </c>
      <c r="B2440" t="s">
        <v>143</v>
      </c>
      <c r="C2440" t="s">
        <v>132</v>
      </c>
      <c r="D2440" t="str">
        <f>HYPERLINK("http://service.sap.com/sap/support/notes/1694976","1694976")</f>
        <v>1694976</v>
      </c>
      <c r="E2440">
        <v>2</v>
      </c>
      <c r="F2440" t="s">
        <v>3070</v>
      </c>
    </row>
    <row r="2441" spans="1:6" x14ac:dyDescent="0.25">
      <c r="A2441" t="s">
        <v>2823</v>
      </c>
      <c r="B2441" t="s">
        <v>146</v>
      </c>
      <c r="C2441" t="s">
        <v>147</v>
      </c>
      <c r="D2441" t="str">
        <f>HYPERLINK("http://service.sap.com/sap/support/notes/1685399","1685399")</f>
        <v>1685399</v>
      </c>
      <c r="E2441">
        <v>2</v>
      </c>
      <c r="F2441" t="s">
        <v>3071</v>
      </c>
    </row>
    <row r="2442" spans="1:6" x14ac:dyDescent="0.25">
      <c r="A2442" t="s">
        <v>2823</v>
      </c>
      <c r="B2442" t="s">
        <v>146</v>
      </c>
      <c r="C2442" t="s">
        <v>147</v>
      </c>
      <c r="D2442" t="str">
        <f>HYPERLINK("http://service.sap.com/sap/support/notes/1686550","1686550")</f>
        <v>1686550</v>
      </c>
      <c r="E2442">
        <v>2</v>
      </c>
      <c r="F2442" t="s">
        <v>3072</v>
      </c>
    </row>
    <row r="2443" spans="1:6" x14ac:dyDescent="0.25">
      <c r="A2443" t="s">
        <v>2823</v>
      </c>
      <c r="B2443" t="s">
        <v>146</v>
      </c>
      <c r="C2443" t="s">
        <v>147</v>
      </c>
      <c r="D2443" t="str">
        <f>HYPERLINK("http://service.sap.com/sap/support/notes/1687241","1687241")</f>
        <v>1687241</v>
      </c>
      <c r="E2443">
        <v>1</v>
      </c>
      <c r="F2443" t="s">
        <v>3073</v>
      </c>
    </row>
    <row r="2444" spans="1:6" x14ac:dyDescent="0.25">
      <c r="A2444" t="s">
        <v>2823</v>
      </c>
      <c r="B2444" t="s">
        <v>146</v>
      </c>
      <c r="C2444" t="s">
        <v>147</v>
      </c>
      <c r="D2444" t="str">
        <f>HYPERLINK("http://service.sap.com/sap/support/notes/1687634","1687634")</f>
        <v>1687634</v>
      </c>
      <c r="E2444">
        <v>1</v>
      </c>
      <c r="F2444" t="s">
        <v>3074</v>
      </c>
    </row>
    <row r="2445" spans="1:6" x14ac:dyDescent="0.25">
      <c r="A2445" t="s">
        <v>2823</v>
      </c>
      <c r="B2445" t="s">
        <v>149</v>
      </c>
      <c r="C2445" t="s">
        <v>150</v>
      </c>
      <c r="D2445" t="str">
        <f>HYPERLINK("http://service.sap.com/sap/support/notes/1661683","1661683")</f>
        <v>1661683</v>
      </c>
      <c r="E2445">
        <v>2</v>
      </c>
      <c r="F2445" t="s">
        <v>3075</v>
      </c>
    </row>
    <row r="2446" spans="1:6" x14ac:dyDescent="0.25">
      <c r="A2446" t="s">
        <v>2823</v>
      </c>
      <c r="B2446" t="s">
        <v>149</v>
      </c>
      <c r="C2446" t="s">
        <v>150</v>
      </c>
      <c r="D2446" t="str">
        <f>HYPERLINK("http://service.sap.com/sap/support/notes/1675278","1675278")</f>
        <v>1675278</v>
      </c>
      <c r="E2446">
        <v>1</v>
      </c>
      <c r="F2446" t="s">
        <v>3076</v>
      </c>
    </row>
    <row r="2447" spans="1:6" x14ac:dyDescent="0.25">
      <c r="A2447" t="s">
        <v>2823</v>
      </c>
      <c r="B2447" t="s">
        <v>149</v>
      </c>
      <c r="C2447" t="s">
        <v>150</v>
      </c>
      <c r="D2447" t="str">
        <f>HYPERLINK("http://service.sap.com/sap/support/notes/1678607","1678607")</f>
        <v>1678607</v>
      </c>
      <c r="E2447">
        <v>2</v>
      </c>
      <c r="F2447" t="s">
        <v>3077</v>
      </c>
    </row>
    <row r="2448" spans="1:6" x14ac:dyDescent="0.25">
      <c r="A2448" t="s">
        <v>2823</v>
      </c>
      <c r="B2448" t="s">
        <v>149</v>
      </c>
      <c r="C2448" t="s">
        <v>150</v>
      </c>
      <c r="D2448" t="str">
        <f>HYPERLINK("http://service.sap.com/sap/support/notes/1687873","1687873")</f>
        <v>1687873</v>
      </c>
      <c r="E2448">
        <v>2</v>
      </c>
      <c r="F2448" t="s">
        <v>3078</v>
      </c>
    </row>
    <row r="2449" spans="1:6" x14ac:dyDescent="0.25">
      <c r="A2449" t="s">
        <v>2823</v>
      </c>
      <c r="B2449" t="s">
        <v>149</v>
      </c>
      <c r="C2449" t="s">
        <v>150</v>
      </c>
      <c r="D2449" t="str">
        <f>HYPERLINK("http://service.sap.com/sap/support/notes/1690151","1690151")</f>
        <v>1690151</v>
      </c>
      <c r="E2449">
        <v>2</v>
      </c>
      <c r="F2449" t="s">
        <v>3079</v>
      </c>
    </row>
    <row r="2450" spans="1:6" x14ac:dyDescent="0.25">
      <c r="A2450" t="s">
        <v>2823</v>
      </c>
      <c r="B2450" t="s">
        <v>149</v>
      </c>
      <c r="C2450" t="s">
        <v>150</v>
      </c>
      <c r="D2450" t="str">
        <f>HYPERLINK("http://service.sap.com/sap/support/notes/1690635","1690635")</f>
        <v>1690635</v>
      </c>
      <c r="E2450">
        <v>1</v>
      </c>
      <c r="F2450" t="s">
        <v>3080</v>
      </c>
    </row>
    <row r="2451" spans="1:6" x14ac:dyDescent="0.25">
      <c r="A2451" t="s">
        <v>2823</v>
      </c>
      <c r="B2451" t="s">
        <v>149</v>
      </c>
      <c r="C2451" t="s">
        <v>150</v>
      </c>
      <c r="D2451" t="str">
        <f>HYPERLINK("http://service.sap.com/sap/support/notes/1691652","1691652")</f>
        <v>1691652</v>
      </c>
      <c r="E2451">
        <v>1</v>
      </c>
      <c r="F2451" t="s">
        <v>3081</v>
      </c>
    </row>
    <row r="2452" spans="1:6" x14ac:dyDescent="0.25">
      <c r="A2452" t="s">
        <v>2823</v>
      </c>
      <c r="B2452" t="s">
        <v>2103</v>
      </c>
      <c r="C2452" t="s">
        <v>132</v>
      </c>
      <c r="D2452" t="str">
        <f>HYPERLINK("http://service.sap.com/sap/support/notes/1648669","1648669")</f>
        <v>1648669</v>
      </c>
      <c r="E2452">
        <v>2</v>
      </c>
      <c r="F2452" t="s">
        <v>3082</v>
      </c>
    </row>
    <row r="2453" spans="1:6" x14ac:dyDescent="0.25">
      <c r="A2453" t="s">
        <v>2823</v>
      </c>
      <c r="B2453" t="s">
        <v>152</v>
      </c>
      <c r="C2453" t="s">
        <v>47</v>
      </c>
      <c r="D2453" t="str">
        <f>HYPERLINK("http://service.sap.com/sap/support/notes/1663827","1663827")</f>
        <v>1663827</v>
      </c>
      <c r="E2453">
        <v>2</v>
      </c>
      <c r="F2453" t="s">
        <v>3083</v>
      </c>
    </row>
    <row r="2454" spans="1:6" x14ac:dyDescent="0.25">
      <c r="A2454" t="s">
        <v>2823</v>
      </c>
      <c r="B2454" t="s">
        <v>152</v>
      </c>
      <c r="C2454" t="s">
        <v>47</v>
      </c>
      <c r="D2454" t="str">
        <f>HYPERLINK("http://service.sap.com/sap/support/notes/1665344","1665344")</f>
        <v>1665344</v>
      </c>
      <c r="E2454">
        <v>2</v>
      </c>
      <c r="F2454" t="s">
        <v>3084</v>
      </c>
    </row>
    <row r="2455" spans="1:6" x14ac:dyDescent="0.25">
      <c r="A2455" t="s">
        <v>2823</v>
      </c>
      <c r="B2455" t="s">
        <v>152</v>
      </c>
      <c r="C2455" t="s">
        <v>47</v>
      </c>
      <c r="D2455" t="str">
        <f>HYPERLINK("http://service.sap.com/sap/support/notes/1670993","1670993")</f>
        <v>1670993</v>
      </c>
      <c r="E2455">
        <v>3</v>
      </c>
      <c r="F2455" t="s">
        <v>3085</v>
      </c>
    </row>
    <row r="2456" spans="1:6" x14ac:dyDescent="0.25">
      <c r="A2456" t="s">
        <v>2823</v>
      </c>
      <c r="B2456" t="s">
        <v>152</v>
      </c>
      <c r="C2456" t="s">
        <v>47</v>
      </c>
      <c r="D2456" t="str">
        <f>HYPERLINK("http://service.sap.com/sap/support/notes/1671243","1671243")</f>
        <v>1671243</v>
      </c>
      <c r="E2456">
        <v>1</v>
      </c>
      <c r="F2456" t="s">
        <v>2699</v>
      </c>
    </row>
    <row r="2457" spans="1:6" x14ac:dyDescent="0.25">
      <c r="A2457" t="s">
        <v>2823</v>
      </c>
      <c r="B2457" t="s">
        <v>152</v>
      </c>
      <c r="C2457" t="s">
        <v>47</v>
      </c>
      <c r="D2457" t="str">
        <f>HYPERLINK("http://service.sap.com/sap/support/notes/1674796","1674796")</f>
        <v>1674796</v>
      </c>
      <c r="E2457">
        <v>2</v>
      </c>
      <c r="F2457" t="s">
        <v>3086</v>
      </c>
    </row>
    <row r="2458" spans="1:6" x14ac:dyDescent="0.25">
      <c r="A2458" t="s">
        <v>2823</v>
      </c>
      <c r="B2458" t="s">
        <v>152</v>
      </c>
      <c r="C2458" t="s">
        <v>47</v>
      </c>
      <c r="D2458" t="str">
        <f>HYPERLINK("http://service.sap.com/sap/support/notes/1679799","1679799")</f>
        <v>1679799</v>
      </c>
      <c r="E2458">
        <v>2</v>
      </c>
      <c r="F2458" t="s">
        <v>3087</v>
      </c>
    </row>
    <row r="2459" spans="1:6" x14ac:dyDescent="0.25">
      <c r="A2459" t="s">
        <v>2823</v>
      </c>
      <c r="B2459" t="s">
        <v>152</v>
      </c>
      <c r="C2459" t="s">
        <v>47</v>
      </c>
      <c r="D2459" t="str">
        <f>HYPERLINK("http://service.sap.com/sap/support/notes/1683871","1683871")</f>
        <v>1683871</v>
      </c>
      <c r="E2459">
        <v>2</v>
      </c>
      <c r="F2459" t="s">
        <v>3088</v>
      </c>
    </row>
    <row r="2460" spans="1:6" x14ac:dyDescent="0.25">
      <c r="A2460" t="s">
        <v>2823</v>
      </c>
      <c r="B2460" t="s">
        <v>152</v>
      </c>
      <c r="C2460" t="s">
        <v>47</v>
      </c>
      <c r="D2460" t="str">
        <f>HYPERLINK("http://service.sap.com/sap/support/notes/1689433","1689433")</f>
        <v>1689433</v>
      </c>
      <c r="E2460">
        <v>1</v>
      </c>
      <c r="F2460" t="s">
        <v>3089</v>
      </c>
    </row>
    <row r="2461" spans="1:6" x14ac:dyDescent="0.25">
      <c r="A2461" t="s">
        <v>2823</v>
      </c>
      <c r="B2461" t="s">
        <v>152</v>
      </c>
      <c r="C2461" t="s">
        <v>47</v>
      </c>
      <c r="D2461" t="str">
        <f>HYPERLINK("http://service.sap.com/sap/support/notes/1692458","1692458")</f>
        <v>1692458</v>
      </c>
      <c r="E2461">
        <v>2</v>
      </c>
      <c r="F2461" t="s">
        <v>3090</v>
      </c>
    </row>
    <row r="2462" spans="1:6" x14ac:dyDescent="0.25">
      <c r="A2462" t="s">
        <v>2823</v>
      </c>
      <c r="B2462" t="s">
        <v>155</v>
      </c>
      <c r="C2462" t="s">
        <v>49</v>
      </c>
      <c r="D2462" t="str">
        <f>HYPERLINK("http://service.sap.com/sap/support/notes/1651591","1651591")</f>
        <v>1651591</v>
      </c>
      <c r="E2462">
        <v>2</v>
      </c>
      <c r="F2462" t="s">
        <v>3091</v>
      </c>
    </row>
    <row r="2463" spans="1:6" x14ac:dyDescent="0.25">
      <c r="A2463" t="s">
        <v>2823</v>
      </c>
      <c r="B2463" t="s">
        <v>155</v>
      </c>
      <c r="C2463" t="s">
        <v>49</v>
      </c>
      <c r="D2463" t="str">
        <f>HYPERLINK("http://service.sap.com/sap/support/notes/1672005","1672005")</f>
        <v>1672005</v>
      </c>
      <c r="E2463">
        <v>2</v>
      </c>
      <c r="F2463" t="s">
        <v>3092</v>
      </c>
    </row>
    <row r="2464" spans="1:6" x14ac:dyDescent="0.25">
      <c r="A2464" t="s">
        <v>2823</v>
      </c>
      <c r="B2464" t="s">
        <v>155</v>
      </c>
      <c r="C2464" t="s">
        <v>49</v>
      </c>
      <c r="D2464" t="str">
        <f>HYPERLINK("http://service.sap.com/sap/support/notes/1677842","1677842")</f>
        <v>1677842</v>
      </c>
      <c r="E2464">
        <v>7</v>
      </c>
      <c r="F2464" t="s">
        <v>2705</v>
      </c>
    </row>
    <row r="2465" spans="1:6" x14ac:dyDescent="0.25">
      <c r="A2465" t="s">
        <v>2823</v>
      </c>
      <c r="B2465" t="s">
        <v>155</v>
      </c>
      <c r="C2465" t="s">
        <v>49</v>
      </c>
      <c r="D2465" t="str">
        <f>HYPERLINK("http://service.sap.com/sap/support/notes/1685868","1685868")</f>
        <v>1685868</v>
      </c>
      <c r="E2465">
        <v>1</v>
      </c>
      <c r="F2465" t="s">
        <v>3093</v>
      </c>
    </row>
    <row r="2466" spans="1:6" x14ac:dyDescent="0.25">
      <c r="A2466" t="s">
        <v>2823</v>
      </c>
      <c r="B2466" t="s">
        <v>155</v>
      </c>
      <c r="C2466" t="s">
        <v>49</v>
      </c>
      <c r="D2466" t="str">
        <f>HYPERLINK("http://service.sap.com/sap/support/notes/1686449","1686449")</f>
        <v>1686449</v>
      </c>
      <c r="E2466">
        <v>1</v>
      </c>
      <c r="F2466" t="s">
        <v>3094</v>
      </c>
    </row>
    <row r="2467" spans="1:6" x14ac:dyDescent="0.25">
      <c r="A2467" t="s">
        <v>2823</v>
      </c>
      <c r="B2467" t="s">
        <v>156</v>
      </c>
      <c r="C2467" t="s">
        <v>52</v>
      </c>
      <c r="D2467" t="str">
        <f>HYPERLINK("http://service.sap.com/sap/support/notes/1686653","1686653")</f>
        <v>1686653</v>
      </c>
      <c r="E2467">
        <v>2</v>
      </c>
      <c r="F2467" t="s">
        <v>3095</v>
      </c>
    </row>
    <row r="2468" spans="1:6" x14ac:dyDescent="0.25">
      <c r="A2468" t="s">
        <v>2823</v>
      </c>
      <c r="B2468" t="s">
        <v>156</v>
      </c>
      <c r="C2468" t="s">
        <v>52</v>
      </c>
      <c r="D2468" t="str">
        <f>HYPERLINK("http://service.sap.com/sap/support/notes/1686992","1686992")</f>
        <v>1686992</v>
      </c>
      <c r="E2468">
        <v>5</v>
      </c>
      <c r="F2468" t="s">
        <v>3096</v>
      </c>
    </row>
    <row r="2469" spans="1:6" x14ac:dyDescent="0.25">
      <c r="A2469" t="s">
        <v>2823</v>
      </c>
      <c r="B2469" t="s">
        <v>156</v>
      </c>
      <c r="C2469" t="s">
        <v>52</v>
      </c>
      <c r="D2469" t="str">
        <f>HYPERLINK("http://service.sap.com/sap/support/notes/1688187","1688187")</f>
        <v>1688187</v>
      </c>
      <c r="E2469">
        <v>1</v>
      </c>
      <c r="F2469" t="s">
        <v>3097</v>
      </c>
    </row>
    <row r="2470" spans="1:6" x14ac:dyDescent="0.25">
      <c r="A2470" t="s">
        <v>2823</v>
      </c>
      <c r="B2470" t="s">
        <v>156</v>
      </c>
      <c r="C2470" t="s">
        <v>52</v>
      </c>
      <c r="D2470" t="str">
        <f>HYPERLINK("http://service.sap.com/sap/support/notes/1689295","1689295")</f>
        <v>1689295</v>
      </c>
      <c r="E2470">
        <v>1</v>
      </c>
      <c r="F2470" t="s">
        <v>3098</v>
      </c>
    </row>
    <row r="2471" spans="1:6" x14ac:dyDescent="0.25">
      <c r="A2471" t="s">
        <v>2823</v>
      </c>
      <c r="B2471" t="s">
        <v>156</v>
      </c>
      <c r="C2471" t="s">
        <v>52</v>
      </c>
      <c r="D2471" t="str">
        <f>HYPERLINK("http://service.sap.com/sap/support/notes/1692326","1692326")</f>
        <v>1692326</v>
      </c>
      <c r="E2471">
        <v>1</v>
      </c>
      <c r="F2471" t="s">
        <v>3099</v>
      </c>
    </row>
    <row r="2472" spans="1:6" x14ac:dyDescent="0.25">
      <c r="A2472" t="s">
        <v>2823</v>
      </c>
      <c r="B2472" t="s">
        <v>156</v>
      </c>
      <c r="C2472" t="s">
        <v>52</v>
      </c>
      <c r="D2472" t="str">
        <f>HYPERLINK("http://service.sap.com/sap/support/notes/1692807","1692807")</f>
        <v>1692807</v>
      </c>
      <c r="E2472">
        <v>1</v>
      </c>
      <c r="F2472" t="s">
        <v>3100</v>
      </c>
    </row>
    <row r="2473" spans="1:6" x14ac:dyDescent="0.25">
      <c r="A2473" t="s">
        <v>2823</v>
      </c>
      <c r="B2473" t="s">
        <v>156</v>
      </c>
      <c r="C2473" t="s">
        <v>52</v>
      </c>
      <c r="D2473" t="str">
        <f>HYPERLINK("http://service.sap.com/sap/support/notes/1693532","1693532")</f>
        <v>1693532</v>
      </c>
      <c r="E2473">
        <v>2</v>
      </c>
      <c r="F2473" t="s">
        <v>3101</v>
      </c>
    </row>
    <row r="2474" spans="1:6" x14ac:dyDescent="0.25">
      <c r="A2474" t="s">
        <v>2823</v>
      </c>
      <c r="B2474" t="s">
        <v>156</v>
      </c>
      <c r="C2474" t="s">
        <v>52</v>
      </c>
      <c r="D2474" t="str">
        <f>HYPERLINK("http://service.sap.com/sap/support/notes/1697670","1697670")</f>
        <v>1697670</v>
      </c>
      <c r="E2474">
        <v>5</v>
      </c>
      <c r="F2474" t="s">
        <v>3102</v>
      </c>
    </row>
    <row r="2475" spans="1:6" x14ac:dyDescent="0.25">
      <c r="A2475" t="s">
        <v>2823</v>
      </c>
      <c r="B2475" t="s">
        <v>158</v>
      </c>
      <c r="C2475" t="s">
        <v>54</v>
      </c>
      <c r="D2475" t="str">
        <f>HYPERLINK("http://service.sap.com/sap/support/notes/1686101","1686101")</f>
        <v>1686101</v>
      </c>
      <c r="E2475">
        <v>2</v>
      </c>
      <c r="F2475" t="s">
        <v>3103</v>
      </c>
    </row>
    <row r="2476" spans="1:6" x14ac:dyDescent="0.25">
      <c r="A2476" t="s">
        <v>2823</v>
      </c>
      <c r="B2476" t="s">
        <v>158</v>
      </c>
      <c r="C2476" t="s">
        <v>54</v>
      </c>
      <c r="D2476" t="str">
        <f>HYPERLINK("http://service.sap.com/sap/support/notes/1688308","1688308")</f>
        <v>1688308</v>
      </c>
      <c r="E2476">
        <v>5</v>
      </c>
      <c r="F2476" t="s">
        <v>3104</v>
      </c>
    </row>
    <row r="2477" spans="1:6" x14ac:dyDescent="0.25">
      <c r="A2477" t="s">
        <v>2823</v>
      </c>
      <c r="B2477" t="s">
        <v>158</v>
      </c>
      <c r="C2477" t="s">
        <v>54</v>
      </c>
      <c r="D2477" t="str">
        <f>HYPERLINK("http://service.sap.com/sap/support/notes/1688394","1688394")</f>
        <v>1688394</v>
      </c>
      <c r="E2477">
        <v>8</v>
      </c>
      <c r="F2477" t="s">
        <v>3105</v>
      </c>
    </row>
    <row r="2478" spans="1:6" x14ac:dyDescent="0.25">
      <c r="A2478" t="s">
        <v>2823</v>
      </c>
      <c r="B2478" t="s">
        <v>158</v>
      </c>
      <c r="C2478" t="s">
        <v>54</v>
      </c>
      <c r="D2478" t="str">
        <f>HYPERLINK("http://service.sap.com/sap/support/notes/1691005","1691005")</f>
        <v>1691005</v>
      </c>
      <c r="E2478">
        <v>2</v>
      </c>
      <c r="F2478" t="s">
        <v>3106</v>
      </c>
    </row>
    <row r="2479" spans="1:6" x14ac:dyDescent="0.25">
      <c r="A2479" t="s">
        <v>2823</v>
      </c>
      <c r="B2479" t="s">
        <v>158</v>
      </c>
      <c r="C2479" t="s">
        <v>54</v>
      </c>
      <c r="D2479" t="str">
        <f>HYPERLINK("http://service.sap.com/sap/support/notes/1692309","1692309")</f>
        <v>1692309</v>
      </c>
      <c r="E2479">
        <v>3</v>
      </c>
      <c r="F2479" t="s">
        <v>3107</v>
      </c>
    </row>
    <row r="2480" spans="1:6" x14ac:dyDescent="0.25">
      <c r="A2480" t="s">
        <v>2823</v>
      </c>
      <c r="B2480" t="s">
        <v>158</v>
      </c>
      <c r="C2480" t="s">
        <v>54</v>
      </c>
      <c r="D2480" t="str">
        <f>HYPERLINK("http://service.sap.com/sap/support/notes/1693043","1693043")</f>
        <v>1693043</v>
      </c>
      <c r="E2480">
        <v>3</v>
      </c>
      <c r="F2480" t="s">
        <v>3108</v>
      </c>
    </row>
    <row r="2481" spans="1:6" x14ac:dyDescent="0.25">
      <c r="A2481" t="s">
        <v>2823</v>
      </c>
      <c r="B2481" t="s">
        <v>158</v>
      </c>
      <c r="C2481" t="s">
        <v>54</v>
      </c>
      <c r="D2481" t="str">
        <f>HYPERLINK("http://service.sap.com/sap/support/notes/1695003","1695003")</f>
        <v>1695003</v>
      </c>
      <c r="E2481">
        <v>2</v>
      </c>
      <c r="F2481" t="s">
        <v>3109</v>
      </c>
    </row>
    <row r="2482" spans="1:6" x14ac:dyDescent="0.25">
      <c r="A2482" t="s">
        <v>2823</v>
      </c>
      <c r="B2482" t="s">
        <v>158</v>
      </c>
      <c r="C2482" t="s">
        <v>54</v>
      </c>
      <c r="D2482" t="str">
        <f>HYPERLINK("http://service.sap.com/sap/support/notes/1695024","1695024")</f>
        <v>1695024</v>
      </c>
      <c r="E2482">
        <v>3</v>
      </c>
      <c r="F2482" t="s">
        <v>3110</v>
      </c>
    </row>
    <row r="2483" spans="1:6" x14ac:dyDescent="0.25">
      <c r="A2483" t="s">
        <v>2823</v>
      </c>
      <c r="B2483" t="s">
        <v>158</v>
      </c>
      <c r="C2483" t="s">
        <v>54</v>
      </c>
      <c r="D2483" t="str">
        <f>HYPERLINK("http://service.sap.com/sap/support/notes/1697129","1697129")</f>
        <v>1697129</v>
      </c>
      <c r="E2483">
        <v>2</v>
      </c>
      <c r="F2483" t="s">
        <v>3111</v>
      </c>
    </row>
    <row r="2484" spans="1:6" x14ac:dyDescent="0.25">
      <c r="A2484" t="s">
        <v>2823</v>
      </c>
      <c r="B2484" t="s">
        <v>158</v>
      </c>
      <c r="C2484" t="s">
        <v>54</v>
      </c>
      <c r="D2484" t="str">
        <f>HYPERLINK("http://service.sap.com/sap/support/notes/1697151","1697151")</f>
        <v>1697151</v>
      </c>
      <c r="E2484">
        <v>1</v>
      </c>
      <c r="F2484" t="s">
        <v>3112</v>
      </c>
    </row>
    <row r="2485" spans="1:6" x14ac:dyDescent="0.25">
      <c r="A2485" t="s">
        <v>2823</v>
      </c>
      <c r="B2485" t="s">
        <v>159</v>
      </c>
      <c r="C2485" t="s">
        <v>160</v>
      </c>
      <c r="D2485" t="str">
        <f>HYPERLINK("http://service.sap.com/sap/support/notes/1663626","1663626")</f>
        <v>1663626</v>
      </c>
      <c r="E2485">
        <v>7</v>
      </c>
      <c r="F2485" t="s">
        <v>2727</v>
      </c>
    </row>
    <row r="2486" spans="1:6" x14ac:dyDescent="0.25">
      <c r="A2486" t="s">
        <v>2823</v>
      </c>
      <c r="B2486" t="s">
        <v>159</v>
      </c>
      <c r="C2486" t="s">
        <v>160</v>
      </c>
      <c r="D2486" t="str">
        <f>HYPERLINK("http://service.sap.com/sap/support/notes/1672525","1672525")</f>
        <v>1672525</v>
      </c>
      <c r="E2486">
        <v>2</v>
      </c>
      <c r="F2486" t="s">
        <v>3113</v>
      </c>
    </row>
    <row r="2487" spans="1:6" x14ac:dyDescent="0.25">
      <c r="A2487" t="s">
        <v>2823</v>
      </c>
      <c r="B2487" t="s">
        <v>159</v>
      </c>
      <c r="C2487" t="s">
        <v>160</v>
      </c>
      <c r="D2487" t="str">
        <f>HYPERLINK("http://service.sap.com/sap/support/notes/1676595","1676595")</f>
        <v>1676595</v>
      </c>
      <c r="E2487">
        <v>2</v>
      </c>
      <c r="F2487" t="s">
        <v>3114</v>
      </c>
    </row>
    <row r="2488" spans="1:6" x14ac:dyDescent="0.25">
      <c r="A2488" t="s">
        <v>2823</v>
      </c>
      <c r="B2488" t="s">
        <v>159</v>
      </c>
      <c r="C2488" t="s">
        <v>160</v>
      </c>
      <c r="D2488" t="str">
        <f>HYPERLINK("http://service.sap.com/sap/support/notes/1689119","1689119")</f>
        <v>1689119</v>
      </c>
      <c r="E2488">
        <v>1</v>
      </c>
      <c r="F2488" t="s">
        <v>3115</v>
      </c>
    </row>
    <row r="2489" spans="1:6" x14ac:dyDescent="0.25">
      <c r="A2489" t="s">
        <v>2823</v>
      </c>
      <c r="B2489" t="s">
        <v>159</v>
      </c>
      <c r="C2489" t="s">
        <v>160</v>
      </c>
      <c r="D2489" t="str">
        <f>HYPERLINK("http://service.sap.com/sap/support/notes/1690075","1690075")</f>
        <v>1690075</v>
      </c>
      <c r="E2489">
        <v>1</v>
      </c>
      <c r="F2489" t="s">
        <v>3116</v>
      </c>
    </row>
    <row r="2490" spans="1:6" x14ac:dyDescent="0.25">
      <c r="A2490" t="s">
        <v>2823</v>
      </c>
      <c r="B2490" t="s">
        <v>159</v>
      </c>
      <c r="C2490" t="s">
        <v>160</v>
      </c>
      <c r="D2490" t="str">
        <f>HYPERLINK("http://service.sap.com/sap/support/notes/1690333","1690333")</f>
        <v>1690333</v>
      </c>
      <c r="E2490">
        <v>1</v>
      </c>
      <c r="F2490" t="s">
        <v>3117</v>
      </c>
    </row>
    <row r="2491" spans="1:6" x14ac:dyDescent="0.25">
      <c r="A2491" t="s">
        <v>2823</v>
      </c>
      <c r="B2491" t="s">
        <v>159</v>
      </c>
      <c r="C2491" t="s">
        <v>160</v>
      </c>
      <c r="D2491" t="str">
        <f>HYPERLINK("http://service.sap.com/sap/support/notes/1692548","1692548")</f>
        <v>1692548</v>
      </c>
      <c r="E2491">
        <v>2</v>
      </c>
      <c r="F2491" t="s">
        <v>3118</v>
      </c>
    </row>
    <row r="2492" spans="1:6" x14ac:dyDescent="0.25">
      <c r="A2492" t="s">
        <v>2823</v>
      </c>
      <c r="B2492" t="s">
        <v>159</v>
      </c>
      <c r="C2492" t="s">
        <v>160</v>
      </c>
      <c r="D2492" t="str">
        <f>HYPERLINK("http://service.sap.com/sap/support/notes/1693230","1693230")</f>
        <v>1693230</v>
      </c>
      <c r="E2492">
        <v>4</v>
      </c>
      <c r="F2492" t="s">
        <v>3119</v>
      </c>
    </row>
    <row r="2493" spans="1:6" x14ac:dyDescent="0.25">
      <c r="A2493" t="s">
        <v>2823</v>
      </c>
      <c r="B2493" t="s">
        <v>161</v>
      </c>
      <c r="C2493" t="s">
        <v>162</v>
      </c>
      <c r="D2493" t="str">
        <f>HYPERLINK("http://service.sap.com/sap/support/notes/1684269","1684269")</f>
        <v>1684269</v>
      </c>
      <c r="E2493">
        <v>2</v>
      </c>
      <c r="F2493" t="s">
        <v>3120</v>
      </c>
    </row>
    <row r="2494" spans="1:6" x14ac:dyDescent="0.25">
      <c r="A2494" t="s">
        <v>2823</v>
      </c>
      <c r="B2494" t="s">
        <v>163</v>
      </c>
      <c r="C2494" t="s">
        <v>56</v>
      </c>
      <c r="D2494" t="str">
        <f>HYPERLINK("http://service.sap.com/sap/support/notes/1655023","1655023")</f>
        <v>1655023</v>
      </c>
      <c r="E2494">
        <v>1</v>
      </c>
      <c r="F2494" t="s">
        <v>3121</v>
      </c>
    </row>
    <row r="2495" spans="1:6" x14ac:dyDescent="0.25">
      <c r="A2495" t="s">
        <v>2823</v>
      </c>
      <c r="B2495" t="s">
        <v>163</v>
      </c>
      <c r="C2495" t="s">
        <v>56</v>
      </c>
      <c r="D2495" t="str">
        <f>HYPERLINK("http://service.sap.com/sap/support/notes/1685181","1685181")</f>
        <v>1685181</v>
      </c>
      <c r="E2495">
        <v>3</v>
      </c>
      <c r="F2495" t="s">
        <v>3122</v>
      </c>
    </row>
    <row r="2496" spans="1:6" x14ac:dyDescent="0.25">
      <c r="A2496" t="s">
        <v>2823</v>
      </c>
      <c r="B2496" t="s">
        <v>163</v>
      </c>
      <c r="C2496" t="s">
        <v>56</v>
      </c>
      <c r="D2496" t="str">
        <f>HYPERLINK("http://service.sap.com/sap/support/notes/1687183","1687183")</f>
        <v>1687183</v>
      </c>
      <c r="E2496">
        <v>2</v>
      </c>
      <c r="F2496" t="s">
        <v>3123</v>
      </c>
    </row>
    <row r="2497" spans="1:6" x14ac:dyDescent="0.25">
      <c r="A2497" t="s">
        <v>2823</v>
      </c>
      <c r="B2497" t="s">
        <v>163</v>
      </c>
      <c r="C2497" t="s">
        <v>56</v>
      </c>
      <c r="D2497" t="str">
        <f>HYPERLINK("http://service.sap.com/sap/support/notes/1687709","1687709")</f>
        <v>1687709</v>
      </c>
      <c r="E2497">
        <v>1</v>
      </c>
      <c r="F2497" t="s">
        <v>3124</v>
      </c>
    </row>
    <row r="2498" spans="1:6" x14ac:dyDescent="0.25">
      <c r="A2498" t="s">
        <v>2823</v>
      </c>
      <c r="B2498" t="s">
        <v>164</v>
      </c>
      <c r="C2498" t="s">
        <v>165</v>
      </c>
      <c r="D2498" t="str">
        <f>HYPERLINK("http://service.sap.com/sap/support/notes/1687433","1687433")</f>
        <v>1687433</v>
      </c>
      <c r="E2498">
        <v>1</v>
      </c>
      <c r="F2498" t="s">
        <v>3125</v>
      </c>
    </row>
    <row r="2499" spans="1:6" x14ac:dyDescent="0.25">
      <c r="A2499" t="s">
        <v>2823</v>
      </c>
      <c r="B2499" t="s">
        <v>164</v>
      </c>
      <c r="C2499" t="s">
        <v>165</v>
      </c>
      <c r="D2499" t="str">
        <f>HYPERLINK("http://service.sap.com/sap/support/notes/1690120","1690120")</f>
        <v>1690120</v>
      </c>
      <c r="E2499">
        <v>1</v>
      </c>
      <c r="F2499" t="s">
        <v>3126</v>
      </c>
    </row>
    <row r="2500" spans="1:6" x14ac:dyDescent="0.25">
      <c r="A2500" t="s">
        <v>2823</v>
      </c>
      <c r="B2500" t="s">
        <v>164</v>
      </c>
      <c r="C2500" t="s">
        <v>165</v>
      </c>
      <c r="D2500" t="str">
        <f>HYPERLINK("http://service.sap.com/sap/support/notes/1691915","1691915")</f>
        <v>1691915</v>
      </c>
      <c r="E2500">
        <v>2</v>
      </c>
      <c r="F2500" t="s">
        <v>3127</v>
      </c>
    </row>
    <row r="2501" spans="1:6" x14ac:dyDescent="0.25">
      <c r="A2501" t="s">
        <v>2823</v>
      </c>
      <c r="B2501" t="s">
        <v>164</v>
      </c>
      <c r="C2501" t="s">
        <v>165</v>
      </c>
      <c r="D2501" t="str">
        <f>HYPERLINK("http://service.sap.com/sap/support/notes/1695295","1695295")</f>
        <v>1695295</v>
      </c>
      <c r="E2501">
        <v>1</v>
      </c>
      <c r="F2501" t="s">
        <v>3128</v>
      </c>
    </row>
    <row r="2502" spans="1:6" x14ac:dyDescent="0.25">
      <c r="A2502" t="s">
        <v>2823</v>
      </c>
      <c r="B2502" t="s">
        <v>166</v>
      </c>
      <c r="C2502" t="s">
        <v>167</v>
      </c>
      <c r="D2502" t="str">
        <f>HYPERLINK("http://service.sap.com/sap/support/notes/1668243","1668243")</f>
        <v>1668243</v>
      </c>
      <c r="E2502">
        <v>1</v>
      </c>
      <c r="F2502" t="s">
        <v>1653</v>
      </c>
    </row>
    <row r="2503" spans="1:6" x14ac:dyDescent="0.25">
      <c r="A2503" t="s">
        <v>2823</v>
      </c>
      <c r="B2503" t="s">
        <v>166</v>
      </c>
      <c r="C2503" t="s">
        <v>167</v>
      </c>
      <c r="D2503" t="str">
        <f>HYPERLINK("http://service.sap.com/sap/support/notes/1670125","1670125")</f>
        <v>1670125</v>
      </c>
      <c r="E2503">
        <v>13</v>
      </c>
      <c r="F2503" t="s">
        <v>3129</v>
      </c>
    </row>
    <row r="2504" spans="1:6" x14ac:dyDescent="0.25">
      <c r="A2504" t="s">
        <v>2823</v>
      </c>
      <c r="B2504" t="s">
        <v>166</v>
      </c>
      <c r="C2504" t="s">
        <v>167</v>
      </c>
      <c r="D2504" t="str">
        <f>HYPERLINK("http://service.sap.com/sap/support/notes/1680178","1680178")</f>
        <v>1680178</v>
      </c>
      <c r="E2504">
        <v>2</v>
      </c>
      <c r="F2504" t="s">
        <v>3130</v>
      </c>
    </row>
    <row r="2505" spans="1:6" x14ac:dyDescent="0.25">
      <c r="A2505" t="s">
        <v>2823</v>
      </c>
      <c r="B2505" t="s">
        <v>166</v>
      </c>
      <c r="C2505" t="s">
        <v>167</v>
      </c>
      <c r="D2505" t="str">
        <f>HYPERLINK("http://service.sap.com/sap/support/notes/1680659","1680659")</f>
        <v>1680659</v>
      </c>
      <c r="E2505">
        <v>6</v>
      </c>
      <c r="F2505" t="s">
        <v>2153</v>
      </c>
    </row>
    <row r="2506" spans="1:6" x14ac:dyDescent="0.25">
      <c r="A2506" t="s">
        <v>2823</v>
      </c>
      <c r="B2506" t="s">
        <v>166</v>
      </c>
      <c r="C2506" t="s">
        <v>167</v>
      </c>
      <c r="D2506" t="str">
        <f>HYPERLINK("http://service.sap.com/sap/support/notes/1681254","1681254")</f>
        <v>1681254</v>
      </c>
      <c r="E2506">
        <v>1</v>
      </c>
      <c r="F2506" t="s">
        <v>3131</v>
      </c>
    </row>
    <row r="2507" spans="1:6" x14ac:dyDescent="0.25">
      <c r="A2507" t="s">
        <v>2823</v>
      </c>
      <c r="B2507" t="s">
        <v>166</v>
      </c>
      <c r="C2507" t="s">
        <v>167</v>
      </c>
      <c r="D2507" t="str">
        <f>HYPERLINK("http://service.sap.com/sap/support/notes/1687128","1687128")</f>
        <v>1687128</v>
      </c>
      <c r="E2507">
        <v>1</v>
      </c>
      <c r="F2507" t="s">
        <v>3132</v>
      </c>
    </row>
    <row r="2508" spans="1:6" x14ac:dyDescent="0.25">
      <c r="A2508" t="s">
        <v>2823</v>
      </c>
      <c r="B2508" t="s">
        <v>166</v>
      </c>
      <c r="C2508" t="s">
        <v>167</v>
      </c>
      <c r="D2508" t="str">
        <f>HYPERLINK("http://service.sap.com/sap/support/notes/1687129","1687129")</f>
        <v>1687129</v>
      </c>
      <c r="E2508">
        <v>1</v>
      </c>
      <c r="F2508" t="s">
        <v>3133</v>
      </c>
    </row>
    <row r="2509" spans="1:6" x14ac:dyDescent="0.25">
      <c r="A2509" t="s">
        <v>2823</v>
      </c>
      <c r="B2509" t="s">
        <v>166</v>
      </c>
      <c r="C2509" t="s">
        <v>167</v>
      </c>
      <c r="D2509" t="str">
        <f>HYPERLINK("http://service.sap.com/sap/support/notes/1688049","1688049")</f>
        <v>1688049</v>
      </c>
      <c r="E2509">
        <v>2</v>
      </c>
      <c r="F2509" t="s">
        <v>3134</v>
      </c>
    </row>
    <row r="2510" spans="1:6" x14ac:dyDescent="0.25">
      <c r="A2510" t="s">
        <v>2823</v>
      </c>
      <c r="B2510" t="s">
        <v>166</v>
      </c>
      <c r="C2510" t="s">
        <v>167</v>
      </c>
      <c r="D2510" t="str">
        <f>HYPERLINK("http://service.sap.com/sap/support/notes/1688889","1688889")</f>
        <v>1688889</v>
      </c>
      <c r="E2510">
        <v>1</v>
      </c>
      <c r="F2510" t="s">
        <v>3135</v>
      </c>
    </row>
    <row r="2511" spans="1:6" x14ac:dyDescent="0.25">
      <c r="A2511" t="s">
        <v>2823</v>
      </c>
      <c r="B2511" t="s">
        <v>166</v>
      </c>
      <c r="C2511" t="s">
        <v>167</v>
      </c>
      <c r="D2511" t="str">
        <f>HYPERLINK("http://service.sap.com/sap/support/notes/1689544","1689544")</f>
        <v>1689544</v>
      </c>
      <c r="E2511">
        <v>1</v>
      </c>
      <c r="F2511" t="s">
        <v>3136</v>
      </c>
    </row>
    <row r="2512" spans="1:6" x14ac:dyDescent="0.25">
      <c r="A2512" t="s">
        <v>2823</v>
      </c>
      <c r="B2512" t="s">
        <v>166</v>
      </c>
      <c r="C2512" t="s">
        <v>167</v>
      </c>
      <c r="D2512" t="str">
        <f>HYPERLINK("http://service.sap.com/sap/support/notes/1690751","1690751")</f>
        <v>1690751</v>
      </c>
      <c r="E2512">
        <v>1</v>
      </c>
      <c r="F2512" t="s">
        <v>3137</v>
      </c>
    </row>
    <row r="2513" spans="1:6" x14ac:dyDescent="0.25">
      <c r="A2513" t="s">
        <v>2823</v>
      </c>
      <c r="B2513" t="s">
        <v>166</v>
      </c>
      <c r="C2513" t="s">
        <v>167</v>
      </c>
      <c r="D2513" t="str">
        <f>HYPERLINK("http://service.sap.com/sap/support/notes/1693479","1693479")</f>
        <v>1693479</v>
      </c>
      <c r="E2513">
        <v>1</v>
      </c>
      <c r="F2513" t="s">
        <v>3138</v>
      </c>
    </row>
    <row r="2514" spans="1:6" x14ac:dyDescent="0.25">
      <c r="A2514" t="s">
        <v>2823</v>
      </c>
      <c r="B2514" t="s">
        <v>166</v>
      </c>
      <c r="C2514" t="s">
        <v>167</v>
      </c>
      <c r="D2514" t="str">
        <f>HYPERLINK("http://service.sap.com/sap/support/notes/1693646","1693646")</f>
        <v>1693646</v>
      </c>
      <c r="E2514">
        <v>1</v>
      </c>
      <c r="F2514" t="s">
        <v>3139</v>
      </c>
    </row>
    <row r="2515" spans="1:6" x14ac:dyDescent="0.25">
      <c r="A2515" t="s">
        <v>2823</v>
      </c>
      <c r="B2515" t="s">
        <v>166</v>
      </c>
      <c r="C2515" t="s">
        <v>167</v>
      </c>
      <c r="D2515" t="str">
        <f>HYPERLINK("http://service.sap.com/sap/support/notes/1694447","1694447")</f>
        <v>1694447</v>
      </c>
      <c r="E2515">
        <v>1</v>
      </c>
      <c r="F2515" t="s">
        <v>3140</v>
      </c>
    </row>
    <row r="2516" spans="1:6" x14ac:dyDescent="0.25">
      <c r="A2516" t="s">
        <v>2823</v>
      </c>
      <c r="B2516" t="s">
        <v>166</v>
      </c>
      <c r="C2516" t="s">
        <v>167</v>
      </c>
      <c r="D2516" t="str">
        <f>HYPERLINK("http://service.sap.com/sap/support/notes/1697655","1697655")</f>
        <v>1697655</v>
      </c>
      <c r="E2516">
        <v>1</v>
      </c>
      <c r="F2516" t="s">
        <v>3133</v>
      </c>
    </row>
    <row r="2517" spans="1:6" x14ac:dyDescent="0.25">
      <c r="A2517" t="s">
        <v>2823</v>
      </c>
      <c r="B2517" t="s">
        <v>168</v>
      </c>
      <c r="C2517" t="s">
        <v>169</v>
      </c>
      <c r="D2517" t="str">
        <f>HYPERLINK("http://service.sap.com/sap/support/notes/1669732","1669732")</f>
        <v>1669732</v>
      </c>
      <c r="E2517">
        <v>1</v>
      </c>
      <c r="F2517" t="s">
        <v>3141</v>
      </c>
    </row>
    <row r="2518" spans="1:6" x14ac:dyDescent="0.25">
      <c r="A2518" t="s">
        <v>2823</v>
      </c>
      <c r="B2518" t="s">
        <v>168</v>
      </c>
      <c r="C2518" t="s">
        <v>169</v>
      </c>
      <c r="D2518" t="str">
        <f>HYPERLINK("http://service.sap.com/sap/support/notes/1678131","1678131")</f>
        <v>1678131</v>
      </c>
      <c r="E2518">
        <v>1</v>
      </c>
      <c r="F2518" t="s">
        <v>3142</v>
      </c>
    </row>
    <row r="2519" spans="1:6" x14ac:dyDescent="0.25">
      <c r="A2519" t="s">
        <v>2823</v>
      </c>
      <c r="B2519" t="s">
        <v>168</v>
      </c>
      <c r="C2519" t="s">
        <v>169</v>
      </c>
      <c r="D2519" t="str">
        <f>HYPERLINK("http://service.sap.com/sap/support/notes/1678804","1678804")</f>
        <v>1678804</v>
      </c>
      <c r="E2519">
        <v>1</v>
      </c>
      <c r="F2519" t="s">
        <v>3143</v>
      </c>
    </row>
    <row r="2520" spans="1:6" x14ac:dyDescent="0.25">
      <c r="A2520" t="s">
        <v>2823</v>
      </c>
      <c r="B2520" t="s">
        <v>168</v>
      </c>
      <c r="C2520" t="s">
        <v>169</v>
      </c>
      <c r="D2520" t="str">
        <f>HYPERLINK("http://service.sap.com/sap/support/notes/1684400","1684400")</f>
        <v>1684400</v>
      </c>
      <c r="E2520">
        <v>1</v>
      </c>
      <c r="F2520" t="s">
        <v>3144</v>
      </c>
    </row>
    <row r="2521" spans="1:6" x14ac:dyDescent="0.25">
      <c r="A2521" t="s">
        <v>2823</v>
      </c>
      <c r="B2521" t="s">
        <v>168</v>
      </c>
      <c r="C2521" t="s">
        <v>169</v>
      </c>
      <c r="D2521" t="str">
        <f>HYPERLINK("http://service.sap.com/sap/support/notes/1684869","1684869")</f>
        <v>1684869</v>
      </c>
      <c r="E2521">
        <v>3</v>
      </c>
      <c r="F2521" t="s">
        <v>3145</v>
      </c>
    </row>
    <row r="2522" spans="1:6" x14ac:dyDescent="0.25">
      <c r="A2522" t="s">
        <v>2823</v>
      </c>
      <c r="B2522" t="s">
        <v>168</v>
      </c>
      <c r="C2522" t="s">
        <v>169</v>
      </c>
      <c r="D2522" t="str">
        <f>HYPERLINK("http://service.sap.com/sap/support/notes/1684991","1684991")</f>
        <v>1684991</v>
      </c>
      <c r="E2522">
        <v>1</v>
      </c>
      <c r="F2522" t="s">
        <v>3146</v>
      </c>
    </row>
    <row r="2523" spans="1:6" x14ac:dyDescent="0.25">
      <c r="A2523" t="s">
        <v>2823</v>
      </c>
      <c r="B2523" t="s">
        <v>168</v>
      </c>
      <c r="C2523" t="s">
        <v>169</v>
      </c>
      <c r="D2523" t="str">
        <f>HYPERLINK("http://service.sap.com/sap/support/notes/1686654","1686654")</f>
        <v>1686654</v>
      </c>
      <c r="E2523">
        <v>1</v>
      </c>
      <c r="F2523" t="s">
        <v>3147</v>
      </c>
    </row>
    <row r="2524" spans="1:6" x14ac:dyDescent="0.25">
      <c r="A2524" t="s">
        <v>2823</v>
      </c>
      <c r="B2524" t="s">
        <v>168</v>
      </c>
      <c r="C2524" t="s">
        <v>169</v>
      </c>
      <c r="D2524" t="str">
        <f>HYPERLINK("http://service.sap.com/sap/support/notes/1687362","1687362")</f>
        <v>1687362</v>
      </c>
      <c r="E2524">
        <v>1</v>
      </c>
      <c r="F2524" t="s">
        <v>3148</v>
      </c>
    </row>
    <row r="2525" spans="1:6" x14ac:dyDescent="0.25">
      <c r="A2525" t="s">
        <v>2823</v>
      </c>
      <c r="B2525" t="s">
        <v>168</v>
      </c>
      <c r="C2525" t="s">
        <v>169</v>
      </c>
      <c r="D2525" t="str">
        <f>HYPERLINK("http://service.sap.com/sap/support/notes/1687836","1687836")</f>
        <v>1687836</v>
      </c>
      <c r="E2525">
        <v>1</v>
      </c>
      <c r="F2525" t="s">
        <v>3149</v>
      </c>
    </row>
    <row r="2526" spans="1:6" x14ac:dyDescent="0.25">
      <c r="A2526" t="s">
        <v>2823</v>
      </c>
      <c r="B2526" t="s">
        <v>168</v>
      </c>
      <c r="C2526" t="s">
        <v>169</v>
      </c>
      <c r="D2526" t="str">
        <f>HYPERLINK("http://service.sap.com/sap/support/notes/1688494","1688494")</f>
        <v>1688494</v>
      </c>
      <c r="E2526">
        <v>1</v>
      </c>
      <c r="F2526" t="s">
        <v>3150</v>
      </c>
    </row>
    <row r="2527" spans="1:6" x14ac:dyDescent="0.25">
      <c r="A2527" t="s">
        <v>2823</v>
      </c>
      <c r="B2527" t="s">
        <v>168</v>
      </c>
      <c r="C2527" t="s">
        <v>169</v>
      </c>
      <c r="D2527" t="str">
        <f>HYPERLINK("http://service.sap.com/sap/support/notes/1693658","1693658")</f>
        <v>1693658</v>
      </c>
      <c r="E2527">
        <v>1</v>
      </c>
      <c r="F2527" t="s">
        <v>3151</v>
      </c>
    </row>
    <row r="2528" spans="1:6" x14ac:dyDescent="0.25">
      <c r="A2528" t="s">
        <v>2823</v>
      </c>
      <c r="B2528" t="s">
        <v>168</v>
      </c>
      <c r="C2528" t="s">
        <v>169</v>
      </c>
      <c r="D2528" t="str">
        <f>HYPERLINK("http://service.sap.com/sap/support/notes/1695832","1695832")</f>
        <v>1695832</v>
      </c>
      <c r="E2528">
        <v>1</v>
      </c>
      <c r="F2528" t="s">
        <v>3152</v>
      </c>
    </row>
    <row r="2529" spans="1:6" x14ac:dyDescent="0.25">
      <c r="A2529" t="s">
        <v>2823</v>
      </c>
      <c r="B2529" t="s">
        <v>171</v>
      </c>
      <c r="C2529" t="s">
        <v>172</v>
      </c>
      <c r="D2529" t="str">
        <f>HYPERLINK("http://service.sap.com/sap/support/notes/1641715","1641715")</f>
        <v>1641715</v>
      </c>
      <c r="E2529">
        <v>1</v>
      </c>
      <c r="F2529" t="s">
        <v>3153</v>
      </c>
    </row>
    <row r="2530" spans="1:6" x14ac:dyDescent="0.25">
      <c r="A2530" t="s">
        <v>2823</v>
      </c>
      <c r="B2530" t="s">
        <v>171</v>
      </c>
      <c r="C2530" t="s">
        <v>172</v>
      </c>
      <c r="D2530" t="str">
        <f>HYPERLINK("http://service.sap.com/sap/support/notes/1683729","1683729")</f>
        <v>1683729</v>
      </c>
      <c r="E2530">
        <v>1</v>
      </c>
      <c r="F2530" t="s">
        <v>3154</v>
      </c>
    </row>
    <row r="2531" spans="1:6" x14ac:dyDescent="0.25">
      <c r="A2531" t="s">
        <v>2823</v>
      </c>
      <c r="B2531" t="s">
        <v>171</v>
      </c>
      <c r="C2531" t="s">
        <v>172</v>
      </c>
      <c r="D2531" t="str">
        <f>HYPERLINK("http://service.sap.com/sap/support/notes/1684971","1684971")</f>
        <v>1684971</v>
      </c>
      <c r="E2531">
        <v>1</v>
      </c>
      <c r="F2531" t="s">
        <v>3155</v>
      </c>
    </row>
    <row r="2532" spans="1:6" x14ac:dyDescent="0.25">
      <c r="A2532" t="s">
        <v>2823</v>
      </c>
      <c r="B2532" t="s">
        <v>171</v>
      </c>
      <c r="C2532" t="s">
        <v>172</v>
      </c>
      <c r="D2532" t="str">
        <f>HYPERLINK("http://service.sap.com/sap/support/notes/1686539","1686539")</f>
        <v>1686539</v>
      </c>
      <c r="E2532">
        <v>1</v>
      </c>
      <c r="F2532" t="s">
        <v>3156</v>
      </c>
    </row>
    <row r="2533" spans="1:6" x14ac:dyDescent="0.25">
      <c r="A2533" t="s">
        <v>2823</v>
      </c>
      <c r="B2533" t="s">
        <v>171</v>
      </c>
      <c r="C2533" t="s">
        <v>172</v>
      </c>
      <c r="D2533" t="str">
        <f>HYPERLINK("http://service.sap.com/sap/support/notes/1688236","1688236")</f>
        <v>1688236</v>
      </c>
      <c r="E2533">
        <v>1</v>
      </c>
      <c r="F2533" t="s">
        <v>3157</v>
      </c>
    </row>
    <row r="2534" spans="1:6" x14ac:dyDescent="0.25">
      <c r="A2534" t="s">
        <v>2823</v>
      </c>
      <c r="B2534" t="s">
        <v>171</v>
      </c>
      <c r="C2534" t="s">
        <v>172</v>
      </c>
      <c r="D2534" t="str">
        <f>HYPERLINK("http://service.sap.com/sap/support/notes/1689355","1689355")</f>
        <v>1689355</v>
      </c>
      <c r="E2534">
        <v>1</v>
      </c>
      <c r="F2534" t="s">
        <v>3158</v>
      </c>
    </row>
    <row r="2535" spans="1:6" x14ac:dyDescent="0.25">
      <c r="A2535" t="s">
        <v>2823</v>
      </c>
      <c r="B2535" t="s">
        <v>171</v>
      </c>
      <c r="C2535" t="s">
        <v>172</v>
      </c>
      <c r="D2535" t="str">
        <f>HYPERLINK("http://service.sap.com/sap/support/notes/1689818","1689818")</f>
        <v>1689818</v>
      </c>
      <c r="E2535">
        <v>2</v>
      </c>
      <c r="F2535" t="s">
        <v>3159</v>
      </c>
    </row>
    <row r="2536" spans="1:6" x14ac:dyDescent="0.25">
      <c r="A2536" t="s">
        <v>2823</v>
      </c>
      <c r="B2536" t="s">
        <v>171</v>
      </c>
      <c r="C2536" t="s">
        <v>172</v>
      </c>
      <c r="D2536" t="str">
        <f>HYPERLINK("http://service.sap.com/sap/support/notes/1691237","1691237")</f>
        <v>1691237</v>
      </c>
      <c r="E2536">
        <v>2</v>
      </c>
      <c r="F2536" t="s">
        <v>3160</v>
      </c>
    </row>
    <row r="2537" spans="1:6" x14ac:dyDescent="0.25">
      <c r="A2537" t="s">
        <v>2823</v>
      </c>
      <c r="B2537" t="s">
        <v>171</v>
      </c>
      <c r="C2537" t="s">
        <v>172</v>
      </c>
      <c r="D2537" t="str">
        <f>HYPERLINK("http://service.sap.com/sap/support/notes/1693986","1693986")</f>
        <v>1693986</v>
      </c>
      <c r="E2537">
        <v>1</v>
      </c>
      <c r="F2537" t="s">
        <v>3161</v>
      </c>
    </row>
    <row r="2538" spans="1:6" x14ac:dyDescent="0.25">
      <c r="A2538" t="s">
        <v>2823</v>
      </c>
      <c r="B2538" t="s">
        <v>171</v>
      </c>
      <c r="C2538" t="s">
        <v>172</v>
      </c>
      <c r="D2538" t="str">
        <f>HYPERLINK("http://service.sap.com/sap/support/notes/1694563","1694563")</f>
        <v>1694563</v>
      </c>
      <c r="E2538">
        <v>2</v>
      </c>
      <c r="F2538" t="s">
        <v>3162</v>
      </c>
    </row>
    <row r="2539" spans="1:6" x14ac:dyDescent="0.25">
      <c r="A2539" t="s">
        <v>2823</v>
      </c>
      <c r="B2539" t="s">
        <v>171</v>
      </c>
      <c r="C2539" t="s">
        <v>172</v>
      </c>
      <c r="D2539" t="str">
        <f>HYPERLINK("http://service.sap.com/sap/support/notes/1695628","1695628")</f>
        <v>1695628</v>
      </c>
      <c r="E2539">
        <v>1</v>
      </c>
      <c r="F2539" t="s">
        <v>3163</v>
      </c>
    </row>
    <row r="2540" spans="1:6" x14ac:dyDescent="0.25">
      <c r="A2540" t="s">
        <v>2823</v>
      </c>
      <c r="B2540" t="s">
        <v>171</v>
      </c>
      <c r="C2540" t="s">
        <v>172</v>
      </c>
      <c r="D2540" t="str">
        <f>HYPERLINK("http://service.sap.com/sap/support/notes/1695660","1695660")</f>
        <v>1695660</v>
      </c>
      <c r="E2540">
        <v>1</v>
      </c>
      <c r="F2540" t="s">
        <v>3164</v>
      </c>
    </row>
    <row r="2541" spans="1:6" x14ac:dyDescent="0.25">
      <c r="A2541" t="s">
        <v>2823</v>
      </c>
      <c r="B2541" t="s">
        <v>175</v>
      </c>
      <c r="C2541" t="s">
        <v>176</v>
      </c>
      <c r="D2541" t="str">
        <f>HYPERLINK("http://service.sap.com/sap/support/notes/1668763","1668763")</f>
        <v>1668763</v>
      </c>
      <c r="E2541">
        <v>2</v>
      </c>
      <c r="F2541" t="s">
        <v>3165</v>
      </c>
    </row>
    <row r="2542" spans="1:6" x14ac:dyDescent="0.25">
      <c r="A2542" t="s">
        <v>2823</v>
      </c>
      <c r="B2542" t="s">
        <v>175</v>
      </c>
      <c r="C2542" t="s">
        <v>176</v>
      </c>
      <c r="D2542" t="str">
        <f>HYPERLINK("http://service.sap.com/sap/support/notes/1685866","1685866")</f>
        <v>1685866</v>
      </c>
      <c r="E2542">
        <v>2</v>
      </c>
      <c r="F2542" t="s">
        <v>3166</v>
      </c>
    </row>
    <row r="2543" spans="1:6" x14ac:dyDescent="0.25">
      <c r="A2543" t="s">
        <v>2823</v>
      </c>
      <c r="B2543" t="s">
        <v>175</v>
      </c>
      <c r="C2543" t="s">
        <v>176</v>
      </c>
      <c r="D2543" t="str">
        <f>HYPERLINK("http://service.sap.com/sap/support/notes/1686429","1686429")</f>
        <v>1686429</v>
      </c>
      <c r="E2543">
        <v>2</v>
      </c>
      <c r="F2543" t="s">
        <v>3167</v>
      </c>
    </row>
    <row r="2544" spans="1:6" x14ac:dyDescent="0.25">
      <c r="A2544" t="s">
        <v>2823</v>
      </c>
      <c r="B2544" t="s">
        <v>177</v>
      </c>
      <c r="C2544" t="s">
        <v>178</v>
      </c>
      <c r="D2544" t="str">
        <f>HYPERLINK("http://service.sap.com/sap/support/notes/1660627","1660627")</f>
        <v>1660627</v>
      </c>
      <c r="E2544">
        <v>4</v>
      </c>
      <c r="F2544" t="s">
        <v>3168</v>
      </c>
    </row>
    <row r="2545" spans="1:6" x14ac:dyDescent="0.25">
      <c r="A2545" t="s">
        <v>2823</v>
      </c>
      <c r="B2545" t="s">
        <v>177</v>
      </c>
      <c r="C2545" t="s">
        <v>178</v>
      </c>
      <c r="D2545" t="str">
        <f>HYPERLINK("http://service.sap.com/sap/support/notes/1673810","1673810")</f>
        <v>1673810</v>
      </c>
      <c r="E2545">
        <v>2</v>
      </c>
      <c r="F2545" t="s">
        <v>3169</v>
      </c>
    </row>
    <row r="2546" spans="1:6" x14ac:dyDescent="0.25">
      <c r="A2546" t="s">
        <v>2823</v>
      </c>
      <c r="B2546" t="s">
        <v>177</v>
      </c>
      <c r="C2546" t="s">
        <v>178</v>
      </c>
      <c r="D2546" t="str">
        <f>HYPERLINK("http://service.sap.com/sap/support/notes/1684529","1684529")</f>
        <v>1684529</v>
      </c>
      <c r="E2546">
        <v>10</v>
      </c>
      <c r="F2546" t="s">
        <v>3170</v>
      </c>
    </row>
    <row r="2547" spans="1:6" x14ac:dyDescent="0.25">
      <c r="A2547" t="s">
        <v>2823</v>
      </c>
      <c r="B2547" t="s">
        <v>177</v>
      </c>
      <c r="C2547" t="s">
        <v>178</v>
      </c>
      <c r="D2547" t="str">
        <f>HYPERLINK("http://service.sap.com/sap/support/notes/1688657","1688657")</f>
        <v>1688657</v>
      </c>
      <c r="E2547">
        <v>2</v>
      </c>
      <c r="F2547" t="s">
        <v>3171</v>
      </c>
    </row>
    <row r="2548" spans="1:6" x14ac:dyDescent="0.25">
      <c r="A2548" t="s">
        <v>2823</v>
      </c>
      <c r="B2548" t="s">
        <v>177</v>
      </c>
      <c r="C2548" t="s">
        <v>178</v>
      </c>
      <c r="D2548" t="str">
        <f>HYPERLINK("http://service.sap.com/sap/support/notes/1688667","1688667")</f>
        <v>1688667</v>
      </c>
      <c r="E2548">
        <v>6</v>
      </c>
      <c r="F2548" t="s">
        <v>3172</v>
      </c>
    </row>
    <row r="2549" spans="1:6" x14ac:dyDescent="0.25">
      <c r="A2549" t="s">
        <v>2823</v>
      </c>
      <c r="B2549" t="s">
        <v>177</v>
      </c>
      <c r="C2549" t="s">
        <v>178</v>
      </c>
      <c r="D2549" t="str">
        <f>HYPERLINK("http://service.sap.com/sap/support/notes/1690718","1690718")</f>
        <v>1690718</v>
      </c>
      <c r="E2549">
        <v>5</v>
      </c>
      <c r="F2549" t="s">
        <v>3173</v>
      </c>
    </row>
    <row r="2550" spans="1:6" x14ac:dyDescent="0.25">
      <c r="A2550" t="s">
        <v>2823</v>
      </c>
      <c r="B2550" t="s">
        <v>177</v>
      </c>
      <c r="C2550" t="s">
        <v>178</v>
      </c>
      <c r="D2550" t="str">
        <f>HYPERLINK("http://service.sap.com/sap/support/notes/1691922","1691922")</f>
        <v>1691922</v>
      </c>
      <c r="E2550">
        <v>2</v>
      </c>
      <c r="F2550" t="s">
        <v>3174</v>
      </c>
    </row>
    <row r="2551" spans="1:6" x14ac:dyDescent="0.25">
      <c r="A2551" t="s">
        <v>2823</v>
      </c>
      <c r="B2551" t="s">
        <v>179</v>
      </c>
      <c r="C2551" t="s">
        <v>180</v>
      </c>
      <c r="D2551" t="str">
        <f>HYPERLINK("http://service.sap.com/sap/support/notes/1681584","1681584")</f>
        <v>1681584</v>
      </c>
      <c r="E2551">
        <v>2</v>
      </c>
      <c r="F2551" t="s">
        <v>2793</v>
      </c>
    </row>
    <row r="2552" spans="1:6" x14ac:dyDescent="0.25">
      <c r="A2552" t="s">
        <v>2823</v>
      </c>
      <c r="B2552" t="s">
        <v>179</v>
      </c>
      <c r="C2552" t="s">
        <v>180</v>
      </c>
      <c r="D2552" t="str">
        <f>HYPERLINK("http://service.sap.com/sap/support/notes/1683764","1683764")</f>
        <v>1683764</v>
      </c>
      <c r="E2552">
        <v>1</v>
      </c>
      <c r="F2552" t="s">
        <v>3175</v>
      </c>
    </row>
    <row r="2553" spans="1:6" x14ac:dyDescent="0.25">
      <c r="A2553" t="s">
        <v>2823</v>
      </c>
      <c r="B2553" t="s">
        <v>179</v>
      </c>
      <c r="C2553" t="s">
        <v>180</v>
      </c>
      <c r="D2553" t="str">
        <f>HYPERLINK("http://service.sap.com/sap/support/notes/1686712","1686712")</f>
        <v>1686712</v>
      </c>
      <c r="E2553">
        <v>1</v>
      </c>
      <c r="F2553" t="s">
        <v>3176</v>
      </c>
    </row>
    <row r="2554" spans="1:6" x14ac:dyDescent="0.25">
      <c r="A2554" t="s">
        <v>2823</v>
      </c>
      <c r="B2554" t="s">
        <v>179</v>
      </c>
      <c r="C2554" t="s">
        <v>180</v>
      </c>
      <c r="D2554" t="str">
        <f>HYPERLINK("http://service.sap.com/sap/support/notes/1688032","1688032")</f>
        <v>1688032</v>
      </c>
      <c r="E2554">
        <v>3</v>
      </c>
      <c r="F2554" t="s">
        <v>3177</v>
      </c>
    </row>
    <row r="2555" spans="1:6" x14ac:dyDescent="0.25">
      <c r="A2555" t="s">
        <v>2823</v>
      </c>
      <c r="B2555" t="s">
        <v>179</v>
      </c>
      <c r="C2555" t="s">
        <v>180</v>
      </c>
      <c r="D2555" t="str">
        <f>HYPERLINK("http://service.sap.com/sap/support/notes/1688833","1688833")</f>
        <v>1688833</v>
      </c>
      <c r="E2555">
        <v>3</v>
      </c>
      <c r="F2555" t="s">
        <v>3178</v>
      </c>
    </row>
    <row r="2556" spans="1:6" x14ac:dyDescent="0.25">
      <c r="A2556" t="s">
        <v>2823</v>
      </c>
      <c r="B2556" t="s">
        <v>179</v>
      </c>
      <c r="C2556" t="s">
        <v>180</v>
      </c>
      <c r="D2556" t="str">
        <f>HYPERLINK("http://service.sap.com/sap/support/notes/1689074","1689074")</f>
        <v>1689074</v>
      </c>
      <c r="E2556">
        <v>3</v>
      </c>
      <c r="F2556" t="s">
        <v>3179</v>
      </c>
    </row>
    <row r="2557" spans="1:6" x14ac:dyDescent="0.25">
      <c r="A2557" t="s">
        <v>2823</v>
      </c>
      <c r="B2557" t="s">
        <v>179</v>
      </c>
      <c r="C2557" t="s">
        <v>180</v>
      </c>
      <c r="D2557" t="str">
        <f>HYPERLINK("http://service.sap.com/sap/support/notes/1689331","1689331")</f>
        <v>1689331</v>
      </c>
      <c r="E2557">
        <v>1</v>
      </c>
      <c r="F2557" t="s">
        <v>3180</v>
      </c>
    </row>
    <row r="2558" spans="1:6" x14ac:dyDescent="0.25">
      <c r="A2558" t="s">
        <v>2823</v>
      </c>
      <c r="B2558" t="s">
        <v>179</v>
      </c>
      <c r="C2558" t="s">
        <v>180</v>
      </c>
      <c r="D2558" t="str">
        <f>HYPERLINK("http://service.sap.com/sap/support/notes/1689524","1689524")</f>
        <v>1689524</v>
      </c>
      <c r="E2558">
        <v>3</v>
      </c>
      <c r="F2558" t="s">
        <v>3181</v>
      </c>
    </row>
    <row r="2559" spans="1:6" x14ac:dyDescent="0.25">
      <c r="A2559" t="s">
        <v>2823</v>
      </c>
      <c r="B2559" t="s">
        <v>179</v>
      </c>
      <c r="C2559" t="s">
        <v>180</v>
      </c>
      <c r="D2559" t="str">
        <f>HYPERLINK("http://service.sap.com/sap/support/notes/1690296","1690296")</f>
        <v>1690296</v>
      </c>
      <c r="E2559">
        <v>1</v>
      </c>
      <c r="F2559" t="s">
        <v>3182</v>
      </c>
    </row>
    <row r="2560" spans="1:6" x14ac:dyDescent="0.25">
      <c r="A2560" t="s">
        <v>2823</v>
      </c>
      <c r="B2560" t="s">
        <v>179</v>
      </c>
      <c r="C2560" t="s">
        <v>180</v>
      </c>
      <c r="D2560" t="str">
        <f>HYPERLINK("http://service.sap.com/sap/support/notes/1691551","1691551")</f>
        <v>1691551</v>
      </c>
      <c r="E2560">
        <v>1</v>
      </c>
      <c r="F2560" t="s">
        <v>3183</v>
      </c>
    </row>
    <row r="2561" spans="1:6" x14ac:dyDescent="0.25">
      <c r="A2561" t="s">
        <v>2823</v>
      </c>
      <c r="B2561" t="s">
        <v>179</v>
      </c>
      <c r="C2561" t="s">
        <v>180</v>
      </c>
      <c r="D2561" t="str">
        <f>HYPERLINK("http://service.sap.com/sap/support/notes/1691638","1691638")</f>
        <v>1691638</v>
      </c>
      <c r="E2561">
        <v>1</v>
      </c>
      <c r="F2561" t="s">
        <v>3184</v>
      </c>
    </row>
    <row r="2562" spans="1:6" x14ac:dyDescent="0.25">
      <c r="A2562" t="s">
        <v>2823</v>
      </c>
      <c r="B2562" t="s">
        <v>179</v>
      </c>
      <c r="C2562" t="s">
        <v>180</v>
      </c>
      <c r="D2562" t="str">
        <f>HYPERLINK("http://service.sap.com/sap/support/notes/1692626","1692626")</f>
        <v>1692626</v>
      </c>
      <c r="E2562">
        <v>1</v>
      </c>
      <c r="F2562" t="s">
        <v>3185</v>
      </c>
    </row>
    <row r="2563" spans="1:6" x14ac:dyDescent="0.25">
      <c r="A2563" t="s">
        <v>2823</v>
      </c>
      <c r="B2563" t="s">
        <v>179</v>
      </c>
      <c r="C2563" t="s">
        <v>180</v>
      </c>
      <c r="D2563" t="str">
        <f>HYPERLINK("http://service.sap.com/sap/support/notes/1694940","1694940")</f>
        <v>1694940</v>
      </c>
      <c r="E2563">
        <v>1</v>
      </c>
      <c r="F2563" t="s">
        <v>3186</v>
      </c>
    </row>
    <row r="2564" spans="1:6" x14ac:dyDescent="0.25">
      <c r="A2564" t="s">
        <v>2823</v>
      </c>
      <c r="B2564" t="s">
        <v>181</v>
      </c>
      <c r="C2564" t="s">
        <v>182</v>
      </c>
      <c r="D2564" t="str">
        <f>HYPERLINK("http://service.sap.com/sap/support/notes/1642038","1642038")</f>
        <v>1642038</v>
      </c>
      <c r="E2564">
        <v>6</v>
      </c>
      <c r="F2564" t="s">
        <v>3187</v>
      </c>
    </row>
    <row r="2565" spans="1:6" x14ac:dyDescent="0.25">
      <c r="A2565" t="s">
        <v>2823</v>
      </c>
      <c r="B2565" t="s">
        <v>181</v>
      </c>
      <c r="C2565" t="s">
        <v>182</v>
      </c>
      <c r="D2565" t="str">
        <f>HYPERLINK("http://service.sap.com/sap/support/notes/1687132","1687132")</f>
        <v>1687132</v>
      </c>
      <c r="E2565">
        <v>1</v>
      </c>
      <c r="F2565" t="s">
        <v>3188</v>
      </c>
    </row>
    <row r="2566" spans="1:6" x14ac:dyDescent="0.25">
      <c r="A2566" t="s">
        <v>2823</v>
      </c>
      <c r="B2566" t="s">
        <v>181</v>
      </c>
      <c r="C2566" t="s">
        <v>182</v>
      </c>
      <c r="D2566" t="str">
        <f>HYPERLINK("http://service.sap.com/sap/support/notes/1687163","1687163")</f>
        <v>1687163</v>
      </c>
      <c r="E2566">
        <v>1</v>
      </c>
      <c r="F2566" t="s">
        <v>3189</v>
      </c>
    </row>
    <row r="2567" spans="1:6" x14ac:dyDescent="0.25">
      <c r="A2567" t="s">
        <v>2823</v>
      </c>
      <c r="B2567" t="s">
        <v>181</v>
      </c>
      <c r="C2567" t="s">
        <v>182</v>
      </c>
      <c r="D2567" t="str">
        <f>HYPERLINK("http://service.sap.com/sap/support/notes/1687271","1687271")</f>
        <v>1687271</v>
      </c>
      <c r="E2567">
        <v>1</v>
      </c>
      <c r="F2567" t="s">
        <v>3190</v>
      </c>
    </row>
    <row r="2568" spans="1:6" x14ac:dyDescent="0.25">
      <c r="A2568" t="s">
        <v>2823</v>
      </c>
      <c r="B2568" t="s">
        <v>181</v>
      </c>
      <c r="C2568" t="s">
        <v>182</v>
      </c>
      <c r="D2568" t="str">
        <f>HYPERLINK("http://service.sap.com/sap/support/notes/1687736","1687736")</f>
        <v>1687736</v>
      </c>
      <c r="E2568">
        <v>1</v>
      </c>
      <c r="F2568" t="s">
        <v>3191</v>
      </c>
    </row>
    <row r="2569" spans="1:6" x14ac:dyDescent="0.25">
      <c r="A2569" t="s">
        <v>2823</v>
      </c>
      <c r="B2569" t="s">
        <v>181</v>
      </c>
      <c r="C2569" t="s">
        <v>182</v>
      </c>
      <c r="D2569" t="str">
        <f>HYPERLINK("http://service.sap.com/sap/support/notes/1688209","1688209")</f>
        <v>1688209</v>
      </c>
      <c r="E2569">
        <v>1</v>
      </c>
      <c r="F2569" t="s">
        <v>3192</v>
      </c>
    </row>
    <row r="2570" spans="1:6" x14ac:dyDescent="0.25">
      <c r="A2570" t="s">
        <v>2823</v>
      </c>
      <c r="B2570" t="s">
        <v>181</v>
      </c>
      <c r="C2570" t="s">
        <v>182</v>
      </c>
      <c r="D2570" t="str">
        <f>HYPERLINK("http://service.sap.com/sap/support/notes/1692796","1692796")</f>
        <v>1692796</v>
      </c>
      <c r="E2570">
        <v>2</v>
      </c>
      <c r="F2570" t="s">
        <v>3193</v>
      </c>
    </row>
    <row r="2571" spans="1:6" x14ac:dyDescent="0.25">
      <c r="A2571" t="s">
        <v>2823</v>
      </c>
      <c r="B2571" t="s">
        <v>185</v>
      </c>
      <c r="C2571" t="s">
        <v>186</v>
      </c>
      <c r="D2571" t="str">
        <f>HYPERLINK("http://service.sap.com/sap/support/notes/1683755","1683755")</f>
        <v>1683755</v>
      </c>
      <c r="E2571">
        <v>1</v>
      </c>
      <c r="F2571" t="s">
        <v>3194</v>
      </c>
    </row>
    <row r="2572" spans="1:6" x14ac:dyDescent="0.25">
      <c r="A2572" t="s">
        <v>2823</v>
      </c>
      <c r="B2572" t="s">
        <v>185</v>
      </c>
      <c r="C2572" t="s">
        <v>186</v>
      </c>
      <c r="D2572" t="str">
        <f>HYPERLINK("http://service.sap.com/sap/support/notes/1687843","1687843")</f>
        <v>1687843</v>
      </c>
      <c r="E2572">
        <v>1</v>
      </c>
      <c r="F2572" t="s">
        <v>3195</v>
      </c>
    </row>
    <row r="2573" spans="1:6" x14ac:dyDescent="0.25">
      <c r="A2573" t="s">
        <v>2823</v>
      </c>
      <c r="B2573" t="s">
        <v>185</v>
      </c>
      <c r="C2573" t="s">
        <v>186</v>
      </c>
      <c r="D2573" t="str">
        <f>HYPERLINK("http://service.sap.com/sap/support/notes/1687924","1687924")</f>
        <v>1687924</v>
      </c>
      <c r="E2573">
        <v>2</v>
      </c>
      <c r="F2573" t="s">
        <v>3196</v>
      </c>
    </row>
    <row r="2574" spans="1:6" x14ac:dyDescent="0.25">
      <c r="A2574" t="s">
        <v>2823</v>
      </c>
      <c r="B2574" t="s">
        <v>185</v>
      </c>
      <c r="C2574" t="s">
        <v>186</v>
      </c>
      <c r="D2574" t="str">
        <f>HYPERLINK("http://service.sap.com/sap/support/notes/1688139","1688139")</f>
        <v>1688139</v>
      </c>
      <c r="E2574">
        <v>1</v>
      </c>
      <c r="F2574" t="s">
        <v>3197</v>
      </c>
    </row>
    <row r="2575" spans="1:6" x14ac:dyDescent="0.25">
      <c r="A2575" t="s">
        <v>2823</v>
      </c>
      <c r="B2575" t="s">
        <v>185</v>
      </c>
      <c r="C2575" t="s">
        <v>186</v>
      </c>
      <c r="D2575" t="str">
        <f>HYPERLINK("http://service.sap.com/sap/support/notes/1689796","1689796")</f>
        <v>1689796</v>
      </c>
      <c r="E2575">
        <v>1</v>
      </c>
      <c r="F2575" t="s">
        <v>3198</v>
      </c>
    </row>
    <row r="2576" spans="1:6" x14ac:dyDescent="0.25">
      <c r="A2576" t="s">
        <v>2823</v>
      </c>
      <c r="B2576" t="s">
        <v>185</v>
      </c>
      <c r="C2576" t="s">
        <v>186</v>
      </c>
      <c r="D2576" t="str">
        <f>HYPERLINK("http://service.sap.com/sap/support/notes/1689798","1689798")</f>
        <v>1689798</v>
      </c>
      <c r="E2576">
        <v>1</v>
      </c>
      <c r="F2576" t="s">
        <v>3199</v>
      </c>
    </row>
    <row r="2577" spans="1:6" x14ac:dyDescent="0.25">
      <c r="A2577" t="s">
        <v>2823</v>
      </c>
      <c r="B2577" t="s">
        <v>185</v>
      </c>
      <c r="C2577" t="s">
        <v>186</v>
      </c>
      <c r="D2577" t="str">
        <f>HYPERLINK("http://service.sap.com/sap/support/notes/1689835","1689835")</f>
        <v>1689835</v>
      </c>
      <c r="E2577">
        <v>1</v>
      </c>
      <c r="F2577" t="s">
        <v>3200</v>
      </c>
    </row>
    <row r="2578" spans="1:6" x14ac:dyDescent="0.25">
      <c r="A2578" t="s">
        <v>2823</v>
      </c>
      <c r="B2578" t="s">
        <v>185</v>
      </c>
      <c r="C2578" t="s">
        <v>186</v>
      </c>
      <c r="D2578" t="str">
        <f>HYPERLINK("http://service.sap.com/sap/support/notes/1695546","1695546")</f>
        <v>1695546</v>
      </c>
      <c r="E2578">
        <v>1</v>
      </c>
      <c r="F2578" t="s">
        <v>3201</v>
      </c>
    </row>
    <row r="2579" spans="1:6" x14ac:dyDescent="0.25">
      <c r="A2579" t="s">
        <v>2823</v>
      </c>
      <c r="B2579" t="s">
        <v>191</v>
      </c>
      <c r="C2579" t="s">
        <v>62</v>
      </c>
      <c r="D2579" t="str">
        <f>HYPERLINK("http://service.sap.com/sap/support/notes/1512727","1512727")</f>
        <v>1512727</v>
      </c>
      <c r="E2579">
        <v>3</v>
      </c>
      <c r="F2579" t="s">
        <v>3202</v>
      </c>
    </row>
    <row r="2580" spans="1:6" x14ac:dyDescent="0.25">
      <c r="A2580" t="s">
        <v>2823</v>
      </c>
      <c r="B2580" t="s">
        <v>191</v>
      </c>
      <c r="C2580" t="s">
        <v>62</v>
      </c>
      <c r="D2580" t="str">
        <f>HYPERLINK("http://service.sap.com/sap/support/notes/1528019","1528019")</f>
        <v>1528019</v>
      </c>
      <c r="E2580">
        <v>4</v>
      </c>
      <c r="F2580" t="s">
        <v>614</v>
      </c>
    </row>
    <row r="2581" spans="1:6" x14ac:dyDescent="0.25">
      <c r="A2581" t="s">
        <v>2823</v>
      </c>
      <c r="B2581" t="s">
        <v>195</v>
      </c>
      <c r="C2581" t="s">
        <v>132</v>
      </c>
      <c r="D2581" t="str">
        <f>HYPERLINK("http://service.sap.com/sap/support/notes/1559365","1559365")</f>
        <v>1559365</v>
      </c>
      <c r="E2581">
        <v>3</v>
      </c>
      <c r="F2581" t="s">
        <v>3203</v>
      </c>
    </row>
    <row r="2582" spans="1:6" x14ac:dyDescent="0.25">
      <c r="A2582" t="s">
        <v>2823</v>
      </c>
      <c r="B2582" t="s">
        <v>195</v>
      </c>
      <c r="C2582" t="s">
        <v>132</v>
      </c>
      <c r="D2582" t="str">
        <f>HYPERLINK("http://service.sap.com/sap/support/notes/1650530","1650530")</f>
        <v>1650530</v>
      </c>
      <c r="E2582">
        <v>2</v>
      </c>
      <c r="F2582" t="s">
        <v>3204</v>
      </c>
    </row>
    <row r="2583" spans="1:6" x14ac:dyDescent="0.25">
      <c r="A2583" t="s">
        <v>2823</v>
      </c>
      <c r="B2583" t="s">
        <v>195</v>
      </c>
      <c r="C2583" t="s">
        <v>132</v>
      </c>
      <c r="D2583" t="str">
        <f>HYPERLINK("http://service.sap.com/sap/support/notes/1676578","1676578")</f>
        <v>1676578</v>
      </c>
      <c r="E2583">
        <v>2</v>
      </c>
      <c r="F2583" t="s">
        <v>3205</v>
      </c>
    </row>
    <row r="2584" spans="1:6" x14ac:dyDescent="0.25">
      <c r="A2584" t="s">
        <v>2823</v>
      </c>
      <c r="B2584" t="s">
        <v>195</v>
      </c>
      <c r="C2584" t="s">
        <v>132</v>
      </c>
      <c r="D2584" t="str">
        <f>HYPERLINK("http://service.sap.com/sap/support/notes/1676628","1676628")</f>
        <v>1676628</v>
      </c>
      <c r="E2584">
        <v>4</v>
      </c>
      <c r="F2584" t="s">
        <v>3206</v>
      </c>
    </row>
    <row r="2585" spans="1:6" x14ac:dyDescent="0.25">
      <c r="A2585" t="s">
        <v>2823</v>
      </c>
      <c r="B2585" t="s">
        <v>196</v>
      </c>
      <c r="C2585" t="s">
        <v>197</v>
      </c>
      <c r="D2585" t="str">
        <f>HYPERLINK("http://service.sap.com/sap/support/notes/1672059","1672059")</f>
        <v>1672059</v>
      </c>
      <c r="E2585">
        <v>3</v>
      </c>
      <c r="F2585" t="s">
        <v>3207</v>
      </c>
    </row>
    <row r="2586" spans="1:6" x14ac:dyDescent="0.25">
      <c r="A2586" t="s">
        <v>2823</v>
      </c>
      <c r="B2586" t="s">
        <v>196</v>
      </c>
      <c r="C2586" t="s">
        <v>197</v>
      </c>
      <c r="D2586" t="str">
        <f>HYPERLINK("http://service.sap.com/sap/support/notes/1674537","1674537")</f>
        <v>1674537</v>
      </c>
      <c r="E2586">
        <v>2</v>
      </c>
      <c r="F2586" t="s">
        <v>3208</v>
      </c>
    </row>
    <row r="2587" spans="1:6" x14ac:dyDescent="0.25">
      <c r="A2587" t="s">
        <v>2823</v>
      </c>
      <c r="B2587" t="s">
        <v>196</v>
      </c>
      <c r="C2587" t="s">
        <v>197</v>
      </c>
      <c r="D2587" t="str">
        <f>HYPERLINK("http://service.sap.com/sap/support/notes/1689630","1689630")</f>
        <v>1689630</v>
      </c>
      <c r="E2587">
        <v>1</v>
      </c>
      <c r="F2587" t="s">
        <v>3209</v>
      </c>
    </row>
    <row r="2588" spans="1:6" x14ac:dyDescent="0.25">
      <c r="A2588" t="s">
        <v>2823</v>
      </c>
      <c r="B2588" t="s">
        <v>198</v>
      </c>
      <c r="C2588" t="s">
        <v>199</v>
      </c>
      <c r="D2588" t="str">
        <f>HYPERLINK("http://service.sap.com/sap/support/notes/1530988","1530988")</f>
        <v>1530988</v>
      </c>
      <c r="E2588">
        <v>3</v>
      </c>
      <c r="F2588" t="s">
        <v>3210</v>
      </c>
    </row>
    <row r="2589" spans="1:6" x14ac:dyDescent="0.25">
      <c r="A2589" t="s">
        <v>2823</v>
      </c>
      <c r="B2589" t="s">
        <v>198</v>
      </c>
      <c r="C2589" t="s">
        <v>199</v>
      </c>
      <c r="D2589" t="str">
        <f>HYPERLINK("http://service.sap.com/sap/support/notes/1578803","1578803")</f>
        <v>1578803</v>
      </c>
      <c r="E2589">
        <v>4</v>
      </c>
      <c r="F2589" t="s">
        <v>3211</v>
      </c>
    </row>
    <row r="2590" spans="1:6" x14ac:dyDescent="0.25">
      <c r="A2590" t="s">
        <v>2823</v>
      </c>
      <c r="B2590" t="s">
        <v>198</v>
      </c>
      <c r="C2590" t="s">
        <v>199</v>
      </c>
      <c r="D2590" t="str">
        <f>HYPERLINK("http://service.sap.com/sap/support/notes/1627290","1627290")</f>
        <v>1627290</v>
      </c>
      <c r="E2590">
        <v>3</v>
      </c>
      <c r="F2590" t="s">
        <v>3212</v>
      </c>
    </row>
    <row r="2591" spans="1:6" x14ac:dyDescent="0.25">
      <c r="A2591" t="s">
        <v>2823</v>
      </c>
      <c r="B2591" t="s">
        <v>198</v>
      </c>
      <c r="C2591" t="s">
        <v>199</v>
      </c>
      <c r="D2591" t="str">
        <f>HYPERLINK("http://service.sap.com/sap/support/notes/1680024","1680024")</f>
        <v>1680024</v>
      </c>
      <c r="E2591">
        <v>1</v>
      </c>
      <c r="F2591" t="s">
        <v>3213</v>
      </c>
    </row>
    <row r="2592" spans="1:6" x14ac:dyDescent="0.25">
      <c r="A2592" t="s">
        <v>2823</v>
      </c>
      <c r="B2592" t="s">
        <v>203</v>
      </c>
      <c r="C2592" t="s">
        <v>204</v>
      </c>
      <c r="D2592" t="str">
        <f>HYPERLINK("http://service.sap.com/sap/support/notes/1695945","1695945")</f>
        <v>1695945</v>
      </c>
      <c r="E2592">
        <v>1</v>
      </c>
      <c r="F2592" t="s">
        <v>3214</v>
      </c>
    </row>
    <row r="2593" spans="1:6" x14ac:dyDescent="0.25">
      <c r="A2593" t="s">
        <v>2823</v>
      </c>
      <c r="B2593" t="s">
        <v>350</v>
      </c>
      <c r="C2593" t="s">
        <v>592</v>
      </c>
      <c r="D2593" t="str">
        <f>HYPERLINK("http://service.sap.com/sap/support/notes/1687424","1687424")</f>
        <v>1687424</v>
      </c>
      <c r="E2593">
        <v>4</v>
      </c>
      <c r="F2593" t="s">
        <v>3215</v>
      </c>
    </row>
    <row r="2594" spans="1:6" x14ac:dyDescent="0.25">
      <c r="A2594" t="s">
        <v>2823</v>
      </c>
      <c r="B2594" t="s">
        <v>205</v>
      </c>
      <c r="C2594" t="s">
        <v>206</v>
      </c>
      <c r="D2594" t="str">
        <f>HYPERLINK("http://service.sap.com/sap/support/notes/1569189","1569189")</f>
        <v>1569189</v>
      </c>
      <c r="E2594">
        <v>7</v>
      </c>
      <c r="F2594" t="s">
        <v>3216</v>
      </c>
    </row>
    <row r="2595" spans="1:6" x14ac:dyDescent="0.25">
      <c r="A2595" t="s">
        <v>2823</v>
      </c>
      <c r="B2595" t="s">
        <v>205</v>
      </c>
      <c r="C2595" t="s">
        <v>206</v>
      </c>
      <c r="D2595" t="str">
        <f>HYPERLINK("http://service.sap.com/sap/support/notes/1572131","1572131")</f>
        <v>1572131</v>
      </c>
      <c r="E2595">
        <v>1</v>
      </c>
      <c r="F2595" t="s">
        <v>3217</v>
      </c>
    </row>
    <row r="2596" spans="1:6" x14ac:dyDescent="0.25">
      <c r="A2596" t="s">
        <v>2823</v>
      </c>
      <c r="B2596" t="s">
        <v>205</v>
      </c>
      <c r="C2596" t="s">
        <v>206</v>
      </c>
      <c r="D2596" t="str">
        <f>HYPERLINK("http://service.sap.com/sap/support/notes/1610581","1610581")</f>
        <v>1610581</v>
      </c>
      <c r="E2596">
        <v>1</v>
      </c>
      <c r="F2596" t="s">
        <v>3218</v>
      </c>
    </row>
    <row r="2597" spans="1:6" x14ac:dyDescent="0.25">
      <c r="A2597" t="s">
        <v>2823</v>
      </c>
      <c r="B2597" t="s">
        <v>205</v>
      </c>
      <c r="C2597" t="s">
        <v>206</v>
      </c>
      <c r="D2597" t="str">
        <f>HYPERLINK("http://service.sap.com/sap/support/notes/1659222","1659222")</f>
        <v>1659222</v>
      </c>
      <c r="E2597">
        <v>1</v>
      </c>
      <c r="F2597" t="s">
        <v>3219</v>
      </c>
    </row>
    <row r="2598" spans="1:6" x14ac:dyDescent="0.25">
      <c r="A2598" t="s">
        <v>2823</v>
      </c>
      <c r="B2598" t="s">
        <v>205</v>
      </c>
      <c r="C2598" t="s">
        <v>206</v>
      </c>
      <c r="D2598" t="str">
        <f>HYPERLINK("http://service.sap.com/sap/support/notes/1662338","1662338")</f>
        <v>1662338</v>
      </c>
      <c r="E2598">
        <v>1</v>
      </c>
      <c r="F2598" t="s">
        <v>3220</v>
      </c>
    </row>
    <row r="2599" spans="1:6" x14ac:dyDescent="0.25">
      <c r="A2599" t="s">
        <v>2823</v>
      </c>
      <c r="B2599" t="s">
        <v>205</v>
      </c>
      <c r="C2599" t="s">
        <v>206</v>
      </c>
      <c r="D2599" t="str">
        <f>HYPERLINK("http://service.sap.com/sap/support/notes/1672078","1672078")</f>
        <v>1672078</v>
      </c>
      <c r="E2599">
        <v>3</v>
      </c>
      <c r="F2599" t="s">
        <v>3221</v>
      </c>
    </row>
    <row r="2600" spans="1:6" x14ac:dyDescent="0.25">
      <c r="A2600" t="s">
        <v>2823</v>
      </c>
      <c r="B2600" t="s">
        <v>205</v>
      </c>
      <c r="C2600" t="s">
        <v>206</v>
      </c>
      <c r="D2600" t="str">
        <f>HYPERLINK("http://service.sap.com/sap/support/notes/1695847","1695847")</f>
        <v>1695847</v>
      </c>
      <c r="E2600">
        <v>1</v>
      </c>
      <c r="F2600" t="s">
        <v>3222</v>
      </c>
    </row>
    <row r="2601" spans="1:6" x14ac:dyDescent="0.25">
      <c r="A2601" t="s">
        <v>3223</v>
      </c>
      <c r="B2601" t="s">
        <v>212</v>
      </c>
      <c r="C2601" t="s">
        <v>361</v>
      </c>
    </row>
    <row r="2602" spans="1:6" x14ac:dyDescent="0.25">
      <c r="A2602" t="s">
        <v>3223</v>
      </c>
      <c r="B2602" t="s">
        <v>213</v>
      </c>
      <c r="C2602" t="s">
        <v>362</v>
      </c>
    </row>
    <row r="2603" spans="1:6" x14ac:dyDescent="0.25">
      <c r="A2603" t="s">
        <v>3223</v>
      </c>
      <c r="B2603" t="s">
        <v>214</v>
      </c>
      <c r="C2603" t="s">
        <v>363</v>
      </c>
      <c r="D2603" t="str">
        <f>HYPERLINK("http://service.sap.com/sap/support/notes/1654811","1654811")</f>
        <v>1654811</v>
      </c>
      <c r="E2603">
        <v>1</v>
      </c>
      <c r="F2603" t="s">
        <v>3224</v>
      </c>
    </row>
    <row r="2604" spans="1:6" x14ac:dyDescent="0.25">
      <c r="A2604" t="s">
        <v>3223</v>
      </c>
      <c r="B2604" t="s">
        <v>225</v>
      </c>
      <c r="C2604" t="s">
        <v>354</v>
      </c>
    </row>
    <row r="2605" spans="1:6" x14ac:dyDescent="0.25">
      <c r="A2605" t="s">
        <v>3223</v>
      </c>
      <c r="B2605" t="s">
        <v>226</v>
      </c>
      <c r="C2605" t="s">
        <v>355</v>
      </c>
    </row>
    <row r="2606" spans="1:6" x14ac:dyDescent="0.25">
      <c r="A2606" t="s">
        <v>3223</v>
      </c>
      <c r="B2606" t="s">
        <v>227</v>
      </c>
      <c r="C2606" t="s">
        <v>356</v>
      </c>
    </row>
    <row r="2607" spans="1:6" x14ac:dyDescent="0.25">
      <c r="A2607" t="s">
        <v>3223</v>
      </c>
      <c r="B2607" t="s">
        <v>228</v>
      </c>
      <c r="C2607" t="s">
        <v>357</v>
      </c>
      <c r="D2607" t="str">
        <f>HYPERLINK("http://service.sap.com/sap/support/notes/1705627","1705627")</f>
        <v>1705627</v>
      </c>
      <c r="E2607">
        <v>2</v>
      </c>
      <c r="F2607" t="s">
        <v>3225</v>
      </c>
    </row>
    <row r="2608" spans="1:6" x14ac:dyDescent="0.25">
      <c r="A2608" t="s">
        <v>3223</v>
      </c>
      <c r="B2608" t="s">
        <v>15</v>
      </c>
      <c r="C2608" t="s">
        <v>16</v>
      </c>
    </row>
    <row r="2609" spans="1:6" x14ac:dyDescent="0.25">
      <c r="A2609" t="s">
        <v>3223</v>
      </c>
      <c r="B2609" t="s">
        <v>17</v>
      </c>
      <c r="C2609" t="s">
        <v>18</v>
      </c>
    </row>
    <row r="2610" spans="1:6" x14ac:dyDescent="0.25">
      <c r="A2610" t="s">
        <v>3223</v>
      </c>
      <c r="B2610" t="s">
        <v>19</v>
      </c>
      <c r="C2610" t="s">
        <v>20</v>
      </c>
      <c r="D2610" t="str">
        <f>HYPERLINK("http://service.sap.com/sap/support/notes/1703666","1703666")</f>
        <v>1703666</v>
      </c>
      <c r="E2610">
        <v>6</v>
      </c>
      <c r="F2610" t="s">
        <v>3226</v>
      </c>
    </row>
    <row r="2611" spans="1:6" x14ac:dyDescent="0.25">
      <c r="A2611" t="s">
        <v>3223</v>
      </c>
      <c r="B2611" t="s">
        <v>19</v>
      </c>
      <c r="C2611" t="s">
        <v>20</v>
      </c>
      <c r="D2611" t="str">
        <f>HYPERLINK("http://service.sap.com/sap/support/notes/1708117","1708117")</f>
        <v>1708117</v>
      </c>
      <c r="E2611">
        <v>1</v>
      </c>
      <c r="F2611" t="s">
        <v>3227</v>
      </c>
    </row>
    <row r="2612" spans="1:6" x14ac:dyDescent="0.25">
      <c r="A2612" t="s">
        <v>3223</v>
      </c>
      <c r="B2612" t="s">
        <v>21</v>
      </c>
      <c r="C2612" t="s">
        <v>12</v>
      </c>
    </row>
    <row r="2613" spans="1:6" x14ac:dyDescent="0.25">
      <c r="A2613" t="s">
        <v>3223</v>
      </c>
      <c r="B2613" t="s">
        <v>29</v>
      </c>
      <c r="C2613" t="s">
        <v>30</v>
      </c>
    </row>
    <row r="2614" spans="1:6" x14ac:dyDescent="0.25">
      <c r="A2614" t="s">
        <v>3223</v>
      </c>
      <c r="B2614" t="s">
        <v>682</v>
      </c>
      <c r="C2614" t="s">
        <v>84</v>
      </c>
      <c r="D2614" t="str">
        <f>HYPERLINK("http://service.sap.com/sap/support/notes/1672695","1672695")</f>
        <v>1672695</v>
      </c>
      <c r="E2614">
        <v>2</v>
      </c>
      <c r="F2614" t="s">
        <v>2234</v>
      </c>
    </row>
    <row r="2615" spans="1:6" x14ac:dyDescent="0.25">
      <c r="A2615" t="s">
        <v>3223</v>
      </c>
      <c r="B2615" t="s">
        <v>670</v>
      </c>
      <c r="C2615" t="s">
        <v>97</v>
      </c>
      <c r="D2615" t="str">
        <f>HYPERLINK("http://service.sap.com/sap/support/notes/1700550","1700550")</f>
        <v>1700550</v>
      </c>
      <c r="E2615">
        <v>1</v>
      </c>
      <c r="F2615" t="s">
        <v>3228</v>
      </c>
    </row>
    <row r="2616" spans="1:6" x14ac:dyDescent="0.25">
      <c r="A2616" t="s">
        <v>3223</v>
      </c>
      <c r="B2616" t="s">
        <v>37</v>
      </c>
      <c r="C2616" t="s">
        <v>38</v>
      </c>
      <c r="D2616" t="str">
        <f>HYPERLINK("http://service.sap.com/sap/support/notes/1707086","1707086")</f>
        <v>1707086</v>
      </c>
      <c r="E2616">
        <v>1</v>
      </c>
      <c r="F2616" t="s">
        <v>3229</v>
      </c>
    </row>
    <row r="2617" spans="1:6" x14ac:dyDescent="0.25">
      <c r="A2617" t="s">
        <v>3223</v>
      </c>
      <c r="B2617" t="s">
        <v>41</v>
      </c>
      <c r="C2617" t="s">
        <v>42</v>
      </c>
    </row>
    <row r="2618" spans="1:6" x14ac:dyDescent="0.25">
      <c r="A2618" t="s">
        <v>3223</v>
      </c>
      <c r="B2618" t="s">
        <v>43</v>
      </c>
      <c r="C2618" t="s">
        <v>44</v>
      </c>
      <c r="D2618" t="str">
        <f>HYPERLINK("http://service.sap.com/sap/support/notes/1577014","1577014")</f>
        <v>1577014</v>
      </c>
      <c r="E2618">
        <v>2</v>
      </c>
      <c r="F2618" t="s">
        <v>3230</v>
      </c>
    </row>
    <row r="2619" spans="1:6" x14ac:dyDescent="0.25">
      <c r="A2619" t="s">
        <v>3223</v>
      </c>
      <c r="B2619" t="s">
        <v>43</v>
      </c>
      <c r="C2619" t="s">
        <v>44</v>
      </c>
      <c r="D2619" t="str">
        <f>HYPERLINK("http://service.sap.com/sap/support/notes/1642931","1642931")</f>
        <v>1642931</v>
      </c>
      <c r="E2619">
        <v>2</v>
      </c>
      <c r="F2619" t="s">
        <v>2837</v>
      </c>
    </row>
    <row r="2620" spans="1:6" x14ac:dyDescent="0.25">
      <c r="A2620" t="s">
        <v>3223</v>
      </c>
      <c r="B2620" t="s">
        <v>43</v>
      </c>
      <c r="C2620" t="s">
        <v>44</v>
      </c>
      <c r="D2620" t="str">
        <f>HYPERLINK("http://service.sap.com/sap/support/notes/1698246","1698246")</f>
        <v>1698246</v>
      </c>
      <c r="E2620">
        <v>1</v>
      </c>
      <c r="F2620" t="s">
        <v>3231</v>
      </c>
    </row>
    <row r="2621" spans="1:6" x14ac:dyDescent="0.25">
      <c r="A2621" t="s">
        <v>3223</v>
      </c>
      <c r="B2621" t="s">
        <v>43</v>
      </c>
      <c r="C2621" t="s">
        <v>44</v>
      </c>
      <c r="D2621" t="str">
        <f>HYPERLINK("http://service.sap.com/sap/support/notes/1699576","1699576")</f>
        <v>1699576</v>
      </c>
      <c r="E2621">
        <v>2</v>
      </c>
      <c r="F2621" t="s">
        <v>3232</v>
      </c>
    </row>
    <row r="2622" spans="1:6" x14ac:dyDescent="0.25">
      <c r="A2622" t="s">
        <v>3223</v>
      </c>
      <c r="B2622" t="s">
        <v>43</v>
      </c>
      <c r="C2622" t="s">
        <v>44</v>
      </c>
      <c r="D2622" t="str">
        <f>HYPERLINK("http://service.sap.com/sap/support/notes/1699628","1699628")</f>
        <v>1699628</v>
      </c>
      <c r="E2622">
        <v>1</v>
      </c>
      <c r="F2622" t="s">
        <v>3233</v>
      </c>
    </row>
    <row r="2623" spans="1:6" x14ac:dyDescent="0.25">
      <c r="A2623" t="s">
        <v>3223</v>
      </c>
      <c r="B2623" t="s">
        <v>43</v>
      </c>
      <c r="C2623" t="s">
        <v>44</v>
      </c>
      <c r="D2623" t="str">
        <f>HYPERLINK("http://service.sap.com/sap/support/notes/1700746","1700746")</f>
        <v>1700746</v>
      </c>
      <c r="E2623">
        <v>2</v>
      </c>
      <c r="F2623" t="s">
        <v>3234</v>
      </c>
    </row>
    <row r="2624" spans="1:6" x14ac:dyDescent="0.25">
      <c r="A2624" t="s">
        <v>3223</v>
      </c>
      <c r="B2624" t="s">
        <v>43</v>
      </c>
      <c r="C2624" t="s">
        <v>44</v>
      </c>
      <c r="D2624" t="str">
        <f>HYPERLINK("http://service.sap.com/sap/support/notes/1700887","1700887")</f>
        <v>1700887</v>
      </c>
      <c r="E2624">
        <v>1</v>
      </c>
      <c r="F2624" t="s">
        <v>3235</v>
      </c>
    </row>
    <row r="2625" spans="1:6" x14ac:dyDescent="0.25">
      <c r="A2625" t="s">
        <v>3223</v>
      </c>
      <c r="B2625" t="s">
        <v>43</v>
      </c>
      <c r="C2625" t="s">
        <v>44</v>
      </c>
      <c r="D2625" t="str">
        <f>HYPERLINK("http://service.sap.com/sap/support/notes/1701201","1701201")</f>
        <v>1701201</v>
      </c>
      <c r="E2625">
        <v>4</v>
      </c>
      <c r="F2625" t="s">
        <v>3236</v>
      </c>
    </row>
    <row r="2626" spans="1:6" x14ac:dyDescent="0.25">
      <c r="A2626" t="s">
        <v>3223</v>
      </c>
      <c r="B2626" t="s">
        <v>43</v>
      </c>
      <c r="C2626" t="s">
        <v>44</v>
      </c>
      <c r="D2626" t="str">
        <f>HYPERLINK("http://service.sap.com/sap/support/notes/1701621","1701621")</f>
        <v>1701621</v>
      </c>
      <c r="E2626">
        <v>1</v>
      </c>
      <c r="F2626" t="s">
        <v>3237</v>
      </c>
    </row>
    <row r="2627" spans="1:6" x14ac:dyDescent="0.25">
      <c r="A2627" t="s">
        <v>3223</v>
      </c>
      <c r="B2627" t="s">
        <v>43</v>
      </c>
      <c r="C2627" t="s">
        <v>44</v>
      </c>
      <c r="D2627" t="str">
        <f>HYPERLINK("http://service.sap.com/sap/support/notes/1703609","1703609")</f>
        <v>1703609</v>
      </c>
      <c r="E2627">
        <v>2</v>
      </c>
      <c r="F2627" t="s">
        <v>3238</v>
      </c>
    </row>
    <row r="2628" spans="1:6" x14ac:dyDescent="0.25">
      <c r="A2628" t="s">
        <v>3223</v>
      </c>
      <c r="B2628" t="s">
        <v>43</v>
      </c>
      <c r="C2628" t="s">
        <v>44</v>
      </c>
      <c r="D2628" t="str">
        <f>HYPERLINK("http://service.sap.com/sap/support/notes/1703823","1703823")</f>
        <v>1703823</v>
      </c>
      <c r="E2628">
        <v>1</v>
      </c>
      <c r="F2628" t="s">
        <v>3239</v>
      </c>
    </row>
    <row r="2629" spans="1:6" x14ac:dyDescent="0.25">
      <c r="A2629" t="s">
        <v>3223</v>
      </c>
      <c r="B2629" t="s">
        <v>43</v>
      </c>
      <c r="C2629" t="s">
        <v>44</v>
      </c>
      <c r="D2629" t="str">
        <f>HYPERLINK("http://service.sap.com/sap/support/notes/1707493","1707493")</f>
        <v>1707493</v>
      </c>
      <c r="E2629">
        <v>2</v>
      </c>
      <c r="F2629" t="s">
        <v>3240</v>
      </c>
    </row>
    <row r="2630" spans="1:6" x14ac:dyDescent="0.25">
      <c r="A2630" t="s">
        <v>3223</v>
      </c>
      <c r="B2630" t="s">
        <v>43</v>
      </c>
      <c r="C2630" t="s">
        <v>44</v>
      </c>
      <c r="D2630" t="str">
        <f>HYPERLINK("http://service.sap.com/sap/support/notes/1707516","1707516")</f>
        <v>1707516</v>
      </c>
      <c r="E2630">
        <v>6</v>
      </c>
      <c r="F2630" t="s">
        <v>3241</v>
      </c>
    </row>
    <row r="2631" spans="1:6" x14ac:dyDescent="0.25">
      <c r="A2631" t="s">
        <v>3223</v>
      </c>
      <c r="B2631" t="s">
        <v>254</v>
      </c>
      <c r="C2631" t="s">
        <v>255</v>
      </c>
      <c r="D2631" t="str">
        <f>HYPERLINK("http://service.sap.com/sap/support/notes/1690979","1690979")</f>
        <v>1690979</v>
      </c>
      <c r="E2631">
        <v>2</v>
      </c>
      <c r="F2631" t="s">
        <v>3242</v>
      </c>
    </row>
    <row r="2632" spans="1:6" x14ac:dyDescent="0.25">
      <c r="A2632" t="s">
        <v>3223</v>
      </c>
      <c r="B2632" t="s">
        <v>51</v>
      </c>
      <c r="C2632" t="s">
        <v>52</v>
      </c>
      <c r="D2632" t="str">
        <f>HYPERLINK("http://service.sap.com/sap/support/notes/1683868","1683868")</f>
        <v>1683868</v>
      </c>
      <c r="E2632">
        <v>1</v>
      </c>
      <c r="F2632" t="s">
        <v>3243</v>
      </c>
    </row>
    <row r="2633" spans="1:6" x14ac:dyDescent="0.25">
      <c r="A2633" t="s">
        <v>3223</v>
      </c>
      <c r="B2633" t="s">
        <v>51</v>
      </c>
      <c r="C2633" t="s">
        <v>52</v>
      </c>
      <c r="D2633" t="str">
        <f>HYPERLINK("http://service.sap.com/sap/support/notes/1703530","1703530")</f>
        <v>1703530</v>
      </c>
      <c r="E2633">
        <v>1</v>
      </c>
      <c r="F2633" t="s">
        <v>3244</v>
      </c>
    </row>
    <row r="2634" spans="1:6" x14ac:dyDescent="0.25">
      <c r="A2634" t="s">
        <v>3223</v>
      </c>
      <c r="B2634" t="s">
        <v>51</v>
      </c>
      <c r="C2634" t="s">
        <v>52</v>
      </c>
      <c r="D2634" t="str">
        <f>HYPERLINK("http://service.sap.com/sap/support/notes/1707838","1707838")</f>
        <v>1707838</v>
      </c>
      <c r="E2634">
        <v>1</v>
      </c>
      <c r="F2634" t="s">
        <v>3245</v>
      </c>
    </row>
    <row r="2635" spans="1:6" x14ac:dyDescent="0.25">
      <c r="A2635" t="s">
        <v>3223</v>
      </c>
      <c r="B2635" t="s">
        <v>53</v>
      </c>
      <c r="C2635" t="s">
        <v>54</v>
      </c>
      <c r="D2635" t="str">
        <f>HYPERLINK("http://service.sap.com/sap/support/notes/1655428","1655428")</f>
        <v>1655428</v>
      </c>
      <c r="E2635">
        <v>5</v>
      </c>
      <c r="F2635" t="s">
        <v>2238</v>
      </c>
    </row>
    <row r="2636" spans="1:6" x14ac:dyDescent="0.25">
      <c r="A2636" t="s">
        <v>3223</v>
      </c>
      <c r="B2636" t="s">
        <v>53</v>
      </c>
      <c r="C2636" t="s">
        <v>54</v>
      </c>
      <c r="D2636" t="str">
        <f>HYPERLINK("http://service.sap.com/sap/support/notes/1699266","1699266")</f>
        <v>1699266</v>
      </c>
      <c r="E2636">
        <v>1</v>
      </c>
      <c r="F2636" t="s">
        <v>3246</v>
      </c>
    </row>
    <row r="2637" spans="1:6" x14ac:dyDescent="0.25">
      <c r="A2637" t="s">
        <v>3223</v>
      </c>
      <c r="B2637" t="s">
        <v>53</v>
      </c>
      <c r="C2637" t="s">
        <v>54</v>
      </c>
      <c r="D2637" t="str">
        <f>HYPERLINK("http://service.sap.com/sap/support/notes/1704825","1704825")</f>
        <v>1704825</v>
      </c>
      <c r="E2637">
        <v>1</v>
      </c>
      <c r="F2637" t="s">
        <v>3247</v>
      </c>
    </row>
    <row r="2638" spans="1:6" x14ac:dyDescent="0.25">
      <c r="A2638" t="s">
        <v>3223</v>
      </c>
      <c r="B2638" t="s">
        <v>53</v>
      </c>
      <c r="C2638" t="s">
        <v>54</v>
      </c>
      <c r="D2638" t="str">
        <f>HYPERLINK("http://service.sap.com/sap/support/notes/1706965","1706965")</f>
        <v>1706965</v>
      </c>
      <c r="E2638">
        <v>3</v>
      </c>
      <c r="F2638" t="s">
        <v>3248</v>
      </c>
    </row>
    <row r="2639" spans="1:6" x14ac:dyDescent="0.25">
      <c r="A2639" t="s">
        <v>3223</v>
      </c>
      <c r="B2639" t="s">
        <v>53</v>
      </c>
      <c r="C2639" t="s">
        <v>54</v>
      </c>
      <c r="D2639" t="str">
        <f>HYPERLINK("http://service.sap.com/sap/support/notes/1710042","1710042")</f>
        <v>1710042</v>
      </c>
      <c r="E2639">
        <v>2</v>
      </c>
      <c r="F2639" t="s">
        <v>3249</v>
      </c>
    </row>
    <row r="2640" spans="1:6" x14ac:dyDescent="0.25">
      <c r="A2640" t="s">
        <v>3223</v>
      </c>
      <c r="B2640" t="s">
        <v>256</v>
      </c>
      <c r="C2640" t="s">
        <v>165</v>
      </c>
      <c r="D2640" t="str">
        <f>HYPERLINK("http://service.sap.com/sap/support/notes/1705779","1705779")</f>
        <v>1705779</v>
      </c>
      <c r="E2640">
        <v>1</v>
      </c>
      <c r="F2640" t="s">
        <v>3250</v>
      </c>
    </row>
    <row r="2641" spans="1:6" x14ac:dyDescent="0.25">
      <c r="A2641" t="s">
        <v>3223</v>
      </c>
      <c r="B2641" t="s">
        <v>358</v>
      </c>
      <c r="C2641" t="s">
        <v>176</v>
      </c>
      <c r="D2641" t="str">
        <f>HYPERLINK("http://service.sap.com/sap/support/notes/1679847","1679847")</f>
        <v>1679847</v>
      </c>
      <c r="E2641">
        <v>5</v>
      </c>
      <c r="F2641" t="s">
        <v>3251</v>
      </c>
    </row>
    <row r="2642" spans="1:6" x14ac:dyDescent="0.25">
      <c r="A2642" t="s">
        <v>3223</v>
      </c>
      <c r="B2642" t="s">
        <v>3252</v>
      </c>
      <c r="C2642" t="s">
        <v>3253</v>
      </c>
      <c r="D2642" t="str">
        <f>HYPERLINK("http://service.sap.com/sap/support/notes/1699757","1699757")</f>
        <v>1699757</v>
      </c>
      <c r="E2642">
        <v>1</v>
      </c>
      <c r="F2642" t="s">
        <v>3254</v>
      </c>
    </row>
    <row r="2643" spans="1:6" x14ac:dyDescent="0.25">
      <c r="A2643" t="s">
        <v>3223</v>
      </c>
      <c r="B2643" t="s">
        <v>57</v>
      </c>
      <c r="C2643" t="s">
        <v>58</v>
      </c>
      <c r="D2643" t="str">
        <f>HYPERLINK("http://service.sap.com/sap/support/notes/1116407","1116407")</f>
        <v>1116407</v>
      </c>
      <c r="E2643">
        <v>127</v>
      </c>
      <c r="F2643" t="s">
        <v>664</v>
      </c>
    </row>
    <row r="2644" spans="1:6" x14ac:dyDescent="0.25">
      <c r="A2644" t="s">
        <v>3223</v>
      </c>
      <c r="B2644" t="s">
        <v>57</v>
      </c>
      <c r="C2644" t="s">
        <v>58</v>
      </c>
      <c r="D2644" t="str">
        <f>HYPERLINK("http://service.sap.com/sap/support/notes/1685078","1685078")</f>
        <v>1685078</v>
      </c>
      <c r="E2644">
        <v>3</v>
      </c>
      <c r="F2644" t="s">
        <v>2493</v>
      </c>
    </row>
    <row r="2645" spans="1:6" x14ac:dyDescent="0.25">
      <c r="A2645" t="s">
        <v>3223</v>
      </c>
      <c r="B2645" t="s">
        <v>57</v>
      </c>
      <c r="C2645" t="s">
        <v>58</v>
      </c>
      <c r="D2645" t="str">
        <f>HYPERLINK("http://service.sap.com/sap/support/notes/1685389","1685389")</f>
        <v>1685389</v>
      </c>
      <c r="E2645">
        <v>4</v>
      </c>
      <c r="F2645" t="s">
        <v>2849</v>
      </c>
    </row>
    <row r="2646" spans="1:6" x14ac:dyDescent="0.25">
      <c r="A2646" t="s">
        <v>3223</v>
      </c>
      <c r="B2646" t="s">
        <v>57</v>
      </c>
      <c r="C2646" t="s">
        <v>58</v>
      </c>
      <c r="D2646" t="str">
        <f>HYPERLINK("http://service.sap.com/sap/support/notes/1697744","1697744")</f>
        <v>1697744</v>
      </c>
      <c r="E2646">
        <v>1</v>
      </c>
      <c r="F2646" t="s">
        <v>3255</v>
      </c>
    </row>
    <row r="2647" spans="1:6" x14ac:dyDescent="0.25">
      <c r="A2647" t="s">
        <v>3223</v>
      </c>
      <c r="B2647" t="s">
        <v>57</v>
      </c>
      <c r="C2647" t="s">
        <v>58</v>
      </c>
      <c r="D2647" t="str">
        <f>HYPERLINK("http://service.sap.com/sap/support/notes/1698545","1698545")</f>
        <v>1698545</v>
      </c>
      <c r="E2647">
        <v>1</v>
      </c>
      <c r="F2647" t="s">
        <v>3256</v>
      </c>
    </row>
    <row r="2648" spans="1:6" x14ac:dyDescent="0.25">
      <c r="A2648" t="s">
        <v>3223</v>
      </c>
      <c r="B2648" t="s">
        <v>57</v>
      </c>
      <c r="C2648" t="s">
        <v>58</v>
      </c>
      <c r="D2648" t="str">
        <f>HYPERLINK("http://service.sap.com/sap/support/notes/1699011","1699011")</f>
        <v>1699011</v>
      </c>
      <c r="E2648">
        <v>1</v>
      </c>
      <c r="F2648" t="s">
        <v>3257</v>
      </c>
    </row>
    <row r="2649" spans="1:6" x14ac:dyDescent="0.25">
      <c r="A2649" t="s">
        <v>3223</v>
      </c>
      <c r="B2649" t="s">
        <v>57</v>
      </c>
      <c r="C2649" t="s">
        <v>58</v>
      </c>
      <c r="D2649" t="str">
        <f>HYPERLINK("http://service.sap.com/sap/support/notes/1703119","1703119")</f>
        <v>1703119</v>
      </c>
      <c r="E2649">
        <v>4</v>
      </c>
      <c r="F2649" t="s">
        <v>3258</v>
      </c>
    </row>
    <row r="2650" spans="1:6" x14ac:dyDescent="0.25">
      <c r="A2650" t="s">
        <v>3223</v>
      </c>
      <c r="B2650" t="s">
        <v>57</v>
      </c>
      <c r="C2650" t="s">
        <v>58</v>
      </c>
      <c r="D2650" t="str">
        <f>HYPERLINK("http://service.sap.com/sap/support/notes/1706318","1706318")</f>
        <v>1706318</v>
      </c>
      <c r="E2650">
        <v>1</v>
      </c>
      <c r="F2650" t="s">
        <v>3259</v>
      </c>
    </row>
    <row r="2651" spans="1:6" x14ac:dyDescent="0.25">
      <c r="A2651" t="s">
        <v>3223</v>
      </c>
      <c r="B2651" t="s">
        <v>57</v>
      </c>
      <c r="C2651" t="s">
        <v>58</v>
      </c>
      <c r="D2651" t="str">
        <f>HYPERLINK("http://service.sap.com/sap/support/notes/1709413","1709413")</f>
        <v>1709413</v>
      </c>
      <c r="E2651">
        <v>1</v>
      </c>
      <c r="F2651" t="s">
        <v>3260</v>
      </c>
    </row>
    <row r="2652" spans="1:6" x14ac:dyDescent="0.25">
      <c r="A2652" t="s">
        <v>3223</v>
      </c>
      <c r="B2652" t="s">
        <v>259</v>
      </c>
      <c r="C2652" t="s">
        <v>190</v>
      </c>
      <c r="D2652" t="str">
        <f>HYPERLINK("http://service.sap.com/sap/support/notes/1700392","1700392")</f>
        <v>1700392</v>
      </c>
      <c r="E2652">
        <v>1</v>
      </c>
      <c r="F2652" t="s">
        <v>2851</v>
      </c>
    </row>
    <row r="2653" spans="1:6" x14ac:dyDescent="0.25">
      <c r="A2653" t="s">
        <v>3223</v>
      </c>
      <c r="B2653" t="s">
        <v>66</v>
      </c>
      <c r="C2653" t="s">
        <v>67</v>
      </c>
    </row>
    <row r="2654" spans="1:6" x14ac:dyDescent="0.25">
      <c r="A2654" t="s">
        <v>3223</v>
      </c>
      <c r="B2654" t="s">
        <v>70</v>
      </c>
      <c r="C2654" t="s">
        <v>71</v>
      </c>
      <c r="D2654" t="str">
        <f>HYPERLINK("http://service.sap.com/sap/support/notes/1703899","1703899")</f>
        <v>1703899</v>
      </c>
      <c r="E2654">
        <v>1</v>
      </c>
      <c r="F2654" t="s">
        <v>3261</v>
      </c>
    </row>
    <row r="2655" spans="1:6" x14ac:dyDescent="0.25">
      <c r="A2655" t="s">
        <v>3223</v>
      </c>
      <c r="B2655" t="s">
        <v>72</v>
      </c>
      <c r="C2655" t="s">
        <v>73</v>
      </c>
    </row>
    <row r="2656" spans="1:6" x14ac:dyDescent="0.25">
      <c r="A2656" t="s">
        <v>3223</v>
      </c>
      <c r="B2656" t="s">
        <v>364</v>
      </c>
      <c r="C2656" t="s">
        <v>365</v>
      </c>
      <c r="D2656" t="str">
        <f>HYPERLINK("http://service.sap.com/sap/support/notes/1466851","1466851")</f>
        <v>1466851</v>
      </c>
      <c r="E2656">
        <v>2</v>
      </c>
      <c r="F2656" t="s">
        <v>3262</v>
      </c>
    </row>
    <row r="2657" spans="1:6" x14ac:dyDescent="0.25">
      <c r="A2657" t="s">
        <v>3223</v>
      </c>
      <c r="B2657" t="s">
        <v>582</v>
      </c>
      <c r="C2657" t="s">
        <v>583</v>
      </c>
      <c r="D2657" t="str">
        <f>HYPERLINK("http://service.sap.com/sap/support/notes/1673269","1673269")</f>
        <v>1673269</v>
      </c>
      <c r="E2657">
        <v>1</v>
      </c>
      <c r="F2657" t="s">
        <v>3263</v>
      </c>
    </row>
    <row r="2658" spans="1:6" x14ac:dyDescent="0.25">
      <c r="A2658" t="s">
        <v>3223</v>
      </c>
      <c r="B2658" t="s">
        <v>584</v>
      </c>
      <c r="C2658" t="s">
        <v>585</v>
      </c>
      <c r="D2658" t="str">
        <f>HYPERLINK("http://service.sap.com/sap/support/notes/1628888","1628888")</f>
        <v>1628888</v>
      </c>
      <c r="E2658">
        <v>1</v>
      </c>
      <c r="F2658" t="s">
        <v>3264</v>
      </c>
    </row>
    <row r="2659" spans="1:6" x14ac:dyDescent="0.25">
      <c r="A2659" t="s">
        <v>3223</v>
      </c>
      <c r="B2659" t="s">
        <v>370</v>
      </c>
      <c r="C2659" t="s">
        <v>371</v>
      </c>
      <c r="D2659" t="str">
        <f>HYPERLINK("http://service.sap.com/sap/support/notes/1682215","1682215")</f>
        <v>1682215</v>
      </c>
      <c r="E2659">
        <v>2</v>
      </c>
      <c r="F2659" t="s">
        <v>3265</v>
      </c>
    </row>
    <row r="2660" spans="1:6" x14ac:dyDescent="0.25">
      <c r="A2660" t="s">
        <v>3223</v>
      </c>
      <c r="B2660" t="s">
        <v>284</v>
      </c>
      <c r="C2660" t="s">
        <v>393</v>
      </c>
    </row>
    <row r="2661" spans="1:6" x14ac:dyDescent="0.25">
      <c r="A2661" t="s">
        <v>3223</v>
      </c>
      <c r="B2661" t="s">
        <v>301</v>
      </c>
      <c r="C2661" t="s">
        <v>302</v>
      </c>
      <c r="D2661" t="str">
        <f>HYPERLINK("http://service.sap.com/sap/support/notes/1699987","1699987")</f>
        <v>1699987</v>
      </c>
      <c r="E2661">
        <v>2</v>
      </c>
      <c r="F2661" t="s">
        <v>3266</v>
      </c>
    </row>
    <row r="2662" spans="1:6" x14ac:dyDescent="0.25">
      <c r="A2662" t="s">
        <v>3223</v>
      </c>
      <c r="B2662" t="s">
        <v>303</v>
      </c>
      <c r="C2662" t="s">
        <v>304</v>
      </c>
      <c r="D2662" t="str">
        <f>HYPERLINK("http://service.sap.com/sap/support/notes/1545510","1545510")</f>
        <v>1545510</v>
      </c>
      <c r="E2662">
        <v>2</v>
      </c>
      <c r="F2662" t="s">
        <v>424</v>
      </c>
    </row>
    <row r="2663" spans="1:6" x14ac:dyDescent="0.25">
      <c r="A2663" t="s">
        <v>3223</v>
      </c>
      <c r="B2663" t="s">
        <v>76</v>
      </c>
      <c r="C2663" t="s">
        <v>77</v>
      </c>
    </row>
    <row r="2664" spans="1:6" x14ac:dyDescent="0.25">
      <c r="A2664" t="s">
        <v>3223</v>
      </c>
      <c r="B2664" t="s">
        <v>78</v>
      </c>
      <c r="C2664" t="s">
        <v>79</v>
      </c>
      <c r="D2664" t="str">
        <f>HYPERLINK("http://service.sap.com/sap/support/notes/1692719","1692719")</f>
        <v>1692719</v>
      </c>
      <c r="E2664">
        <v>3</v>
      </c>
      <c r="F2664" t="s">
        <v>3267</v>
      </c>
    </row>
    <row r="2665" spans="1:6" x14ac:dyDescent="0.25">
      <c r="A2665" t="s">
        <v>3223</v>
      </c>
      <c r="B2665" t="s">
        <v>78</v>
      </c>
      <c r="C2665" t="s">
        <v>79</v>
      </c>
      <c r="D2665" t="str">
        <f>HYPERLINK("http://service.sap.com/sap/support/notes/1704947","1704947")</f>
        <v>1704947</v>
      </c>
      <c r="E2665">
        <v>1</v>
      </c>
      <c r="F2665" t="s">
        <v>3268</v>
      </c>
    </row>
    <row r="2666" spans="1:6" x14ac:dyDescent="0.25">
      <c r="A2666" t="s">
        <v>3223</v>
      </c>
      <c r="B2666" t="s">
        <v>78</v>
      </c>
      <c r="C2666" t="s">
        <v>79</v>
      </c>
      <c r="D2666" t="str">
        <f>HYPERLINK("http://service.sap.com/sap/support/notes/1706165","1706165")</f>
        <v>1706165</v>
      </c>
      <c r="E2666">
        <v>2</v>
      </c>
      <c r="F2666" t="s">
        <v>3269</v>
      </c>
    </row>
    <row r="2667" spans="1:6" x14ac:dyDescent="0.25">
      <c r="A2667" t="s">
        <v>3223</v>
      </c>
      <c r="B2667" t="s">
        <v>80</v>
      </c>
      <c r="C2667" t="s">
        <v>32</v>
      </c>
      <c r="D2667" t="str">
        <f>HYPERLINK("http://service.sap.com/sap/support/notes/1661658","1661658")</f>
        <v>1661658</v>
      </c>
      <c r="E2667">
        <v>1</v>
      </c>
      <c r="F2667" t="s">
        <v>3270</v>
      </c>
    </row>
    <row r="2668" spans="1:6" x14ac:dyDescent="0.25">
      <c r="A2668" t="s">
        <v>3223</v>
      </c>
      <c r="B2668" t="s">
        <v>80</v>
      </c>
      <c r="C2668" t="s">
        <v>32</v>
      </c>
      <c r="D2668" t="str">
        <f>HYPERLINK("http://service.sap.com/sap/support/notes/1692429","1692429")</f>
        <v>1692429</v>
      </c>
      <c r="E2668">
        <v>7</v>
      </c>
      <c r="F2668" t="s">
        <v>3271</v>
      </c>
    </row>
    <row r="2669" spans="1:6" x14ac:dyDescent="0.25">
      <c r="A2669" t="s">
        <v>3223</v>
      </c>
      <c r="B2669" t="s">
        <v>80</v>
      </c>
      <c r="C2669" t="s">
        <v>32</v>
      </c>
      <c r="D2669" t="str">
        <f>HYPERLINK("http://service.sap.com/sap/support/notes/1696682","1696682")</f>
        <v>1696682</v>
      </c>
      <c r="E2669">
        <v>2</v>
      </c>
      <c r="F2669" t="s">
        <v>2883</v>
      </c>
    </row>
    <row r="2670" spans="1:6" x14ac:dyDescent="0.25">
      <c r="A2670" t="s">
        <v>3223</v>
      </c>
      <c r="B2670" t="s">
        <v>80</v>
      </c>
      <c r="C2670" t="s">
        <v>32</v>
      </c>
      <c r="D2670" t="str">
        <f>HYPERLINK("http://service.sap.com/sap/support/notes/1698913","1698913")</f>
        <v>1698913</v>
      </c>
      <c r="E2670">
        <v>3</v>
      </c>
      <c r="F2670" t="s">
        <v>3272</v>
      </c>
    </row>
    <row r="2671" spans="1:6" x14ac:dyDescent="0.25">
      <c r="A2671" t="s">
        <v>3223</v>
      </c>
      <c r="B2671" t="s">
        <v>80</v>
      </c>
      <c r="C2671" t="s">
        <v>32</v>
      </c>
      <c r="D2671" t="str">
        <f>HYPERLINK("http://service.sap.com/sap/support/notes/1700128","1700128")</f>
        <v>1700128</v>
      </c>
      <c r="E2671">
        <v>2</v>
      </c>
      <c r="F2671" t="s">
        <v>3273</v>
      </c>
    </row>
    <row r="2672" spans="1:6" x14ac:dyDescent="0.25">
      <c r="A2672" t="s">
        <v>3223</v>
      </c>
      <c r="B2672" t="s">
        <v>80</v>
      </c>
      <c r="C2672" t="s">
        <v>32</v>
      </c>
      <c r="D2672" t="str">
        <f>HYPERLINK("http://service.sap.com/sap/support/notes/1703256","1703256")</f>
        <v>1703256</v>
      </c>
      <c r="E2672">
        <v>1</v>
      </c>
      <c r="F2672" t="s">
        <v>3274</v>
      </c>
    </row>
    <row r="2673" spans="1:6" x14ac:dyDescent="0.25">
      <c r="A2673" t="s">
        <v>3223</v>
      </c>
      <c r="B2673" t="s">
        <v>81</v>
      </c>
      <c r="C2673" t="s">
        <v>82</v>
      </c>
      <c r="D2673" t="str">
        <f>HYPERLINK("http://service.sap.com/sap/support/notes/1691129","1691129")</f>
        <v>1691129</v>
      </c>
      <c r="E2673">
        <v>3</v>
      </c>
      <c r="F2673" t="s">
        <v>3275</v>
      </c>
    </row>
    <row r="2674" spans="1:6" x14ac:dyDescent="0.25">
      <c r="A2674" t="s">
        <v>3223</v>
      </c>
      <c r="B2674" t="s">
        <v>81</v>
      </c>
      <c r="C2674" t="s">
        <v>82</v>
      </c>
      <c r="D2674" t="str">
        <f>HYPERLINK("http://service.sap.com/sap/support/notes/1694193","1694193")</f>
        <v>1694193</v>
      </c>
      <c r="E2674">
        <v>4</v>
      </c>
      <c r="F2674" t="s">
        <v>3276</v>
      </c>
    </row>
    <row r="2675" spans="1:6" x14ac:dyDescent="0.25">
      <c r="A2675" t="s">
        <v>3223</v>
      </c>
      <c r="B2675" t="s">
        <v>83</v>
      </c>
      <c r="C2675" t="s">
        <v>84</v>
      </c>
      <c r="D2675" t="str">
        <f>HYPERLINK("http://service.sap.com/sap/support/notes/1663017","1663017")</f>
        <v>1663017</v>
      </c>
      <c r="E2675">
        <v>2</v>
      </c>
      <c r="F2675" t="s">
        <v>3277</v>
      </c>
    </row>
    <row r="2676" spans="1:6" x14ac:dyDescent="0.25">
      <c r="A2676" t="s">
        <v>3223</v>
      </c>
      <c r="B2676" t="s">
        <v>83</v>
      </c>
      <c r="C2676" t="s">
        <v>84</v>
      </c>
      <c r="D2676" t="str">
        <f>HYPERLINK("http://service.sap.com/sap/support/notes/1695536","1695536")</f>
        <v>1695536</v>
      </c>
      <c r="E2676">
        <v>1</v>
      </c>
      <c r="F2676" t="s">
        <v>3278</v>
      </c>
    </row>
    <row r="2677" spans="1:6" x14ac:dyDescent="0.25">
      <c r="A2677" t="s">
        <v>3223</v>
      </c>
      <c r="B2677" t="s">
        <v>83</v>
      </c>
      <c r="C2677" t="s">
        <v>84</v>
      </c>
      <c r="D2677" t="str">
        <f>HYPERLINK("http://service.sap.com/sap/support/notes/1698821","1698821")</f>
        <v>1698821</v>
      </c>
      <c r="E2677">
        <v>1</v>
      </c>
      <c r="F2677" t="s">
        <v>3279</v>
      </c>
    </row>
    <row r="2678" spans="1:6" x14ac:dyDescent="0.25">
      <c r="A2678" t="s">
        <v>3223</v>
      </c>
      <c r="B2678" t="s">
        <v>83</v>
      </c>
      <c r="C2678" t="s">
        <v>84</v>
      </c>
      <c r="D2678" t="str">
        <f>HYPERLINK("http://service.sap.com/sap/support/notes/1699270","1699270")</f>
        <v>1699270</v>
      </c>
      <c r="E2678">
        <v>1</v>
      </c>
      <c r="F2678" t="s">
        <v>3280</v>
      </c>
    </row>
    <row r="2679" spans="1:6" x14ac:dyDescent="0.25">
      <c r="A2679" t="s">
        <v>3223</v>
      </c>
      <c r="B2679" t="s">
        <v>83</v>
      </c>
      <c r="C2679" t="s">
        <v>84</v>
      </c>
      <c r="D2679" t="str">
        <f>HYPERLINK("http://service.sap.com/sap/support/notes/1701019","1701019")</f>
        <v>1701019</v>
      </c>
      <c r="E2679">
        <v>2</v>
      </c>
      <c r="F2679" t="s">
        <v>2521</v>
      </c>
    </row>
    <row r="2680" spans="1:6" x14ac:dyDescent="0.25">
      <c r="A2680" t="s">
        <v>3223</v>
      </c>
      <c r="B2680" t="s">
        <v>83</v>
      </c>
      <c r="C2680" t="s">
        <v>84</v>
      </c>
      <c r="D2680" t="str">
        <f>HYPERLINK("http://service.sap.com/sap/support/notes/1702210","1702210")</f>
        <v>1702210</v>
      </c>
      <c r="E2680">
        <v>1</v>
      </c>
      <c r="F2680" t="s">
        <v>3281</v>
      </c>
    </row>
    <row r="2681" spans="1:6" x14ac:dyDescent="0.25">
      <c r="A2681" t="s">
        <v>3223</v>
      </c>
      <c r="B2681" t="s">
        <v>83</v>
      </c>
      <c r="C2681" t="s">
        <v>84</v>
      </c>
      <c r="D2681" t="str">
        <f>HYPERLINK("http://service.sap.com/sap/support/notes/1702767","1702767")</f>
        <v>1702767</v>
      </c>
      <c r="E2681">
        <v>1</v>
      </c>
      <c r="F2681" t="s">
        <v>3282</v>
      </c>
    </row>
    <row r="2682" spans="1:6" x14ac:dyDescent="0.25">
      <c r="A2682" t="s">
        <v>3223</v>
      </c>
      <c r="B2682" t="s">
        <v>83</v>
      </c>
      <c r="C2682" t="s">
        <v>84</v>
      </c>
      <c r="D2682" t="str">
        <f>HYPERLINK("http://service.sap.com/sap/support/notes/1703627","1703627")</f>
        <v>1703627</v>
      </c>
      <c r="E2682">
        <v>3</v>
      </c>
      <c r="F2682" t="s">
        <v>3283</v>
      </c>
    </row>
    <row r="2683" spans="1:6" x14ac:dyDescent="0.25">
      <c r="A2683" t="s">
        <v>3223</v>
      </c>
      <c r="B2683" t="s">
        <v>83</v>
      </c>
      <c r="C2683" t="s">
        <v>84</v>
      </c>
      <c r="D2683" t="str">
        <f>HYPERLINK("http://service.sap.com/sap/support/notes/1704325","1704325")</f>
        <v>1704325</v>
      </c>
      <c r="E2683">
        <v>2</v>
      </c>
      <c r="F2683" t="s">
        <v>3284</v>
      </c>
    </row>
    <row r="2684" spans="1:6" x14ac:dyDescent="0.25">
      <c r="A2684" t="s">
        <v>3223</v>
      </c>
      <c r="B2684" t="s">
        <v>83</v>
      </c>
      <c r="C2684" t="s">
        <v>84</v>
      </c>
      <c r="D2684" t="str">
        <f>HYPERLINK("http://service.sap.com/sap/support/notes/1704780","1704780")</f>
        <v>1704780</v>
      </c>
      <c r="E2684">
        <v>1</v>
      </c>
      <c r="F2684" t="s">
        <v>3285</v>
      </c>
    </row>
    <row r="2685" spans="1:6" x14ac:dyDescent="0.25">
      <c r="A2685" t="s">
        <v>3223</v>
      </c>
      <c r="B2685" t="s">
        <v>83</v>
      </c>
      <c r="C2685" t="s">
        <v>84</v>
      </c>
      <c r="D2685" t="str">
        <f>HYPERLINK("http://service.sap.com/sap/support/notes/1705136","1705136")</f>
        <v>1705136</v>
      </c>
      <c r="E2685">
        <v>2</v>
      </c>
      <c r="F2685" t="s">
        <v>3286</v>
      </c>
    </row>
    <row r="2686" spans="1:6" x14ac:dyDescent="0.25">
      <c r="A2686" t="s">
        <v>3223</v>
      </c>
      <c r="B2686" t="s">
        <v>83</v>
      </c>
      <c r="C2686" t="s">
        <v>84</v>
      </c>
      <c r="D2686" t="str">
        <f>HYPERLINK("http://service.sap.com/sap/support/notes/1705414","1705414")</f>
        <v>1705414</v>
      </c>
      <c r="E2686">
        <v>2</v>
      </c>
      <c r="F2686" t="s">
        <v>3287</v>
      </c>
    </row>
    <row r="2687" spans="1:6" x14ac:dyDescent="0.25">
      <c r="A2687" t="s">
        <v>3223</v>
      </c>
      <c r="B2687" t="s">
        <v>83</v>
      </c>
      <c r="C2687" t="s">
        <v>84</v>
      </c>
      <c r="D2687" t="str">
        <f>HYPERLINK("http://service.sap.com/sap/support/notes/1705436","1705436")</f>
        <v>1705436</v>
      </c>
      <c r="E2687">
        <v>2</v>
      </c>
      <c r="F2687" t="s">
        <v>3288</v>
      </c>
    </row>
    <row r="2688" spans="1:6" x14ac:dyDescent="0.25">
      <c r="A2688" t="s">
        <v>3223</v>
      </c>
      <c r="B2688" t="s">
        <v>83</v>
      </c>
      <c r="C2688" t="s">
        <v>84</v>
      </c>
      <c r="D2688" t="str">
        <f>HYPERLINK("http://service.sap.com/sap/support/notes/1708046","1708046")</f>
        <v>1708046</v>
      </c>
      <c r="E2688">
        <v>2</v>
      </c>
      <c r="F2688" t="s">
        <v>3289</v>
      </c>
    </row>
    <row r="2689" spans="1:6" x14ac:dyDescent="0.25">
      <c r="A2689" t="s">
        <v>3223</v>
      </c>
      <c r="B2689" t="s">
        <v>83</v>
      </c>
      <c r="C2689" t="s">
        <v>84</v>
      </c>
      <c r="D2689" t="str">
        <f>HYPERLINK("http://service.sap.com/sap/support/notes/1709526","1709526")</f>
        <v>1709526</v>
      </c>
      <c r="E2689">
        <v>1</v>
      </c>
      <c r="F2689" t="s">
        <v>3290</v>
      </c>
    </row>
    <row r="2690" spans="1:6" x14ac:dyDescent="0.25">
      <c r="A2690" t="s">
        <v>3223</v>
      </c>
      <c r="B2690" t="s">
        <v>83</v>
      </c>
      <c r="C2690" t="s">
        <v>84</v>
      </c>
      <c r="D2690" t="str">
        <f>HYPERLINK("http://service.sap.com/sap/support/notes/1709527","1709527")</f>
        <v>1709527</v>
      </c>
      <c r="E2690">
        <v>1</v>
      </c>
      <c r="F2690" t="s">
        <v>3291</v>
      </c>
    </row>
    <row r="2691" spans="1:6" x14ac:dyDescent="0.25">
      <c r="A2691" t="s">
        <v>3223</v>
      </c>
      <c r="B2691" t="s">
        <v>83</v>
      </c>
      <c r="C2691" t="s">
        <v>84</v>
      </c>
      <c r="D2691" t="str">
        <f>HYPERLINK("http://service.sap.com/sap/support/notes/1709590","1709590")</f>
        <v>1709590</v>
      </c>
      <c r="E2691">
        <v>1</v>
      </c>
      <c r="F2691" t="s">
        <v>3292</v>
      </c>
    </row>
    <row r="2692" spans="1:6" x14ac:dyDescent="0.25">
      <c r="A2692" t="s">
        <v>3223</v>
      </c>
      <c r="B2692" t="s">
        <v>83</v>
      </c>
      <c r="C2692" t="s">
        <v>84</v>
      </c>
      <c r="D2692" t="str">
        <f>HYPERLINK("http://service.sap.com/sap/support/notes/1710062","1710062")</f>
        <v>1710062</v>
      </c>
      <c r="E2692">
        <v>1</v>
      </c>
      <c r="F2692" t="s">
        <v>3293</v>
      </c>
    </row>
    <row r="2693" spans="1:6" x14ac:dyDescent="0.25">
      <c r="A2693" t="s">
        <v>3223</v>
      </c>
      <c r="B2693" t="s">
        <v>83</v>
      </c>
      <c r="C2693" t="s">
        <v>84</v>
      </c>
      <c r="D2693" t="str">
        <f>HYPERLINK("http://service.sap.com/sap/support/notes/1710121","1710121")</f>
        <v>1710121</v>
      </c>
      <c r="E2693">
        <v>2</v>
      </c>
      <c r="F2693" t="s">
        <v>3294</v>
      </c>
    </row>
    <row r="2694" spans="1:6" x14ac:dyDescent="0.25">
      <c r="A2694" t="s">
        <v>3223</v>
      </c>
      <c r="B2694" t="s">
        <v>86</v>
      </c>
      <c r="C2694" t="s">
        <v>87</v>
      </c>
      <c r="D2694" t="str">
        <f>HYPERLINK("http://service.sap.com/sap/support/notes/1698381","1698381")</f>
        <v>1698381</v>
      </c>
      <c r="E2694">
        <v>1</v>
      </c>
      <c r="F2694" t="s">
        <v>3295</v>
      </c>
    </row>
    <row r="2695" spans="1:6" x14ac:dyDescent="0.25">
      <c r="A2695" t="s">
        <v>3223</v>
      </c>
      <c r="B2695" t="s">
        <v>86</v>
      </c>
      <c r="C2695" t="s">
        <v>87</v>
      </c>
      <c r="D2695" t="str">
        <f>HYPERLINK("http://service.sap.com/sap/support/notes/1700797","1700797")</f>
        <v>1700797</v>
      </c>
      <c r="E2695">
        <v>2</v>
      </c>
      <c r="F2695" t="s">
        <v>3296</v>
      </c>
    </row>
    <row r="2696" spans="1:6" x14ac:dyDescent="0.25">
      <c r="A2696" t="s">
        <v>3223</v>
      </c>
      <c r="B2696" t="s">
        <v>86</v>
      </c>
      <c r="C2696" t="s">
        <v>87</v>
      </c>
      <c r="D2696" t="str">
        <f>HYPERLINK("http://service.sap.com/sap/support/notes/1703706","1703706")</f>
        <v>1703706</v>
      </c>
      <c r="E2696">
        <v>1</v>
      </c>
      <c r="F2696" t="s">
        <v>3297</v>
      </c>
    </row>
    <row r="2697" spans="1:6" x14ac:dyDescent="0.25">
      <c r="A2697" t="s">
        <v>3223</v>
      </c>
      <c r="B2697" t="s">
        <v>88</v>
      </c>
      <c r="C2697" t="s">
        <v>82</v>
      </c>
      <c r="D2697" t="str">
        <f>HYPERLINK("http://service.sap.com/sap/support/notes/1692822","1692822")</f>
        <v>1692822</v>
      </c>
      <c r="E2697">
        <v>1</v>
      </c>
      <c r="F2697" t="s">
        <v>3298</v>
      </c>
    </row>
    <row r="2698" spans="1:6" x14ac:dyDescent="0.25">
      <c r="A2698" t="s">
        <v>3223</v>
      </c>
      <c r="B2698" t="s">
        <v>88</v>
      </c>
      <c r="C2698" t="s">
        <v>82</v>
      </c>
      <c r="D2698" t="str">
        <f>HYPERLINK("http://service.sap.com/sap/support/notes/1696806","1696806")</f>
        <v>1696806</v>
      </c>
      <c r="E2698">
        <v>1</v>
      </c>
      <c r="F2698" t="s">
        <v>3299</v>
      </c>
    </row>
    <row r="2699" spans="1:6" x14ac:dyDescent="0.25">
      <c r="A2699" t="s">
        <v>3223</v>
      </c>
      <c r="B2699" t="s">
        <v>88</v>
      </c>
      <c r="C2699" t="s">
        <v>82</v>
      </c>
      <c r="D2699" t="str">
        <f>HYPERLINK("http://service.sap.com/sap/support/notes/1700482","1700482")</f>
        <v>1700482</v>
      </c>
      <c r="E2699">
        <v>2</v>
      </c>
      <c r="F2699" t="s">
        <v>3300</v>
      </c>
    </row>
    <row r="2700" spans="1:6" x14ac:dyDescent="0.25">
      <c r="A2700" t="s">
        <v>3223</v>
      </c>
      <c r="B2700" t="s">
        <v>88</v>
      </c>
      <c r="C2700" t="s">
        <v>82</v>
      </c>
      <c r="D2700" t="str">
        <f>HYPERLINK("http://service.sap.com/sap/support/notes/1702031","1702031")</f>
        <v>1702031</v>
      </c>
      <c r="E2700">
        <v>1</v>
      </c>
      <c r="F2700" t="s">
        <v>3301</v>
      </c>
    </row>
    <row r="2701" spans="1:6" x14ac:dyDescent="0.25">
      <c r="A2701" t="s">
        <v>3223</v>
      </c>
      <c r="B2701" t="s">
        <v>89</v>
      </c>
      <c r="C2701" t="s">
        <v>34</v>
      </c>
      <c r="D2701" t="str">
        <f>HYPERLINK("http://service.sap.com/sap/support/notes/1676970","1676970")</f>
        <v>1676970</v>
      </c>
      <c r="E2701">
        <v>1</v>
      </c>
      <c r="F2701" t="s">
        <v>3302</v>
      </c>
    </row>
    <row r="2702" spans="1:6" x14ac:dyDescent="0.25">
      <c r="A2702" t="s">
        <v>3223</v>
      </c>
      <c r="B2702" t="s">
        <v>89</v>
      </c>
      <c r="C2702" t="s">
        <v>34</v>
      </c>
      <c r="D2702" t="str">
        <f>HYPERLINK("http://service.sap.com/sap/support/notes/1686323","1686323")</f>
        <v>1686323</v>
      </c>
      <c r="E2702">
        <v>1</v>
      </c>
      <c r="F2702" t="s">
        <v>3303</v>
      </c>
    </row>
    <row r="2703" spans="1:6" x14ac:dyDescent="0.25">
      <c r="A2703" t="s">
        <v>3223</v>
      </c>
      <c r="B2703" t="s">
        <v>89</v>
      </c>
      <c r="C2703" t="s">
        <v>34</v>
      </c>
      <c r="D2703" t="str">
        <f>HYPERLINK("http://service.sap.com/sap/support/notes/1696362","1696362")</f>
        <v>1696362</v>
      </c>
      <c r="E2703">
        <v>4</v>
      </c>
      <c r="F2703" t="s">
        <v>3304</v>
      </c>
    </row>
    <row r="2704" spans="1:6" x14ac:dyDescent="0.25">
      <c r="A2704" t="s">
        <v>3223</v>
      </c>
      <c r="B2704" t="s">
        <v>89</v>
      </c>
      <c r="C2704" t="s">
        <v>34</v>
      </c>
      <c r="D2704" t="str">
        <f>HYPERLINK("http://service.sap.com/sap/support/notes/1696917","1696917")</f>
        <v>1696917</v>
      </c>
      <c r="E2704">
        <v>1</v>
      </c>
      <c r="F2704" t="s">
        <v>3305</v>
      </c>
    </row>
    <row r="2705" spans="1:6" x14ac:dyDescent="0.25">
      <c r="A2705" t="s">
        <v>3223</v>
      </c>
      <c r="B2705" t="s">
        <v>89</v>
      </c>
      <c r="C2705" t="s">
        <v>34</v>
      </c>
      <c r="D2705" t="str">
        <f>HYPERLINK("http://service.sap.com/sap/support/notes/1696922","1696922")</f>
        <v>1696922</v>
      </c>
      <c r="E2705">
        <v>2</v>
      </c>
      <c r="F2705" t="s">
        <v>3306</v>
      </c>
    </row>
    <row r="2706" spans="1:6" x14ac:dyDescent="0.25">
      <c r="A2706" t="s">
        <v>3223</v>
      </c>
      <c r="B2706" t="s">
        <v>89</v>
      </c>
      <c r="C2706" t="s">
        <v>34</v>
      </c>
      <c r="D2706" t="str">
        <f>HYPERLINK("http://service.sap.com/sap/support/notes/1697800","1697800")</f>
        <v>1697800</v>
      </c>
      <c r="E2706">
        <v>2</v>
      </c>
      <c r="F2706" t="s">
        <v>3307</v>
      </c>
    </row>
    <row r="2707" spans="1:6" x14ac:dyDescent="0.25">
      <c r="A2707" t="s">
        <v>3223</v>
      </c>
      <c r="B2707" t="s">
        <v>89</v>
      </c>
      <c r="C2707" t="s">
        <v>34</v>
      </c>
      <c r="D2707" t="str">
        <f>HYPERLINK("http://service.sap.com/sap/support/notes/1698306","1698306")</f>
        <v>1698306</v>
      </c>
      <c r="E2707">
        <v>4</v>
      </c>
      <c r="F2707" t="s">
        <v>3308</v>
      </c>
    </row>
    <row r="2708" spans="1:6" x14ac:dyDescent="0.25">
      <c r="A2708" t="s">
        <v>3223</v>
      </c>
      <c r="B2708" t="s">
        <v>89</v>
      </c>
      <c r="C2708" t="s">
        <v>34</v>
      </c>
      <c r="D2708" t="str">
        <f>HYPERLINK("http://service.sap.com/sap/support/notes/1699759","1699759")</f>
        <v>1699759</v>
      </c>
      <c r="E2708">
        <v>2</v>
      </c>
      <c r="F2708" t="s">
        <v>3309</v>
      </c>
    </row>
    <row r="2709" spans="1:6" x14ac:dyDescent="0.25">
      <c r="A2709" t="s">
        <v>3223</v>
      </c>
      <c r="B2709" t="s">
        <v>89</v>
      </c>
      <c r="C2709" t="s">
        <v>34</v>
      </c>
      <c r="D2709" t="str">
        <f>HYPERLINK("http://service.sap.com/sap/support/notes/1699924","1699924")</f>
        <v>1699924</v>
      </c>
      <c r="E2709">
        <v>6</v>
      </c>
      <c r="F2709" t="s">
        <v>3310</v>
      </c>
    </row>
    <row r="2710" spans="1:6" x14ac:dyDescent="0.25">
      <c r="A2710" t="s">
        <v>3223</v>
      </c>
      <c r="B2710" t="s">
        <v>89</v>
      </c>
      <c r="C2710" t="s">
        <v>34</v>
      </c>
      <c r="D2710" t="str">
        <f>HYPERLINK("http://service.sap.com/sap/support/notes/1700559","1700559")</f>
        <v>1700559</v>
      </c>
      <c r="E2710">
        <v>2</v>
      </c>
      <c r="F2710" t="s">
        <v>3311</v>
      </c>
    </row>
    <row r="2711" spans="1:6" x14ac:dyDescent="0.25">
      <c r="A2711" t="s">
        <v>3223</v>
      </c>
      <c r="B2711" t="s">
        <v>89</v>
      </c>
      <c r="C2711" t="s">
        <v>34</v>
      </c>
      <c r="D2711" t="str">
        <f>HYPERLINK("http://service.sap.com/sap/support/notes/1700695","1700695")</f>
        <v>1700695</v>
      </c>
      <c r="E2711">
        <v>2</v>
      </c>
      <c r="F2711" t="s">
        <v>3312</v>
      </c>
    </row>
    <row r="2712" spans="1:6" x14ac:dyDescent="0.25">
      <c r="A2712" t="s">
        <v>3223</v>
      </c>
      <c r="B2712" t="s">
        <v>89</v>
      </c>
      <c r="C2712" t="s">
        <v>34</v>
      </c>
      <c r="D2712" t="str">
        <f>HYPERLINK("http://service.sap.com/sap/support/notes/1700803","1700803")</f>
        <v>1700803</v>
      </c>
      <c r="E2712">
        <v>3</v>
      </c>
      <c r="F2712" t="s">
        <v>3313</v>
      </c>
    </row>
    <row r="2713" spans="1:6" x14ac:dyDescent="0.25">
      <c r="A2713" t="s">
        <v>3223</v>
      </c>
      <c r="B2713" t="s">
        <v>89</v>
      </c>
      <c r="C2713" t="s">
        <v>34</v>
      </c>
      <c r="D2713" t="str">
        <f>HYPERLINK("http://service.sap.com/sap/support/notes/1701308","1701308")</f>
        <v>1701308</v>
      </c>
      <c r="E2713">
        <v>1</v>
      </c>
      <c r="F2713" t="s">
        <v>3314</v>
      </c>
    </row>
    <row r="2714" spans="1:6" x14ac:dyDescent="0.25">
      <c r="A2714" t="s">
        <v>3223</v>
      </c>
      <c r="B2714" t="s">
        <v>89</v>
      </c>
      <c r="C2714" t="s">
        <v>34</v>
      </c>
      <c r="D2714" t="str">
        <f>HYPERLINK("http://service.sap.com/sap/support/notes/1701565","1701565")</f>
        <v>1701565</v>
      </c>
      <c r="E2714">
        <v>1</v>
      </c>
      <c r="F2714" t="s">
        <v>3315</v>
      </c>
    </row>
    <row r="2715" spans="1:6" x14ac:dyDescent="0.25">
      <c r="A2715" t="s">
        <v>3223</v>
      </c>
      <c r="B2715" t="s">
        <v>89</v>
      </c>
      <c r="C2715" t="s">
        <v>34</v>
      </c>
      <c r="D2715" t="str">
        <f>HYPERLINK("http://service.sap.com/sap/support/notes/1702637","1702637")</f>
        <v>1702637</v>
      </c>
      <c r="E2715">
        <v>2</v>
      </c>
      <c r="F2715" t="s">
        <v>3316</v>
      </c>
    </row>
    <row r="2716" spans="1:6" x14ac:dyDescent="0.25">
      <c r="A2716" t="s">
        <v>3223</v>
      </c>
      <c r="B2716" t="s">
        <v>89</v>
      </c>
      <c r="C2716" t="s">
        <v>34</v>
      </c>
      <c r="D2716" t="str">
        <f>HYPERLINK("http://service.sap.com/sap/support/notes/1703676","1703676")</f>
        <v>1703676</v>
      </c>
      <c r="E2716">
        <v>1</v>
      </c>
      <c r="F2716" t="s">
        <v>3317</v>
      </c>
    </row>
    <row r="2717" spans="1:6" x14ac:dyDescent="0.25">
      <c r="A2717" t="s">
        <v>3223</v>
      </c>
      <c r="B2717" t="s">
        <v>89</v>
      </c>
      <c r="C2717" t="s">
        <v>34</v>
      </c>
      <c r="D2717" t="str">
        <f>HYPERLINK("http://service.sap.com/sap/support/notes/1703913","1703913")</f>
        <v>1703913</v>
      </c>
      <c r="E2717">
        <v>2</v>
      </c>
      <c r="F2717" t="s">
        <v>3318</v>
      </c>
    </row>
    <row r="2718" spans="1:6" x14ac:dyDescent="0.25">
      <c r="A2718" t="s">
        <v>3223</v>
      </c>
      <c r="B2718" t="s">
        <v>89</v>
      </c>
      <c r="C2718" t="s">
        <v>34</v>
      </c>
      <c r="D2718" t="str">
        <f>HYPERLINK("http://service.sap.com/sap/support/notes/1707679","1707679")</f>
        <v>1707679</v>
      </c>
      <c r="E2718">
        <v>1</v>
      </c>
      <c r="F2718" t="s">
        <v>3319</v>
      </c>
    </row>
    <row r="2719" spans="1:6" x14ac:dyDescent="0.25">
      <c r="A2719" t="s">
        <v>3223</v>
      </c>
      <c r="B2719" t="s">
        <v>89</v>
      </c>
      <c r="C2719" t="s">
        <v>34</v>
      </c>
      <c r="D2719" t="str">
        <f>HYPERLINK("http://service.sap.com/sap/support/notes/1707862","1707862")</f>
        <v>1707862</v>
      </c>
      <c r="E2719">
        <v>2</v>
      </c>
      <c r="F2719" t="s">
        <v>3320</v>
      </c>
    </row>
    <row r="2720" spans="1:6" x14ac:dyDescent="0.25">
      <c r="A2720" t="s">
        <v>3223</v>
      </c>
      <c r="B2720" t="s">
        <v>89</v>
      </c>
      <c r="C2720" t="s">
        <v>34</v>
      </c>
      <c r="D2720" t="str">
        <f>HYPERLINK("http://service.sap.com/sap/support/notes/1708413","1708413")</f>
        <v>1708413</v>
      </c>
      <c r="E2720">
        <v>3</v>
      </c>
      <c r="F2720" t="s">
        <v>3321</v>
      </c>
    </row>
    <row r="2721" spans="1:6" x14ac:dyDescent="0.25">
      <c r="A2721" t="s">
        <v>3223</v>
      </c>
      <c r="B2721" t="s">
        <v>90</v>
      </c>
      <c r="C2721" t="s">
        <v>82</v>
      </c>
      <c r="D2721" t="str">
        <f>HYPERLINK("http://service.sap.com/sap/support/notes/1708427","1708427")</f>
        <v>1708427</v>
      </c>
      <c r="E2721">
        <v>2</v>
      </c>
      <c r="F2721" t="s">
        <v>3322</v>
      </c>
    </row>
    <row r="2722" spans="1:6" x14ac:dyDescent="0.25">
      <c r="A2722" t="s">
        <v>3223</v>
      </c>
      <c r="B2722" t="s">
        <v>91</v>
      </c>
      <c r="C2722" t="s">
        <v>92</v>
      </c>
      <c r="D2722" t="str">
        <f>HYPERLINK("http://service.sap.com/sap/support/notes/1695439","1695439")</f>
        <v>1695439</v>
      </c>
      <c r="E2722">
        <v>1</v>
      </c>
      <c r="F2722" t="s">
        <v>3323</v>
      </c>
    </row>
    <row r="2723" spans="1:6" x14ac:dyDescent="0.25">
      <c r="A2723" t="s">
        <v>3223</v>
      </c>
      <c r="B2723" t="s">
        <v>91</v>
      </c>
      <c r="C2723" t="s">
        <v>92</v>
      </c>
      <c r="D2723" t="str">
        <f>HYPERLINK("http://service.sap.com/sap/support/notes/1700040","1700040")</f>
        <v>1700040</v>
      </c>
      <c r="E2723">
        <v>1</v>
      </c>
      <c r="F2723" t="s">
        <v>3324</v>
      </c>
    </row>
    <row r="2724" spans="1:6" x14ac:dyDescent="0.25">
      <c r="A2724" t="s">
        <v>3223</v>
      </c>
      <c r="B2724" t="s">
        <v>94</v>
      </c>
      <c r="C2724" t="s">
        <v>95</v>
      </c>
      <c r="D2724" t="str">
        <f>HYPERLINK("http://service.sap.com/sap/support/notes/1690426","1690426")</f>
        <v>1690426</v>
      </c>
      <c r="E2724">
        <v>2</v>
      </c>
      <c r="F2724" t="s">
        <v>3325</v>
      </c>
    </row>
    <row r="2725" spans="1:6" x14ac:dyDescent="0.25">
      <c r="A2725" t="s">
        <v>3223</v>
      </c>
      <c r="B2725" t="s">
        <v>381</v>
      </c>
      <c r="C2725" t="s">
        <v>382</v>
      </c>
      <c r="D2725" t="str">
        <f>HYPERLINK("http://service.sap.com/sap/support/notes/1699242","1699242")</f>
        <v>1699242</v>
      </c>
      <c r="E2725">
        <v>1</v>
      </c>
      <c r="F2725" t="s">
        <v>3326</v>
      </c>
    </row>
    <row r="2726" spans="1:6" x14ac:dyDescent="0.25">
      <c r="A2726" t="s">
        <v>3223</v>
      </c>
      <c r="B2726" t="s">
        <v>96</v>
      </c>
      <c r="C2726" t="s">
        <v>97</v>
      </c>
      <c r="D2726" t="str">
        <f>HYPERLINK("http://service.sap.com/sap/support/notes/1699715","1699715")</f>
        <v>1699715</v>
      </c>
      <c r="E2726">
        <v>2</v>
      </c>
      <c r="F2726" t="s">
        <v>3327</v>
      </c>
    </row>
    <row r="2727" spans="1:6" x14ac:dyDescent="0.25">
      <c r="A2727" t="s">
        <v>3223</v>
      </c>
      <c r="B2727" t="s">
        <v>96</v>
      </c>
      <c r="C2727" t="s">
        <v>97</v>
      </c>
      <c r="D2727" t="str">
        <f>HYPERLINK("http://service.sap.com/sap/support/notes/1702568","1702568")</f>
        <v>1702568</v>
      </c>
      <c r="E2727">
        <v>1</v>
      </c>
      <c r="F2727" t="s">
        <v>3328</v>
      </c>
    </row>
    <row r="2728" spans="1:6" x14ac:dyDescent="0.25">
      <c r="A2728" t="s">
        <v>3223</v>
      </c>
      <c r="B2728" t="s">
        <v>96</v>
      </c>
      <c r="C2728" t="s">
        <v>97</v>
      </c>
      <c r="D2728" t="str">
        <f>HYPERLINK("http://service.sap.com/sap/support/notes/1705852","1705852")</f>
        <v>1705852</v>
      </c>
      <c r="E2728">
        <v>1</v>
      </c>
      <c r="F2728" t="s">
        <v>3329</v>
      </c>
    </row>
    <row r="2729" spans="1:6" x14ac:dyDescent="0.25">
      <c r="A2729" t="s">
        <v>3223</v>
      </c>
      <c r="B2729" t="s">
        <v>98</v>
      </c>
      <c r="C2729" t="s">
        <v>99</v>
      </c>
      <c r="D2729" t="str">
        <f>HYPERLINK("http://service.sap.com/sap/support/notes/1691912","1691912")</f>
        <v>1691912</v>
      </c>
      <c r="E2729">
        <v>2</v>
      </c>
      <c r="F2729" t="s">
        <v>3330</v>
      </c>
    </row>
    <row r="2730" spans="1:6" x14ac:dyDescent="0.25">
      <c r="A2730" t="s">
        <v>3223</v>
      </c>
      <c r="B2730" t="s">
        <v>98</v>
      </c>
      <c r="C2730" t="s">
        <v>99</v>
      </c>
      <c r="D2730" t="str">
        <f>HYPERLINK("http://service.sap.com/sap/support/notes/1695236","1695236")</f>
        <v>1695236</v>
      </c>
      <c r="E2730">
        <v>3</v>
      </c>
      <c r="F2730" t="s">
        <v>3331</v>
      </c>
    </row>
    <row r="2731" spans="1:6" x14ac:dyDescent="0.25">
      <c r="A2731" t="s">
        <v>3223</v>
      </c>
      <c r="B2731" t="s">
        <v>98</v>
      </c>
      <c r="C2731" t="s">
        <v>99</v>
      </c>
      <c r="D2731" t="str">
        <f>HYPERLINK("http://service.sap.com/sap/support/notes/1696075","1696075")</f>
        <v>1696075</v>
      </c>
      <c r="E2731">
        <v>2</v>
      </c>
      <c r="F2731" t="s">
        <v>3332</v>
      </c>
    </row>
    <row r="2732" spans="1:6" x14ac:dyDescent="0.25">
      <c r="A2732" t="s">
        <v>3223</v>
      </c>
      <c r="B2732" t="s">
        <v>98</v>
      </c>
      <c r="C2732" t="s">
        <v>99</v>
      </c>
      <c r="D2732" t="str">
        <f>HYPERLINK("http://service.sap.com/sap/support/notes/1696452","1696452")</f>
        <v>1696452</v>
      </c>
      <c r="E2732">
        <v>10</v>
      </c>
      <c r="F2732" t="s">
        <v>3333</v>
      </c>
    </row>
    <row r="2733" spans="1:6" x14ac:dyDescent="0.25">
      <c r="A2733" t="s">
        <v>3223</v>
      </c>
      <c r="B2733" t="s">
        <v>98</v>
      </c>
      <c r="C2733" t="s">
        <v>99</v>
      </c>
      <c r="D2733" t="str">
        <f>HYPERLINK("http://service.sap.com/sap/support/notes/1699621","1699621")</f>
        <v>1699621</v>
      </c>
      <c r="E2733">
        <v>2</v>
      </c>
      <c r="F2733" t="s">
        <v>3334</v>
      </c>
    </row>
    <row r="2734" spans="1:6" x14ac:dyDescent="0.25">
      <c r="A2734" t="s">
        <v>3223</v>
      </c>
      <c r="B2734" t="s">
        <v>101</v>
      </c>
      <c r="C2734" t="s">
        <v>38</v>
      </c>
      <c r="D2734" t="str">
        <f>HYPERLINK("http://service.sap.com/sap/support/notes/1681993","1681993")</f>
        <v>1681993</v>
      </c>
      <c r="E2734">
        <v>1</v>
      </c>
      <c r="F2734" t="s">
        <v>3335</v>
      </c>
    </row>
    <row r="2735" spans="1:6" x14ac:dyDescent="0.25">
      <c r="A2735" t="s">
        <v>3223</v>
      </c>
      <c r="B2735" t="s">
        <v>102</v>
      </c>
      <c r="C2735" t="s">
        <v>103</v>
      </c>
      <c r="D2735" t="str">
        <f>HYPERLINK("http://service.sap.com/sap/support/notes/1700319","1700319")</f>
        <v>1700319</v>
      </c>
      <c r="E2735">
        <v>1</v>
      </c>
      <c r="F2735" t="s">
        <v>3336</v>
      </c>
    </row>
    <row r="2736" spans="1:6" x14ac:dyDescent="0.25">
      <c r="A2736" t="s">
        <v>3223</v>
      </c>
      <c r="B2736" t="s">
        <v>102</v>
      </c>
      <c r="C2736" t="s">
        <v>103</v>
      </c>
      <c r="D2736" t="str">
        <f>HYPERLINK("http://service.sap.com/sap/support/notes/1702153","1702153")</f>
        <v>1702153</v>
      </c>
      <c r="E2736">
        <v>1</v>
      </c>
      <c r="F2736" t="s">
        <v>3337</v>
      </c>
    </row>
    <row r="2737" spans="1:6" x14ac:dyDescent="0.25">
      <c r="A2737" t="s">
        <v>3223</v>
      </c>
      <c r="B2737" t="s">
        <v>104</v>
      </c>
      <c r="C2737" t="s">
        <v>105</v>
      </c>
      <c r="D2737" t="str">
        <f>HYPERLINK("http://service.sap.com/sap/support/notes/1684792","1684792")</f>
        <v>1684792</v>
      </c>
      <c r="E2737">
        <v>3</v>
      </c>
      <c r="F2737" t="s">
        <v>3338</v>
      </c>
    </row>
    <row r="2738" spans="1:6" x14ac:dyDescent="0.25">
      <c r="A2738" t="s">
        <v>3223</v>
      </c>
      <c r="B2738" t="s">
        <v>104</v>
      </c>
      <c r="C2738" t="s">
        <v>105</v>
      </c>
      <c r="D2738" t="str">
        <f>HYPERLINK("http://service.sap.com/sap/support/notes/1691888","1691888")</f>
        <v>1691888</v>
      </c>
      <c r="E2738">
        <v>2</v>
      </c>
      <c r="F2738" t="s">
        <v>3339</v>
      </c>
    </row>
    <row r="2739" spans="1:6" x14ac:dyDescent="0.25">
      <c r="A2739" t="s">
        <v>3223</v>
      </c>
      <c r="B2739" t="s">
        <v>104</v>
      </c>
      <c r="C2739" t="s">
        <v>105</v>
      </c>
      <c r="D2739" t="str">
        <f>HYPERLINK("http://service.sap.com/sap/support/notes/1695253","1695253")</f>
        <v>1695253</v>
      </c>
      <c r="E2739">
        <v>3</v>
      </c>
      <c r="F2739" t="s">
        <v>3340</v>
      </c>
    </row>
    <row r="2740" spans="1:6" x14ac:dyDescent="0.25">
      <c r="A2740" t="s">
        <v>3223</v>
      </c>
      <c r="B2740" t="s">
        <v>104</v>
      </c>
      <c r="C2740" t="s">
        <v>105</v>
      </c>
      <c r="D2740" t="str">
        <f>HYPERLINK("http://service.sap.com/sap/support/notes/1703366","1703366")</f>
        <v>1703366</v>
      </c>
      <c r="E2740">
        <v>1</v>
      </c>
      <c r="F2740" t="s">
        <v>3341</v>
      </c>
    </row>
    <row r="2741" spans="1:6" x14ac:dyDescent="0.25">
      <c r="A2741" t="s">
        <v>3223</v>
      </c>
      <c r="B2741" t="s">
        <v>106</v>
      </c>
      <c r="C2741" t="s">
        <v>107</v>
      </c>
    </row>
    <row r="2742" spans="1:6" x14ac:dyDescent="0.25">
      <c r="A2742" t="s">
        <v>3223</v>
      </c>
      <c r="B2742" t="s">
        <v>108</v>
      </c>
      <c r="C2742" t="s">
        <v>109</v>
      </c>
      <c r="D2742" t="str">
        <f>HYPERLINK("http://service.sap.com/sap/support/notes/1677050","1677050")</f>
        <v>1677050</v>
      </c>
      <c r="E2742">
        <v>1</v>
      </c>
      <c r="F2742" t="s">
        <v>3342</v>
      </c>
    </row>
    <row r="2743" spans="1:6" x14ac:dyDescent="0.25">
      <c r="A2743" t="s">
        <v>3223</v>
      </c>
      <c r="B2743" t="s">
        <v>108</v>
      </c>
      <c r="C2743" t="s">
        <v>109</v>
      </c>
      <c r="D2743" t="str">
        <f>HYPERLINK("http://service.sap.com/sap/support/notes/1691324","1691324")</f>
        <v>1691324</v>
      </c>
      <c r="E2743">
        <v>3</v>
      </c>
      <c r="F2743" t="s">
        <v>3343</v>
      </c>
    </row>
    <row r="2744" spans="1:6" x14ac:dyDescent="0.25">
      <c r="A2744" t="s">
        <v>3223</v>
      </c>
      <c r="B2744" t="s">
        <v>108</v>
      </c>
      <c r="C2744" t="s">
        <v>109</v>
      </c>
      <c r="D2744" t="str">
        <f>HYPERLINK("http://service.sap.com/sap/support/notes/1697997","1697997")</f>
        <v>1697997</v>
      </c>
      <c r="E2744">
        <v>2</v>
      </c>
      <c r="F2744" t="s">
        <v>3344</v>
      </c>
    </row>
    <row r="2745" spans="1:6" x14ac:dyDescent="0.25">
      <c r="A2745" t="s">
        <v>3223</v>
      </c>
      <c r="B2745" t="s">
        <v>108</v>
      </c>
      <c r="C2745" t="s">
        <v>109</v>
      </c>
      <c r="D2745" t="str">
        <f>HYPERLINK("http://service.sap.com/sap/support/notes/1698559","1698559")</f>
        <v>1698559</v>
      </c>
      <c r="F2745" t="s">
        <v>3345</v>
      </c>
    </row>
    <row r="2746" spans="1:6" x14ac:dyDescent="0.25">
      <c r="A2746" t="s">
        <v>3223</v>
      </c>
      <c r="B2746" t="s">
        <v>108</v>
      </c>
      <c r="C2746" t="s">
        <v>109</v>
      </c>
      <c r="D2746" t="str">
        <f>HYPERLINK("http://service.sap.com/sap/support/notes/1704881","1704881")</f>
        <v>1704881</v>
      </c>
      <c r="E2746">
        <v>1</v>
      </c>
      <c r="F2746" t="s">
        <v>3346</v>
      </c>
    </row>
    <row r="2747" spans="1:6" x14ac:dyDescent="0.25">
      <c r="A2747" t="s">
        <v>3223</v>
      </c>
      <c r="B2747" t="s">
        <v>110</v>
      </c>
      <c r="C2747" t="s">
        <v>111</v>
      </c>
      <c r="D2747" t="str">
        <f>HYPERLINK("http://service.sap.com/sap/support/notes/1704424","1704424")</f>
        <v>1704424</v>
      </c>
      <c r="E2747">
        <v>1</v>
      </c>
      <c r="F2747" t="s">
        <v>3347</v>
      </c>
    </row>
    <row r="2748" spans="1:6" x14ac:dyDescent="0.25">
      <c r="A2748" t="s">
        <v>3223</v>
      </c>
      <c r="B2748" t="s">
        <v>609</v>
      </c>
      <c r="C2748" t="s">
        <v>610</v>
      </c>
      <c r="D2748" t="str">
        <f>HYPERLINK("http://service.sap.com/sap/support/notes/1699078","1699078")</f>
        <v>1699078</v>
      </c>
      <c r="E2748">
        <v>2</v>
      </c>
      <c r="F2748" t="s">
        <v>3348</v>
      </c>
    </row>
    <row r="2749" spans="1:6" x14ac:dyDescent="0.25">
      <c r="A2749" t="s">
        <v>3223</v>
      </c>
      <c r="B2749" t="s">
        <v>609</v>
      </c>
      <c r="C2749" t="s">
        <v>610</v>
      </c>
      <c r="D2749" t="str">
        <f>HYPERLINK("http://service.sap.com/sap/support/notes/1700087","1700087")</f>
        <v>1700087</v>
      </c>
      <c r="E2749">
        <v>1</v>
      </c>
      <c r="F2749" t="s">
        <v>3349</v>
      </c>
    </row>
    <row r="2750" spans="1:6" x14ac:dyDescent="0.25">
      <c r="A2750" t="s">
        <v>3223</v>
      </c>
      <c r="B2750" t="s">
        <v>312</v>
      </c>
      <c r="C2750" t="s">
        <v>313</v>
      </c>
      <c r="D2750" t="str">
        <f>HYPERLINK("http://service.sap.com/sap/support/notes/1699832","1699832")</f>
        <v>1699832</v>
      </c>
      <c r="E2750">
        <v>2</v>
      </c>
      <c r="F2750" t="s">
        <v>3350</v>
      </c>
    </row>
    <row r="2751" spans="1:6" x14ac:dyDescent="0.25">
      <c r="A2751" t="s">
        <v>3223</v>
      </c>
      <c r="B2751" t="s">
        <v>312</v>
      </c>
      <c r="C2751" t="s">
        <v>313</v>
      </c>
      <c r="D2751" t="str">
        <f>HYPERLINK("http://service.sap.com/sap/support/notes/1700094","1700094")</f>
        <v>1700094</v>
      </c>
      <c r="E2751">
        <v>1</v>
      </c>
      <c r="F2751" t="s">
        <v>3351</v>
      </c>
    </row>
    <row r="2752" spans="1:6" x14ac:dyDescent="0.25">
      <c r="A2752" t="s">
        <v>3223</v>
      </c>
      <c r="B2752" t="s">
        <v>312</v>
      </c>
      <c r="C2752" t="s">
        <v>313</v>
      </c>
      <c r="D2752" t="str">
        <f>HYPERLINK("http://service.sap.com/sap/support/notes/1704385","1704385")</f>
        <v>1704385</v>
      </c>
      <c r="E2752">
        <v>3</v>
      </c>
      <c r="F2752" t="s">
        <v>3352</v>
      </c>
    </row>
    <row r="2753" spans="1:6" x14ac:dyDescent="0.25">
      <c r="A2753" t="s">
        <v>3223</v>
      </c>
      <c r="B2753" t="s">
        <v>312</v>
      </c>
      <c r="C2753" t="s">
        <v>313</v>
      </c>
      <c r="D2753" t="str">
        <f>HYPERLINK("http://service.sap.com/sap/support/notes/1706036","1706036")</f>
        <v>1706036</v>
      </c>
      <c r="E2753">
        <v>3</v>
      </c>
      <c r="F2753" t="s">
        <v>3353</v>
      </c>
    </row>
    <row r="2754" spans="1:6" x14ac:dyDescent="0.25">
      <c r="A2754" t="s">
        <v>3223</v>
      </c>
      <c r="B2754" t="s">
        <v>312</v>
      </c>
      <c r="C2754" t="s">
        <v>313</v>
      </c>
      <c r="D2754" t="str">
        <f>HYPERLINK("http://service.sap.com/sap/support/notes/1707450","1707450")</f>
        <v>1707450</v>
      </c>
      <c r="E2754">
        <v>1</v>
      </c>
      <c r="F2754" t="s">
        <v>3354</v>
      </c>
    </row>
    <row r="2755" spans="1:6" x14ac:dyDescent="0.25">
      <c r="A2755" t="s">
        <v>3223</v>
      </c>
      <c r="B2755" t="s">
        <v>312</v>
      </c>
      <c r="C2755" t="s">
        <v>313</v>
      </c>
      <c r="D2755" t="str">
        <f>HYPERLINK("http://service.sap.com/sap/support/notes/1707550","1707550")</f>
        <v>1707550</v>
      </c>
      <c r="E2755">
        <v>1</v>
      </c>
      <c r="F2755" t="s">
        <v>3355</v>
      </c>
    </row>
    <row r="2756" spans="1:6" x14ac:dyDescent="0.25">
      <c r="A2756" t="s">
        <v>3223</v>
      </c>
      <c r="B2756" t="s">
        <v>114</v>
      </c>
      <c r="C2756" t="s">
        <v>115</v>
      </c>
    </row>
    <row r="2757" spans="1:6" x14ac:dyDescent="0.25">
      <c r="A2757" t="s">
        <v>3223</v>
      </c>
      <c r="B2757" t="s">
        <v>118</v>
      </c>
      <c r="C2757" t="s">
        <v>119</v>
      </c>
      <c r="D2757" t="str">
        <f>HYPERLINK("http://service.sap.com/sap/support/notes/1699552","1699552")</f>
        <v>1699552</v>
      </c>
      <c r="E2757">
        <v>1</v>
      </c>
      <c r="F2757" t="s">
        <v>3356</v>
      </c>
    </row>
    <row r="2758" spans="1:6" x14ac:dyDescent="0.25">
      <c r="A2758" t="s">
        <v>3223</v>
      </c>
      <c r="B2758" t="s">
        <v>120</v>
      </c>
      <c r="C2758" t="s">
        <v>121</v>
      </c>
      <c r="D2758" t="str">
        <f>HYPERLINK("http://service.sap.com/sap/support/notes/1700044","1700044")</f>
        <v>1700044</v>
      </c>
      <c r="E2758">
        <v>1</v>
      </c>
      <c r="F2758" t="s">
        <v>3357</v>
      </c>
    </row>
    <row r="2759" spans="1:6" x14ac:dyDescent="0.25">
      <c r="A2759" t="s">
        <v>3223</v>
      </c>
      <c r="B2759" t="s">
        <v>120</v>
      </c>
      <c r="C2759" t="s">
        <v>121</v>
      </c>
      <c r="D2759" t="str">
        <f>HYPERLINK("http://service.sap.com/sap/support/notes/1700549","1700549")</f>
        <v>1700549</v>
      </c>
      <c r="E2759">
        <v>1</v>
      </c>
      <c r="F2759" t="s">
        <v>3358</v>
      </c>
    </row>
    <row r="2760" spans="1:6" x14ac:dyDescent="0.25">
      <c r="A2760" t="s">
        <v>3223</v>
      </c>
      <c r="B2760" t="s">
        <v>120</v>
      </c>
      <c r="C2760" t="s">
        <v>121</v>
      </c>
      <c r="D2760" t="str">
        <f>HYPERLINK("http://service.sap.com/sap/support/notes/1706114","1706114")</f>
        <v>1706114</v>
      </c>
      <c r="E2760">
        <v>1</v>
      </c>
      <c r="F2760" t="s">
        <v>3359</v>
      </c>
    </row>
    <row r="2761" spans="1:6" x14ac:dyDescent="0.25">
      <c r="A2761" t="s">
        <v>3223</v>
      </c>
      <c r="B2761" t="s">
        <v>314</v>
      </c>
      <c r="C2761" t="s">
        <v>396</v>
      </c>
      <c r="D2761" t="str">
        <f>HYPERLINK("http://service.sap.com/sap/support/notes/1680225","1680225")</f>
        <v>1680225</v>
      </c>
      <c r="E2761">
        <v>1</v>
      </c>
      <c r="F2761" t="s">
        <v>3360</v>
      </c>
    </row>
    <row r="2762" spans="1:6" x14ac:dyDescent="0.25">
      <c r="A2762" t="s">
        <v>3223</v>
      </c>
      <c r="B2762" t="s">
        <v>122</v>
      </c>
      <c r="C2762" t="s">
        <v>123</v>
      </c>
      <c r="D2762" t="str">
        <f>HYPERLINK("http://service.sap.com/sap/support/notes/1699065","1699065")</f>
        <v>1699065</v>
      </c>
      <c r="E2762">
        <v>1</v>
      </c>
      <c r="F2762" t="s">
        <v>3361</v>
      </c>
    </row>
    <row r="2763" spans="1:6" x14ac:dyDescent="0.25">
      <c r="A2763" t="s">
        <v>3223</v>
      </c>
      <c r="B2763" t="s">
        <v>124</v>
      </c>
      <c r="C2763" t="s">
        <v>82</v>
      </c>
      <c r="D2763" t="str">
        <f>HYPERLINK("http://service.sap.com/sap/support/notes/1689374","1689374")</f>
        <v>1689374</v>
      </c>
      <c r="E2763">
        <v>1</v>
      </c>
      <c r="F2763" t="s">
        <v>3362</v>
      </c>
    </row>
    <row r="2764" spans="1:6" x14ac:dyDescent="0.25">
      <c r="A2764" t="s">
        <v>3223</v>
      </c>
      <c r="B2764" t="s">
        <v>124</v>
      </c>
      <c r="C2764" t="s">
        <v>82</v>
      </c>
      <c r="D2764" t="str">
        <f>HYPERLINK("http://service.sap.com/sap/support/notes/1697758","1697758")</f>
        <v>1697758</v>
      </c>
      <c r="E2764">
        <v>1</v>
      </c>
      <c r="F2764" t="s">
        <v>3363</v>
      </c>
    </row>
    <row r="2765" spans="1:6" x14ac:dyDescent="0.25">
      <c r="A2765" t="s">
        <v>3223</v>
      </c>
      <c r="B2765" t="s">
        <v>124</v>
      </c>
      <c r="C2765" t="s">
        <v>82</v>
      </c>
      <c r="D2765" t="str">
        <f>HYPERLINK("http://service.sap.com/sap/support/notes/1701564","1701564")</f>
        <v>1701564</v>
      </c>
      <c r="E2765">
        <v>2</v>
      </c>
      <c r="F2765" t="s">
        <v>3364</v>
      </c>
    </row>
    <row r="2766" spans="1:6" x14ac:dyDescent="0.25">
      <c r="A2766" t="s">
        <v>3223</v>
      </c>
      <c r="B2766" t="s">
        <v>124</v>
      </c>
      <c r="C2766" t="s">
        <v>82</v>
      </c>
      <c r="D2766" t="str">
        <f>HYPERLINK("http://service.sap.com/sap/support/notes/1703277","1703277")</f>
        <v>1703277</v>
      </c>
      <c r="E2766">
        <v>1</v>
      </c>
      <c r="F2766" t="s">
        <v>3365</v>
      </c>
    </row>
    <row r="2767" spans="1:6" x14ac:dyDescent="0.25">
      <c r="A2767" t="s">
        <v>3223</v>
      </c>
      <c r="B2767" t="s">
        <v>124</v>
      </c>
      <c r="C2767" t="s">
        <v>82</v>
      </c>
      <c r="D2767" t="str">
        <f>HYPERLINK("http://service.sap.com/sap/support/notes/1707487","1707487")</f>
        <v>1707487</v>
      </c>
      <c r="E2767">
        <v>1</v>
      </c>
      <c r="F2767" t="s">
        <v>3366</v>
      </c>
    </row>
    <row r="2768" spans="1:6" x14ac:dyDescent="0.25">
      <c r="A2768" t="s">
        <v>3223</v>
      </c>
      <c r="B2768" t="s">
        <v>127</v>
      </c>
      <c r="C2768" t="s">
        <v>128</v>
      </c>
      <c r="D2768" t="str">
        <f>HYPERLINK("http://service.sap.com/sap/support/notes/1692428","1692428")</f>
        <v>1692428</v>
      </c>
      <c r="E2768">
        <v>2</v>
      </c>
      <c r="F2768" t="s">
        <v>3367</v>
      </c>
    </row>
    <row r="2769" spans="1:6" x14ac:dyDescent="0.25">
      <c r="A2769" t="s">
        <v>3223</v>
      </c>
      <c r="B2769" t="s">
        <v>127</v>
      </c>
      <c r="C2769" t="s">
        <v>128</v>
      </c>
      <c r="D2769" t="str">
        <f>HYPERLINK("http://service.sap.com/sap/support/notes/1699697","1699697")</f>
        <v>1699697</v>
      </c>
      <c r="E2769">
        <v>2</v>
      </c>
      <c r="F2769" t="s">
        <v>3368</v>
      </c>
    </row>
    <row r="2770" spans="1:6" x14ac:dyDescent="0.25">
      <c r="A2770" t="s">
        <v>3223</v>
      </c>
      <c r="B2770" t="s">
        <v>127</v>
      </c>
      <c r="C2770" t="s">
        <v>128</v>
      </c>
      <c r="D2770" t="str">
        <f>HYPERLINK("http://service.sap.com/sap/support/notes/1701087","1701087")</f>
        <v>1701087</v>
      </c>
      <c r="E2770">
        <v>2</v>
      </c>
      <c r="F2770" t="s">
        <v>3369</v>
      </c>
    </row>
    <row r="2771" spans="1:6" x14ac:dyDescent="0.25">
      <c r="A2771" t="s">
        <v>3223</v>
      </c>
      <c r="B2771" t="s">
        <v>129</v>
      </c>
      <c r="C2771" t="s">
        <v>130</v>
      </c>
      <c r="D2771" t="str">
        <f>HYPERLINK("http://service.sap.com/sap/support/notes/1683478","1683478")</f>
        <v>1683478</v>
      </c>
      <c r="E2771">
        <v>7</v>
      </c>
      <c r="F2771" t="s">
        <v>3370</v>
      </c>
    </row>
    <row r="2772" spans="1:6" x14ac:dyDescent="0.25">
      <c r="A2772" t="s">
        <v>3223</v>
      </c>
      <c r="B2772" t="s">
        <v>129</v>
      </c>
      <c r="C2772" t="s">
        <v>130</v>
      </c>
      <c r="D2772" t="str">
        <f>HYPERLINK("http://service.sap.com/sap/support/notes/1683480","1683480")</f>
        <v>1683480</v>
      </c>
      <c r="E2772">
        <v>12</v>
      </c>
      <c r="F2772" t="s">
        <v>3371</v>
      </c>
    </row>
    <row r="2773" spans="1:6" x14ac:dyDescent="0.25">
      <c r="A2773" t="s">
        <v>3223</v>
      </c>
      <c r="B2773" t="s">
        <v>131</v>
      </c>
      <c r="C2773" t="s">
        <v>132</v>
      </c>
    </row>
    <row r="2774" spans="1:6" x14ac:dyDescent="0.25">
      <c r="A2774" t="s">
        <v>3223</v>
      </c>
      <c r="B2774" t="s">
        <v>320</v>
      </c>
      <c r="C2774" t="s">
        <v>359</v>
      </c>
      <c r="D2774" t="str">
        <f>HYPERLINK("http://service.sap.com/sap/support/notes/1690258","1690258")</f>
        <v>1690258</v>
      </c>
      <c r="E2774">
        <v>3</v>
      </c>
      <c r="F2774" t="s">
        <v>3372</v>
      </c>
    </row>
    <row r="2775" spans="1:6" x14ac:dyDescent="0.25">
      <c r="A2775" t="s">
        <v>3223</v>
      </c>
      <c r="B2775" t="s">
        <v>320</v>
      </c>
      <c r="C2775" t="s">
        <v>359</v>
      </c>
      <c r="D2775" t="str">
        <f>HYPERLINK("http://service.sap.com/sap/support/notes/1699069","1699069")</f>
        <v>1699069</v>
      </c>
      <c r="E2775">
        <v>2</v>
      </c>
      <c r="F2775" t="s">
        <v>3373</v>
      </c>
    </row>
    <row r="2776" spans="1:6" x14ac:dyDescent="0.25">
      <c r="A2776" t="s">
        <v>3223</v>
      </c>
      <c r="B2776" t="s">
        <v>135</v>
      </c>
      <c r="C2776" t="s">
        <v>136</v>
      </c>
      <c r="D2776" t="str">
        <f>HYPERLINK("http://service.sap.com/sap/support/notes/1644535","1644535")</f>
        <v>1644535</v>
      </c>
      <c r="E2776">
        <v>2</v>
      </c>
      <c r="F2776" t="s">
        <v>3374</v>
      </c>
    </row>
    <row r="2777" spans="1:6" x14ac:dyDescent="0.25">
      <c r="A2777" t="s">
        <v>3223</v>
      </c>
      <c r="B2777" t="s">
        <v>135</v>
      </c>
      <c r="C2777" t="s">
        <v>136</v>
      </c>
      <c r="D2777" t="str">
        <f>HYPERLINK("http://service.sap.com/sap/support/notes/1654829","1654829")</f>
        <v>1654829</v>
      </c>
      <c r="E2777">
        <v>11</v>
      </c>
      <c r="F2777" t="s">
        <v>3375</v>
      </c>
    </row>
    <row r="2778" spans="1:6" x14ac:dyDescent="0.25">
      <c r="A2778" t="s">
        <v>3223</v>
      </c>
      <c r="B2778" t="s">
        <v>135</v>
      </c>
      <c r="C2778" t="s">
        <v>136</v>
      </c>
      <c r="D2778" t="str">
        <f>HYPERLINK("http://service.sap.com/sap/support/notes/1657429","1657429")</f>
        <v>1657429</v>
      </c>
      <c r="E2778">
        <v>6</v>
      </c>
      <c r="F2778" t="s">
        <v>3376</v>
      </c>
    </row>
    <row r="2779" spans="1:6" x14ac:dyDescent="0.25">
      <c r="A2779" t="s">
        <v>3223</v>
      </c>
      <c r="B2779" t="s">
        <v>135</v>
      </c>
      <c r="C2779" t="s">
        <v>136</v>
      </c>
      <c r="D2779" t="str">
        <f>HYPERLINK("http://service.sap.com/sap/support/notes/1674597","1674597")</f>
        <v>1674597</v>
      </c>
      <c r="E2779">
        <v>4</v>
      </c>
      <c r="F2779" t="s">
        <v>3377</v>
      </c>
    </row>
    <row r="2780" spans="1:6" x14ac:dyDescent="0.25">
      <c r="A2780" t="s">
        <v>3223</v>
      </c>
      <c r="B2780" t="s">
        <v>135</v>
      </c>
      <c r="C2780" t="s">
        <v>136</v>
      </c>
      <c r="D2780" t="str">
        <f>HYPERLINK("http://service.sap.com/sap/support/notes/1676900","1676900")</f>
        <v>1676900</v>
      </c>
      <c r="E2780">
        <v>2</v>
      </c>
      <c r="F2780" t="s">
        <v>3378</v>
      </c>
    </row>
    <row r="2781" spans="1:6" x14ac:dyDescent="0.25">
      <c r="A2781" t="s">
        <v>3223</v>
      </c>
      <c r="B2781" t="s">
        <v>135</v>
      </c>
      <c r="C2781" t="s">
        <v>136</v>
      </c>
      <c r="D2781" t="str">
        <f>HYPERLINK("http://service.sap.com/sap/support/notes/1677109","1677109")</f>
        <v>1677109</v>
      </c>
      <c r="E2781">
        <v>7</v>
      </c>
      <c r="F2781" t="s">
        <v>3379</v>
      </c>
    </row>
    <row r="2782" spans="1:6" x14ac:dyDescent="0.25">
      <c r="A2782" t="s">
        <v>3223</v>
      </c>
      <c r="B2782" t="s">
        <v>135</v>
      </c>
      <c r="C2782" t="s">
        <v>136</v>
      </c>
      <c r="D2782" t="str">
        <f>HYPERLINK("http://service.sap.com/sap/support/notes/1678971","1678971")</f>
        <v>1678971</v>
      </c>
      <c r="E2782">
        <v>3</v>
      </c>
      <c r="F2782" t="s">
        <v>3380</v>
      </c>
    </row>
    <row r="2783" spans="1:6" x14ac:dyDescent="0.25">
      <c r="A2783" t="s">
        <v>3223</v>
      </c>
      <c r="B2783" t="s">
        <v>135</v>
      </c>
      <c r="C2783" t="s">
        <v>136</v>
      </c>
      <c r="D2783" t="str">
        <f>HYPERLINK("http://service.sap.com/sap/support/notes/1689694","1689694")</f>
        <v>1689694</v>
      </c>
      <c r="E2783">
        <v>3</v>
      </c>
      <c r="F2783" t="s">
        <v>3381</v>
      </c>
    </row>
    <row r="2784" spans="1:6" x14ac:dyDescent="0.25">
      <c r="A2784" t="s">
        <v>3223</v>
      </c>
      <c r="B2784" t="s">
        <v>135</v>
      </c>
      <c r="C2784" t="s">
        <v>136</v>
      </c>
      <c r="D2784" t="str">
        <f>HYPERLINK("http://service.sap.com/sap/support/notes/1691297","1691297")</f>
        <v>1691297</v>
      </c>
      <c r="E2784">
        <v>2</v>
      </c>
      <c r="F2784" t="s">
        <v>3382</v>
      </c>
    </row>
    <row r="2785" spans="1:6" x14ac:dyDescent="0.25">
      <c r="A2785" t="s">
        <v>3223</v>
      </c>
      <c r="B2785" t="s">
        <v>135</v>
      </c>
      <c r="C2785" t="s">
        <v>136</v>
      </c>
      <c r="D2785" t="str">
        <f>HYPERLINK("http://service.sap.com/sap/support/notes/1693729","1693729")</f>
        <v>1693729</v>
      </c>
      <c r="E2785">
        <v>3</v>
      </c>
      <c r="F2785" t="s">
        <v>3383</v>
      </c>
    </row>
    <row r="2786" spans="1:6" x14ac:dyDescent="0.25">
      <c r="A2786" t="s">
        <v>3223</v>
      </c>
      <c r="B2786" t="s">
        <v>135</v>
      </c>
      <c r="C2786" t="s">
        <v>136</v>
      </c>
      <c r="D2786" t="str">
        <f>HYPERLINK("http://service.sap.com/sap/support/notes/1694746","1694746")</f>
        <v>1694746</v>
      </c>
      <c r="E2786">
        <v>2</v>
      </c>
      <c r="F2786" t="s">
        <v>3384</v>
      </c>
    </row>
    <row r="2787" spans="1:6" x14ac:dyDescent="0.25">
      <c r="A2787" t="s">
        <v>3223</v>
      </c>
      <c r="B2787" t="s">
        <v>135</v>
      </c>
      <c r="C2787" t="s">
        <v>136</v>
      </c>
      <c r="D2787" t="str">
        <f>HYPERLINK("http://service.sap.com/sap/support/notes/1695892","1695892")</f>
        <v>1695892</v>
      </c>
      <c r="E2787">
        <v>2</v>
      </c>
      <c r="F2787" t="s">
        <v>3385</v>
      </c>
    </row>
    <row r="2788" spans="1:6" x14ac:dyDescent="0.25">
      <c r="A2788" t="s">
        <v>3223</v>
      </c>
      <c r="B2788" t="s">
        <v>135</v>
      </c>
      <c r="C2788" t="s">
        <v>136</v>
      </c>
      <c r="D2788" t="str">
        <f>HYPERLINK("http://service.sap.com/sap/support/notes/1696050","1696050")</f>
        <v>1696050</v>
      </c>
      <c r="E2788">
        <v>2</v>
      </c>
      <c r="F2788" t="s">
        <v>3386</v>
      </c>
    </row>
    <row r="2789" spans="1:6" x14ac:dyDescent="0.25">
      <c r="A2789" t="s">
        <v>3223</v>
      </c>
      <c r="B2789" t="s">
        <v>135</v>
      </c>
      <c r="C2789" t="s">
        <v>136</v>
      </c>
      <c r="D2789" t="str">
        <f>HYPERLINK("http://service.sap.com/sap/support/notes/1696578","1696578")</f>
        <v>1696578</v>
      </c>
      <c r="E2789">
        <v>6</v>
      </c>
      <c r="F2789" t="s">
        <v>3387</v>
      </c>
    </row>
    <row r="2790" spans="1:6" x14ac:dyDescent="0.25">
      <c r="A2790" t="s">
        <v>3223</v>
      </c>
      <c r="B2790" t="s">
        <v>135</v>
      </c>
      <c r="C2790" t="s">
        <v>136</v>
      </c>
      <c r="D2790" t="str">
        <f>HYPERLINK("http://service.sap.com/sap/support/notes/1697088","1697088")</f>
        <v>1697088</v>
      </c>
      <c r="E2790">
        <v>2</v>
      </c>
      <c r="F2790" t="s">
        <v>3388</v>
      </c>
    </row>
    <row r="2791" spans="1:6" x14ac:dyDescent="0.25">
      <c r="A2791" t="s">
        <v>3223</v>
      </c>
      <c r="B2791" t="s">
        <v>135</v>
      </c>
      <c r="C2791" t="s">
        <v>136</v>
      </c>
      <c r="D2791" t="str">
        <f>HYPERLINK("http://service.sap.com/sap/support/notes/1697107","1697107")</f>
        <v>1697107</v>
      </c>
      <c r="E2791">
        <v>5</v>
      </c>
      <c r="F2791" t="s">
        <v>3389</v>
      </c>
    </row>
    <row r="2792" spans="1:6" x14ac:dyDescent="0.25">
      <c r="A2792" t="s">
        <v>3223</v>
      </c>
      <c r="B2792" t="s">
        <v>135</v>
      </c>
      <c r="C2792" t="s">
        <v>136</v>
      </c>
      <c r="D2792" t="str">
        <f>HYPERLINK("http://service.sap.com/sap/support/notes/1698525","1698525")</f>
        <v>1698525</v>
      </c>
      <c r="E2792">
        <v>3</v>
      </c>
      <c r="F2792" t="s">
        <v>3390</v>
      </c>
    </row>
    <row r="2793" spans="1:6" x14ac:dyDescent="0.25">
      <c r="A2793" t="s">
        <v>3223</v>
      </c>
      <c r="B2793" t="s">
        <v>135</v>
      </c>
      <c r="C2793" t="s">
        <v>136</v>
      </c>
      <c r="D2793" t="str">
        <f>HYPERLINK("http://service.sap.com/sap/support/notes/1699698","1699698")</f>
        <v>1699698</v>
      </c>
      <c r="E2793">
        <v>5</v>
      </c>
      <c r="F2793" t="s">
        <v>3391</v>
      </c>
    </row>
    <row r="2794" spans="1:6" x14ac:dyDescent="0.25">
      <c r="A2794" t="s">
        <v>3223</v>
      </c>
      <c r="B2794" t="s">
        <v>135</v>
      </c>
      <c r="C2794" t="s">
        <v>136</v>
      </c>
      <c r="D2794" t="str">
        <f>HYPERLINK("http://service.sap.com/sap/support/notes/1699706","1699706")</f>
        <v>1699706</v>
      </c>
      <c r="E2794">
        <v>2</v>
      </c>
      <c r="F2794" t="s">
        <v>3392</v>
      </c>
    </row>
    <row r="2795" spans="1:6" x14ac:dyDescent="0.25">
      <c r="A2795" t="s">
        <v>3223</v>
      </c>
      <c r="B2795" t="s">
        <v>135</v>
      </c>
      <c r="C2795" t="s">
        <v>136</v>
      </c>
      <c r="D2795" t="str">
        <f>HYPERLINK("http://service.sap.com/sap/support/notes/1699708","1699708")</f>
        <v>1699708</v>
      </c>
      <c r="E2795">
        <v>2</v>
      </c>
      <c r="F2795" t="s">
        <v>3393</v>
      </c>
    </row>
    <row r="2796" spans="1:6" x14ac:dyDescent="0.25">
      <c r="A2796" t="s">
        <v>3223</v>
      </c>
      <c r="B2796" t="s">
        <v>135</v>
      </c>
      <c r="C2796" t="s">
        <v>136</v>
      </c>
      <c r="D2796" t="str">
        <f>HYPERLINK("http://service.sap.com/sap/support/notes/1700064","1700064")</f>
        <v>1700064</v>
      </c>
      <c r="E2796">
        <v>4</v>
      </c>
      <c r="F2796" t="s">
        <v>3394</v>
      </c>
    </row>
    <row r="2797" spans="1:6" x14ac:dyDescent="0.25">
      <c r="A2797" t="s">
        <v>3223</v>
      </c>
      <c r="B2797" t="s">
        <v>135</v>
      </c>
      <c r="C2797" t="s">
        <v>136</v>
      </c>
      <c r="D2797" t="str">
        <f>HYPERLINK("http://service.sap.com/sap/support/notes/1704378","1704378")</f>
        <v>1704378</v>
      </c>
      <c r="E2797">
        <v>3</v>
      </c>
      <c r="F2797" t="s">
        <v>3395</v>
      </c>
    </row>
    <row r="2798" spans="1:6" x14ac:dyDescent="0.25">
      <c r="A2798" t="s">
        <v>3223</v>
      </c>
      <c r="B2798" t="s">
        <v>135</v>
      </c>
      <c r="C2798" t="s">
        <v>136</v>
      </c>
      <c r="D2798" t="str">
        <f>HYPERLINK("http://service.sap.com/sap/support/notes/1704520","1704520")</f>
        <v>1704520</v>
      </c>
      <c r="E2798">
        <v>2</v>
      </c>
      <c r="F2798" t="s">
        <v>3396</v>
      </c>
    </row>
    <row r="2799" spans="1:6" x14ac:dyDescent="0.25">
      <c r="A2799" t="s">
        <v>3223</v>
      </c>
      <c r="B2799" t="s">
        <v>135</v>
      </c>
      <c r="C2799" t="s">
        <v>136</v>
      </c>
      <c r="D2799" t="str">
        <f>HYPERLINK("http://service.sap.com/sap/support/notes/1704562","1704562")</f>
        <v>1704562</v>
      </c>
      <c r="E2799">
        <v>3</v>
      </c>
      <c r="F2799" t="s">
        <v>3397</v>
      </c>
    </row>
    <row r="2800" spans="1:6" x14ac:dyDescent="0.25">
      <c r="A2800" t="s">
        <v>3223</v>
      </c>
      <c r="B2800" t="s">
        <v>135</v>
      </c>
      <c r="C2800" t="s">
        <v>136</v>
      </c>
      <c r="D2800" t="str">
        <f>HYPERLINK("http://service.sap.com/sap/support/notes/1704567","1704567")</f>
        <v>1704567</v>
      </c>
      <c r="E2800">
        <v>4</v>
      </c>
      <c r="F2800" t="s">
        <v>3398</v>
      </c>
    </row>
    <row r="2801" spans="1:6" x14ac:dyDescent="0.25">
      <c r="A2801" t="s">
        <v>3223</v>
      </c>
      <c r="B2801" t="s">
        <v>135</v>
      </c>
      <c r="C2801" t="s">
        <v>136</v>
      </c>
      <c r="D2801" t="str">
        <f>HYPERLINK("http://service.sap.com/sap/support/notes/1706087","1706087")</f>
        <v>1706087</v>
      </c>
      <c r="E2801">
        <v>2</v>
      </c>
      <c r="F2801" t="s">
        <v>3399</v>
      </c>
    </row>
    <row r="2802" spans="1:6" x14ac:dyDescent="0.25">
      <c r="A2802" t="s">
        <v>3223</v>
      </c>
      <c r="B2802" t="s">
        <v>135</v>
      </c>
      <c r="C2802" t="s">
        <v>136</v>
      </c>
      <c r="D2802" t="str">
        <f>HYPERLINK("http://service.sap.com/sap/support/notes/1706194","1706194")</f>
        <v>1706194</v>
      </c>
      <c r="E2802">
        <v>2</v>
      </c>
      <c r="F2802" t="s">
        <v>3400</v>
      </c>
    </row>
    <row r="2803" spans="1:6" x14ac:dyDescent="0.25">
      <c r="A2803" t="s">
        <v>3223</v>
      </c>
      <c r="B2803" t="s">
        <v>135</v>
      </c>
      <c r="C2803" t="s">
        <v>136</v>
      </c>
      <c r="D2803" t="str">
        <f>HYPERLINK("http://service.sap.com/sap/support/notes/1706556","1706556")</f>
        <v>1706556</v>
      </c>
      <c r="E2803">
        <v>3</v>
      </c>
      <c r="F2803" t="s">
        <v>3401</v>
      </c>
    </row>
    <row r="2804" spans="1:6" x14ac:dyDescent="0.25">
      <c r="A2804" t="s">
        <v>3223</v>
      </c>
      <c r="B2804" t="s">
        <v>135</v>
      </c>
      <c r="C2804" t="s">
        <v>136</v>
      </c>
      <c r="D2804" t="str">
        <f>HYPERLINK("http://service.sap.com/sap/support/notes/1707156","1707156")</f>
        <v>1707156</v>
      </c>
      <c r="E2804">
        <v>3</v>
      </c>
      <c r="F2804" t="s">
        <v>3402</v>
      </c>
    </row>
    <row r="2805" spans="1:6" x14ac:dyDescent="0.25">
      <c r="A2805" t="s">
        <v>3223</v>
      </c>
      <c r="B2805" t="s">
        <v>135</v>
      </c>
      <c r="C2805" t="s">
        <v>136</v>
      </c>
      <c r="D2805" t="str">
        <f>HYPERLINK("http://service.sap.com/sap/support/notes/1707713","1707713")</f>
        <v>1707713</v>
      </c>
      <c r="E2805">
        <v>5</v>
      </c>
      <c r="F2805" t="s">
        <v>3403</v>
      </c>
    </row>
    <row r="2806" spans="1:6" x14ac:dyDescent="0.25">
      <c r="A2806" t="s">
        <v>3223</v>
      </c>
      <c r="B2806" t="s">
        <v>135</v>
      </c>
      <c r="C2806" t="s">
        <v>136</v>
      </c>
      <c r="D2806" t="str">
        <f>HYPERLINK("http://service.sap.com/sap/support/notes/1708219","1708219")</f>
        <v>1708219</v>
      </c>
      <c r="E2806">
        <v>2</v>
      </c>
      <c r="F2806" t="s">
        <v>3404</v>
      </c>
    </row>
    <row r="2807" spans="1:6" x14ac:dyDescent="0.25">
      <c r="A2807" t="s">
        <v>3223</v>
      </c>
      <c r="B2807" t="s">
        <v>135</v>
      </c>
      <c r="C2807" t="s">
        <v>136</v>
      </c>
      <c r="D2807" t="str">
        <f>HYPERLINK("http://service.sap.com/sap/support/notes/1709284","1709284")</f>
        <v>1709284</v>
      </c>
      <c r="E2807">
        <v>1</v>
      </c>
      <c r="F2807" t="s">
        <v>3405</v>
      </c>
    </row>
    <row r="2808" spans="1:6" x14ac:dyDescent="0.25">
      <c r="A2808" t="s">
        <v>3223</v>
      </c>
      <c r="B2808" t="s">
        <v>135</v>
      </c>
      <c r="C2808" t="s">
        <v>136</v>
      </c>
      <c r="D2808" t="str">
        <f>HYPERLINK("http://service.sap.com/sap/support/notes/1709410","1709410")</f>
        <v>1709410</v>
      </c>
      <c r="E2808">
        <v>2</v>
      </c>
      <c r="F2808" t="s">
        <v>3406</v>
      </c>
    </row>
    <row r="2809" spans="1:6" x14ac:dyDescent="0.25">
      <c r="A2809" t="s">
        <v>3223</v>
      </c>
      <c r="B2809" t="s">
        <v>138</v>
      </c>
      <c r="C2809" t="s">
        <v>42</v>
      </c>
      <c r="D2809" t="str">
        <f>HYPERLINK("http://service.sap.com/sap/support/notes/1685273","1685273")</f>
        <v>1685273</v>
      </c>
      <c r="E2809">
        <v>2</v>
      </c>
      <c r="F2809" t="s">
        <v>3407</v>
      </c>
    </row>
    <row r="2810" spans="1:6" x14ac:dyDescent="0.25">
      <c r="A2810" t="s">
        <v>3223</v>
      </c>
      <c r="B2810" t="s">
        <v>138</v>
      </c>
      <c r="C2810" t="s">
        <v>42</v>
      </c>
      <c r="D2810" t="str">
        <f>HYPERLINK("http://service.sap.com/sap/support/notes/1687341","1687341")</f>
        <v>1687341</v>
      </c>
      <c r="E2810">
        <v>2</v>
      </c>
      <c r="F2810" t="s">
        <v>3408</v>
      </c>
    </row>
    <row r="2811" spans="1:6" x14ac:dyDescent="0.25">
      <c r="A2811" t="s">
        <v>3223</v>
      </c>
      <c r="B2811" t="s">
        <v>138</v>
      </c>
      <c r="C2811" t="s">
        <v>42</v>
      </c>
      <c r="D2811" t="str">
        <f>HYPERLINK("http://service.sap.com/sap/support/notes/1688274","1688274")</f>
        <v>1688274</v>
      </c>
      <c r="E2811">
        <v>2</v>
      </c>
      <c r="F2811" t="s">
        <v>3409</v>
      </c>
    </row>
    <row r="2812" spans="1:6" x14ac:dyDescent="0.25">
      <c r="A2812" t="s">
        <v>3223</v>
      </c>
      <c r="B2812" t="s">
        <v>138</v>
      </c>
      <c r="C2812" t="s">
        <v>42</v>
      </c>
      <c r="D2812" t="str">
        <f>HYPERLINK("http://service.sap.com/sap/support/notes/1689949","1689949")</f>
        <v>1689949</v>
      </c>
      <c r="E2812">
        <v>1</v>
      </c>
      <c r="F2812" t="s">
        <v>3410</v>
      </c>
    </row>
    <row r="2813" spans="1:6" x14ac:dyDescent="0.25">
      <c r="A2813" t="s">
        <v>3223</v>
      </c>
      <c r="B2813" t="s">
        <v>138</v>
      </c>
      <c r="C2813" t="s">
        <v>42</v>
      </c>
      <c r="D2813" t="str">
        <f>HYPERLINK("http://service.sap.com/sap/support/notes/1697784","1697784")</f>
        <v>1697784</v>
      </c>
      <c r="E2813">
        <v>1</v>
      </c>
      <c r="F2813" t="s">
        <v>3411</v>
      </c>
    </row>
    <row r="2814" spans="1:6" x14ac:dyDescent="0.25">
      <c r="A2814" t="s">
        <v>3223</v>
      </c>
      <c r="B2814" t="s">
        <v>138</v>
      </c>
      <c r="C2814" t="s">
        <v>42</v>
      </c>
      <c r="D2814" t="str">
        <f>HYPERLINK("http://service.sap.com/sap/support/notes/1699101","1699101")</f>
        <v>1699101</v>
      </c>
      <c r="E2814">
        <v>3</v>
      </c>
      <c r="F2814" t="s">
        <v>3412</v>
      </c>
    </row>
    <row r="2815" spans="1:6" x14ac:dyDescent="0.25">
      <c r="A2815" t="s">
        <v>3223</v>
      </c>
      <c r="B2815" t="s">
        <v>138</v>
      </c>
      <c r="C2815" t="s">
        <v>42</v>
      </c>
      <c r="D2815" t="str">
        <f>HYPERLINK("http://service.sap.com/sap/support/notes/1699113","1699113")</f>
        <v>1699113</v>
      </c>
      <c r="E2815">
        <v>1</v>
      </c>
      <c r="F2815" t="s">
        <v>3413</v>
      </c>
    </row>
    <row r="2816" spans="1:6" x14ac:dyDescent="0.25">
      <c r="A2816" t="s">
        <v>3223</v>
      </c>
      <c r="B2816" t="s">
        <v>138</v>
      </c>
      <c r="C2816" t="s">
        <v>42</v>
      </c>
      <c r="D2816" t="str">
        <f>HYPERLINK("http://service.sap.com/sap/support/notes/1700108","1700108")</f>
        <v>1700108</v>
      </c>
      <c r="E2816">
        <v>5</v>
      </c>
      <c r="F2816" t="s">
        <v>3414</v>
      </c>
    </row>
    <row r="2817" spans="1:6" x14ac:dyDescent="0.25">
      <c r="A2817" t="s">
        <v>3223</v>
      </c>
      <c r="B2817" t="s">
        <v>138</v>
      </c>
      <c r="C2817" t="s">
        <v>42</v>
      </c>
      <c r="D2817" t="str">
        <f>HYPERLINK("http://service.sap.com/sap/support/notes/1700606","1700606")</f>
        <v>1700606</v>
      </c>
      <c r="E2817">
        <v>1</v>
      </c>
      <c r="F2817" t="s">
        <v>3415</v>
      </c>
    </row>
    <row r="2818" spans="1:6" x14ac:dyDescent="0.25">
      <c r="A2818" t="s">
        <v>3223</v>
      </c>
      <c r="B2818" t="s">
        <v>138</v>
      </c>
      <c r="C2818" t="s">
        <v>42</v>
      </c>
      <c r="D2818" t="str">
        <f>HYPERLINK("http://service.sap.com/sap/support/notes/1700968","1700968")</f>
        <v>1700968</v>
      </c>
      <c r="E2818">
        <v>2</v>
      </c>
      <c r="F2818" t="s">
        <v>3416</v>
      </c>
    </row>
    <row r="2819" spans="1:6" x14ac:dyDescent="0.25">
      <c r="A2819" t="s">
        <v>3223</v>
      </c>
      <c r="B2819" t="s">
        <v>138</v>
      </c>
      <c r="C2819" t="s">
        <v>42</v>
      </c>
      <c r="D2819" t="str">
        <f>HYPERLINK("http://service.sap.com/sap/support/notes/1701083","1701083")</f>
        <v>1701083</v>
      </c>
      <c r="E2819">
        <v>3</v>
      </c>
      <c r="F2819" t="s">
        <v>3417</v>
      </c>
    </row>
    <row r="2820" spans="1:6" x14ac:dyDescent="0.25">
      <c r="A2820" t="s">
        <v>3223</v>
      </c>
      <c r="B2820" t="s">
        <v>138</v>
      </c>
      <c r="C2820" t="s">
        <v>42</v>
      </c>
      <c r="D2820" t="str">
        <f>HYPERLINK("http://service.sap.com/sap/support/notes/1701861","1701861")</f>
        <v>1701861</v>
      </c>
      <c r="E2820">
        <v>2</v>
      </c>
      <c r="F2820" t="s">
        <v>3418</v>
      </c>
    </row>
    <row r="2821" spans="1:6" x14ac:dyDescent="0.25">
      <c r="A2821" t="s">
        <v>3223</v>
      </c>
      <c r="B2821" t="s">
        <v>138</v>
      </c>
      <c r="C2821" t="s">
        <v>42</v>
      </c>
      <c r="D2821" t="str">
        <f>HYPERLINK("http://service.sap.com/sap/support/notes/1702376","1702376")</f>
        <v>1702376</v>
      </c>
      <c r="E2821">
        <v>4</v>
      </c>
      <c r="F2821" t="s">
        <v>3419</v>
      </c>
    </row>
    <row r="2822" spans="1:6" x14ac:dyDescent="0.25">
      <c r="A2822" t="s">
        <v>3223</v>
      </c>
      <c r="B2822" t="s">
        <v>138</v>
      </c>
      <c r="C2822" t="s">
        <v>42</v>
      </c>
      <c r="D2822" t="str">
        <f>HYPERLINK("http://service.sap.com/sap/support/notes/1704419","1704419")</f>
        <v>1704419</v>
      </c>
      <c r="E2822">
        <v>5</v>
      </c>
      <c r="F2822" t="s">
        <v>3420</v>
      </c>
    </row>
    <row r="2823" spans="1:6" x14ac:dyDescent="0.25">
      <c r="A2823" t="s">
        <v>3223</v>
      </c>
      <c r="B2823" t="s">
        <v>138</v>
      </c>
      <c r="C2823" t="s">
        <v>42</v>
      </c>
      <c r="D2823" t="str">
        <f>HYPERLINK("http://service.sap.com/sap/support/notes/1704724","1704724")</f>
        <v>1704724</v>
      </c>
      <c r="E2823">
        <v>4</v>
      </c>
      <c r="F2823" t="s">
        <v>3421</v>
      </c>
    </row>
    <row r="2824" spans="1:6" x14ac:dyDescent="0.25">
      <c r="A2824" t="s">
        <v>3223</v>
      </c>
      <c r="B2824" t="s">
        <v>138</v>
      </c>
      <c r="C2824" t="s">
        <v>42</v>
      </c>
      <c r="D2824" t="str">
        <f>HYPERLINK("http://service.sap.com/sap/support/notes/1707612","1707612")</f>
        <v>1707612</v>
      </c>
      <c r="E2824">
        <v>1</v>
      </c>
      <c r="F2824" t="s">
        <v>3422</v>
      </c>
    </row>
    <row r="2825" spans="1:6" x14ac:dyDescent="0.25">
      <c r="A2825" t="s">
        <v>3223</v>
      </c>
      <c r="B2825" t="s">
        <v>138</v>
      </c>
      <c r="C2825" t="s">
        <v>42</v>
      </c>
      <c r="D2825" t="str">
        <f>HYPERLINK("http://service.sap.com/sap/support/notes/1708023","1708023")</f>
        <v>1708023</v>
      </c>
      <c r="E2825">
        <v>1</v>
      </c>
      <c r="F2825" t="s">
        <v>3423</v>
      </c>
    </row>
    <row r="2826" spans="1:6" x14ac:dyDescent="0.25">
      <c r="A2826" t="s">
        <v>3223</v>
      </c>
      <c r="B2826" t="s">
        <v>138</v>
      </c>
      <c r="C2826" t="s">
        <v>42</v>
      </c>
      <c r="D2826" t="str">
        <f>HYPERLINK("http://service.sap.com/sap/support/notes/1709300","1709300")</f>
        <v>1709300</v>
      </c>
      <c r="E2826">
        <v>1</v>
      </c>
      <c r="F2826" t="s">
        <v>3424</v>
      </c>
    </row>
    <row r="2827" spans="1:6" x14ac:dyDescent="0.25">
      <c r="A2827" t="s">
        <v>3223</v>
      </c>
      <c r="B2827" t="s">
        <v>138</v>
      </c>
      <c r="C2827" t="s">
        <v>42</v>
      </c>
      <c r="D2827" t="str">
        <f>HYPERLINK("http://service.sap.com/sap/support/notes/1709869","1709869")</f>
        <v>1709869</v>
      </c>
      <c r="E2827">
        <v>1</v>
      </c>
      <c r="F2827" t="s">
        <v>3425</v>
      </c>
    </row>
    <row r="2828" spans="1:6" x14ac:dyDescent="0.25">
      <c r="A2828" t="s">
        <v>3223</v>
      </c>
      <c r="B2828" t="s">
        <v>139</v>
      </c>
      <c r="C2828" t="s">
        <v>140</v>
      </c>
      <c r="D2828" t="str">
        <f>HYPERLINK("http://service.sap.com/sap/support/notes/1624220","1624220")</f>
        <v>1624220</v>
      </c>
      <c r="E2828">
        <v>13</v>
      </c>
      <c r="F2828" t="s">
        <v>3065</v>
      </c>
    </row>
    <row r="2829" spans="1:6" x14ac:dyDescent="0.25">
      <c r="A2829" t="s">
        <v>3223</v>
      </c>
      <c r="B2829" t="s">
        <v>139</v>
      </c>
      <c r="C2829" t="s">
        <v>140</v>
      </c>
      <c r="D2829" t="str">
        <f>HYPERLINK("http://service.sap.com/sap/support/notes/1630586","1630586")</f>
        <v>1630586</v>
      </c>
      <c r="E2829">
        <v>1</v>
      </c>
      <c r="F2829" t="s">
        <v>3066</v>
      </c>
    </row>
    <row r="2830" spans="1:6" x14ac:dyDescent="0.25">
      <c r="A2830" t="s">
        <v>3223</v>
      </c>
      <c r="B2830" t="s">
        <v>139</v>
      </c>
      <c r="C2830" t="s">
        <v>140</v>
      </c>
      <c r="D2830" t="str">
        <f>HYPERLINK("http://service.sap.com/sap/support/notes/1695751","1695751")</f>
        <v>1695751</v>
      </c>
      <c r="E2830">
        <v>2</v>
      </c>
      <c r="F2830" t="s">
        <v>3426</v>
      </c>
    </row>
    <row r="2831" spans="1:6" x14ac:dyDescent="0.25">
      <c r="A2831" t="s">
        <v>3223</v>
      </c>
      <c r="B2831" t="s">
        <v>139</v>
      </c>
      <c r="C2831" t="s">
        <v>140</v>
      </c>
      <c r="D2831" t="str">
        <f>HYPERLINK("http://service.sap.com/sap/support/notes/1699398","1699398")</f>
        <v>1699398</v>
      </c>
      <c r="E2831">
        <v>1</v>
      </c>
      <c r="F2831" t="s">
        <v>3427</v>
      </c>
    </row>
    <row r="2832" spans="1:6" x14ac:dyDescent="0.25">
      <c r="A2832" t="s">
        <v>3223</v>
      </c>
      <c r="B2832" t="s">
        <v>139</v>
      </c>
      <c r="C2832" t="s">
        <v>140</v>
      </c>
      <c r="D2832" t="str">
        <f>HYPERLINK("http://service.sap.com/sap/support/notes/1702279","1702279")</f>
        <v>1702279</v>
      </c>
      <c r="E2832">
        <v>1</v>
      </c>
      <c r="F2832" t="s">
        <v>3428</v>
      </c>
    </row>
    <row r="2833" spans="1:6" x14ac:dyDescent="0.25">
      <c r="A2833" t="s">
        <v>3223</v>
      </c>
      <c r="B2833" t="s">
        <v>374</v>
      </c>
      <c r="C2833" t="s">
        <v>313</v>
      </c>
    </row>
    <row r="2834" spans="1:6" x14ac:dyDescent="0.25">
      <c r="A2834" t="s">
        <v>3223</v>
      </c>
      <c r="B2834" t="s">
        <v>375</v>
      </c>
      <c r="C2834" t="s">
        <v>376</v>
      </c>
      <c r="D2834" t="str">
        <f>HYPERLINK("http://service.sap.com/sap/support/notes/1686159","1686159")</f>
        <v>1686159</v>
      </c>
      <c r="E2834">
        <v>4</v>
      </c>
      <c r="F2834" t="s">
        <v>3429</v>
      </c>
    </row>
    <row r="2835" spans="1:6" x14ac:dyDescent="0.25">
      <c r="A2835" t="s">
        <v>3223</v>
      </c>
      <c r="B2835" t="s">
        <v>322</v>
      </c>
      <c r="C2835" t="s">
        <v>115</v>
      </c>
    </row>
    <row r="2836" spans="1:6" x14ac:dyDescent="0.25">
      <c r="A2836" t="s">
        <v>3223</v>
      </c>
      <c r="B2836" t="s">
        <v>427</v>
      </c>
      <c r="C2836" t="s">
        <v>428</v>
      </c>
      <c r="D2836" t="str">
        <f>HYPERLINK("http://service.sap.com/sap/support/notes/1697253","1697253")</f>
        <v>1697253</v>
      </c>
      <c r="E2836">
        <v>1</v>
      </c>
      <c r="F2836" t="s">
        <v>3430</v>
      </c>
    </row>
    <row r="2837" spans="1:6" x14ac:dyDescent="0.25">
      <c r="A2837" t="s">
        <v>3223</v>
      </c>
      <c r="B2837" t="s">
        <v>398</v>
      </c>
      <c r="C2837" t="s">
        <v>123</v>
      </c>
      <c r="D2837" t="str">
        <f>HYPERLINK("http://service.sap.com/sap/support/notes/1653069","1653069")</f>
        <v>1653069</v>
      </c>
      <c r="E2837">
        <v>2</v>
      </c>
      <c r="F2837" t="s">
        <v>3431</v>
      </c>
    </row>
    <row r="2838" spans="1:6" x14ac:dyDescent="0.25">
      <c r="A2838" t="s">
        <v>3223</v>
      </c>
      <c r="B2838" t="s">
        <v>398</v>
      </c>
      <c r="C2838" t="s">
        <v>123</v>
      </c>
      <c r="D2838" t="str">
        <f>HYPERLINK("http://service.sap.com/sap/support/notes/1697034","1697034")</f>
        <v>1697034</v>
      </c>
      <c r="E2838">
        <v>2</v>
      </c>
      <c r="F2838" t="s">
        <v>3432</v>
      </c>
    </row>
    <row r="2839" spans="1:6" x14ac:dyDescent="0.25">
      <c r="A2839" t="s">
        <v>3223</v>
      </c>
      <c r="B2839" t="s">
        <v>142</v>
      </c>
      <c r="C2839" t="s">
        <v>82</v>
      </c>
      <c r="D2839" t="str">
        <f>HYPERLINK("http://service.sap.com/sap/support/notes/1518648","1518648")</f>
        <v>1518648</v>
      </c>
      <c r="E2839">
        <v>3</v>
      </c>
      <c r="F2839" t="s">
        <v>3433</v>
      </c>
    </row>
    <row r="2840" spans="1:6" x14ac:dyDescent="0.25">
      <c r="A2840" t="s">
        <v>3223</v>
      </c>
      <c r="B2840" t="s">
        <v>142</v>
      </c>
      <c r="C2840" t="s">
        <v>82</v>
      </c>
      <c r="D2840" t="str">
        <f>HYPERLINK("http://service.sap.com/sap/support/notes/1645112","1645112")</f>
        <v>1645112</v>
      </c>
      <c r="E2840">
        <v>4</v>
      </c>
      <c r="F2840" t="s">
        <v>3434</v>
      </c>
    </row>
    <row r="2841" spans="1:6" x14ac:dyDescent="0.25">
      <c r="A2841" t="s">
        <v>3223</v>
      </c>
      <c r="B2841" t="s">
        <v>142</v>
      </c>
      <c r="C2841" t="s">
        <v>82</v>
      </c>
      <c r="D2841" t="str">
        <f>HYPERLINK("http://service.sap.com/sap/support/notes/1693890","1693890")</f>
        <v>1693890</v>
      </c>
      <c r="E2841">
        <v>4</v>
      </c>
      <c r="F2841" t="s">
        <v>3069</v>
      </c>
    </row>
    <row r="2842" spans="1:6" x14ac:dyDescent="0.25">
      <c r="A2842" t="s">
        <v>3223</v>
      </c>
      <c r="B2842" t="s">
        <v>142</v>
      </c>
      <c r="C2842" t="s">
        <v>82</v>
      </c>
      <c r="D2842" t="str">
        <f>HYPERLINK("http://service.sap.com/sap/support/notes/1696651","1696651")</f>
        <v>1696651</v>
      </c>
      <c r="E2842">
        <v>2</v>
      </c>
      <c r="F2842" t="s">
        <v>3435</v>
      </c>
    </row>
    <row r="2843" spans="1:6" x14ac:dyDescent="0.25">
      <c r="A2843" t="s">
        <v>3223</v>
      </c>
      <c r="B2843" t="s">
        <v>142</v>
      </c>
      <c r="C2843" t="s">
        <v>82</v>
      </c>
      <c r="D2843" t="str">
        <f>HYPERLINK("http://service.sap.com/sap/support/notes/1699531","1699531")</f>
        <v>1699531</v>
      </c>
      <c r="E2843">
        <v>1</v>
      </c>
      <c r="F2843" t="s">
        <v>3436</v>
      </c>
    </row>
    <row r="2844" spans="1:6" x14ac:dyDescent="0.25">
      <c r="A2844" t="s">
        <v>3223</v>
      </c>
      <c r="B2844" t="s">
        <v>142</v>
      </c>
      <c r="C2844" t="s">
        <v>82</v>
      </c>
      <c r="D2844" t="str">
        <f>HYPERLINK("http://service.sap.com/sap/support/notes/1701617","1701617")</f>
        <v>1701617</v>
      </c>
      <c r="E2844">
        <v>1</v>
      </c>
      <c r="F2844" t="s">
        <v>3437</v>
      </c>
    </row>
    <row r="2845" spans="1:6" x14ac:dyDescent="0.25">
      <c r="A2845" t="s">
        <v>3223</v>
      </c>
      <c r="B2845" t="s">
        <v>142</v>
      </c>
      <c r="C2845" t="s">
        <v>82</v>
      </c>
      <c r="D2845" t="str">
        <f>HYPERLINK("http://service.sap.com/sap/support/notes/1702549","1702549")</f>
        <v>1702549</v>
      </c>
      <c r="E2845">
        <v>1</v>
      </c>
      <c r="F2845" t="s">
        <v>3438</v>
      </c>
    </row>
    <row r="2846" spans="1:6" x14ac:dyDescent="0.25">
      <c r="A2846" t="s">
        <v>3223</v>
      </c>
      <c r="B2846" t="s">
        <v>142</v>
      </c>
      <c r="C2846" t="s">
        <v>82</v>
      </c>
      <c r="D2846" t="str">
        <f>HYPERLINK("http://service.sap.com/sap/support/notes/1706147","1706147")</f>
        <v>1706147</v>
      </c>
      <c r="E2846">
        <v>1</v>
      </c>
      <c r="F2846" t="s">
        <v>3069</v>
      </c>
    </row>
    <row r="2847" spans="1:6" x14ac:dyDescent="0.25">
      <c r="A2847" t="s">
        <v>3223</v>
      </c>
      <c r="B2847" t="s">
        <v>142</v>
      </c>
      <c r="C2847" t="s">
        <v>82</v>
      </c>
      <c r="D2847" t="str">
        <f>HYPERLINK("http://service.sap.com/sap/support/notes/1706453","1706453")</f>
        <v>1706453</v>
      </c>
      <c r="E2847">
        <v>1</v>
      </c>
      <c r="F2847" t="s">
        <v>3069</v>
      </c>
    </row>
    <row r="2848" spans="1:6" x14ac:dyDescent="0.25">
      <c r="A2848" t="s">
        <v>3223</v>
      </c>
      <c r="B2848" t="s">
        <v>142</v>
      </c>
      <c r="C2848" t="s">
        <v>82</v>
      </c>
      <c r="D2848" t="str">
        <f>HYPERLINK("http://service.sap.com/sap/support/notes/1707819","1707819")</f>
        <v>1707819</v>
      </c>
      <c r="E2848">
        <v>1</v>
      </c>
      <c r="F2848" t="s">
        <v>3069</v>
      </c>
    </row>
    <row r="2849" spans="1:6" x14ac:dyDescent="0.25">
      <c r="A2849" t="s">
        <v>3223</v>
      </c>
      <c r="B2849" t="s">
        <v>143</v>
      </c>
      <c r="C2849" t="s">
        <v>132</v>
      </c>
      <c r="D2849" t="str">
        <f>HYPERLINK("http://service.sap.com/sap/support/notes/1702110","1702110")</f>
        <v>1702110</v>
      </c>
      <c r="E2849">
        <v>1</v>
      </c>
      <c r="F2849" t="s">
        <v>3439</v>
      </c>
    </row>
    <row r="2850" spans="1:6" x14ac:dyDescent="0.25">
      <c r="A2850" t="s">
        <v>3223</v>
      </c>
      <c r="B2850" t="s">
        <v>143</v>
      </c>
      <c r="C2850" t="s">
        <v>132</v>
      </c>
      <c r="D2850" t="str">
        <f>HYPERLINK("http://service.sap.com/sap/support/notes/1705592","1705592")</f>
        <v>1705592</v>
      </c>
      <c r="E2850">
        <v>1</v>
      </c>
      <c r="F2850" t="s">
        <v>3440</v>
      </c>
    </row>
    <row r="2851" spans="1:6" x14ac:dyDescent="0.25">
      <c r="A2851" t="s">
        <v>3223</v>
      </c>
      <c r="B2851" t="s">
        <v>143</v>
      </c>
      <c r="C2851" t="s">
        <v>132</v>
      </c>
      <c r="D2851" t="str">
        <f>HYPERLINK("http://service.sap.com/sap/support/notes/1706428","1706428")</f>
        <v>1706428</v>
      </c>
      <c r="E2851">
        <v>1</v>
      </c>
      <c r="F2851" t="s">
        <v>3441</v>
      </c>
    </row>
    <row r="2852" spans="1:6" x14ac:dyDescent="0.25">
      <c r="A2852" t="s">
        <v>3223</v>
      </c>
      <c r="B2852" t="s">
        <v>144</v>
      </c>
      <c r="C2852" t="s">
        <v>145</v>
      </c>
      <c r="D2852" t="str">
        <f>HYPERLINK("http://service.sap.com/sap/support/notes/1647672","1647672")</f>
        <v>1647672</v>
      </c>
      <c r="E2852">
        <v>2</v>
      </c>
      <c r="F2852" t="s">
        <v>3442</v>
      </c>
    </row>
    <row r="2853" spans="1:6" x14ac:dyDescent="0.25">
      <c r="A2853" t="s">
        <v>3223</v>
      </c>
      <c r="B2853" t="s">
        <v>144</v>
      </c>
      <c r="C2853" t="s">
        <v>145</v>
      </c>
      <c r="D2853" t="str">
        <f>HYPERLINK("http://service.sap.com/sap/support/notes/1701966","1701966")</f>
        <v>1701966</v>
      </c>
      <c r="E2853">
        <v>2</v>
      </c>
      <c r="F2853" t="s">
        <v>3443</v>
      </c>
    </row>
    <row r="2854" spans="1:6" x14ac:dyDescent="0.25">
      <c r="A2854" t="s">
        <v>3223</v>
      </c>
      <c r="B2854" t="s">
        <v>144</v>
      </c>
      <c r="C2854" t="s">
        <v>145</v>
      </c>
      <c r="D2854" t="str">
        <f>HYPERLINK("http://service.sap.com/sap/support/notes/1705547","1705547")</f>
        <v>1705547</v>
      </c>
      <c r="E2854">
        <v>1</v>
      </c>
      <c r="F2854" t="s">
        <v>3444</v>
      </c>
    </row>
    <row r="2855" spans="1:6" x14ac:dyDescent="0.25">
      <c r="A2855" t="s">
        <v>3223</v>
      </c>
      <c r="B2855" t="s">
        <v>146</v>
      </c>
      <c r="C2855" t="s">
        <v>147</v>
      </c>
      <c r="D2855" t="str">
        <f>HYPERLINK("http://service.sap.com/sap/support/notes/1698147","1698147")</f>
        <v>1698147</v>
      </c>
      <c r="E2855">
        <v>2</v>
      </c>
      <c r="F2855" t="s">
        <v>3445</v>
      </c>
    </row>
    <row r="2856" spans="1:6" x14ac:dyDescent="0.25">
      <c r="A2856" t="s">
        <v>3223</v>
      </c>
      <c r="B2856" t="s">
        <v>146</v>
      </c>
      <c r="C2856" t="s">
        <v>147</v>
      </c>
      <c r="D2856" t="str">
        <f>HYPERLINK("http://service.sap.com/sap/support/notes/1698277","1698277")</f>
        <v>1698277</v>
      </c>
      <c r="E2856">
        <v>1</v>
      </c>
      <c r="F2856" t="s">
        <v>3446</v>
      </c>
    </row>
    <row r="2857" spans="1:6" x14ac:dyDescent="0.25">
      <c r="A2857" t="s">
        <v>3223</v>
      </c>
      <c r="B2857" t="s">
        <v>146</v>
      </c>
      <c r="C2857" t="s">
        <v>147</v>
      </c>
      <c r="D2857" t="str">
        <f>HYPERLINK("http://service.sap.com/sap/support/notes/1701635","1701635")</f>
        <v>1701635</v>
      </c>
      <c r="E2857">
        <v>2</v>
      </c>
      <c r="F2857" t="s">
        <v>3447</v>
      </c>
    </row>
    <row r="2858" spans="1:6" x14ac:dyDescent="0.25">
      <c r="A2858" t="s">
        <v>3223</v>
      </c>
      <c r="B2858" t="s">
        <v>146</v>
      </c>
      <c r="C2858" t="s">
        <v>147</v>
      </c>
      <c r="D2858" t="str">
        <f>HYPERLINK("http://service.sap.com/sap/support/notes/1702610","1702610")</f>
        <v>1702610</v>
      </c>
      <c r="E2858">
        <v>2</v>
      </c>
      <c r="F2858" t="s">
        <v>3448</v>
      </c>
    </row>
    <row r="2859" spans="1:6" x14ac:dyDescent="0.25">
      <c r="A2859" t="s">
        <v>3223</v>
      </c>
      <c r="B2859" t="s">
        <v>146</v>
      </c>
      <c r="C2859" t="s">
        <v>147</v>
      </c>
      <c r="D2859" t="str">
        <f>HYPERLINK("http://service.sap.com/sap/support/notes/1702978","1702978")</f>
        <v>1702978</v>
      </c>
      <c r="E2859">
        <v>1</v>
      </c>
      <c r="F2859" t="s">
        <v>3449</v>
      </c>
    </row>
    <row r="2860" spans="1:6" x14ac:dyDescent="0.25">
      <c r="A2860" t="s">
        <v>3223</v>
      </c>
      <c r="B2860" t="s">
        <v>146</v>
      </c>
      <c r="C2860" t="s">
        <v>147</v>
      </c>
      <c r="D2860" t="str">
        <f>HYPERLINK("http://service.sap.com/sap/support/notes/1705112","1705112")</f>
        <v>1705112</v>
      </c>
      <c r="E2860">
        <v>5</v>
      </c>
      <c r="F2860" t="s">
        <v>3450</v>
      </c>
    </row>
    <row r="2861" spans="1:6" x14ac:dyDescent="0.25">
      <c r="A2861" t="s">
        <v>3223</v>
      </c>
      <c r="B2861" t="s">
        <v>146</v>
      </c>
      <c r="C2861" t="s">
        <v>147</v>
      </c>
      <c r="D2861" t="str">
        <f>HYPERLINK("http://service.sap.com/sap/support/notes/1705695","1705695")</f>
        <v>1705695</v>
      </c>
      <c r="E2861">
        <v>1</v>
      </c>
      <c r="F2861" t="s">
        <v>3451</v>
      </c>
    </row>
    <row r="2862" spans="1:6" x14ac:dyDescent="0.25">
      <c r="A2862" t="s">
        <v>3223</v>
      </c>
      <c r="B2862" t="s">
        <v>146</v>
      </c>
      <c r="C2862" t="s">
        <v>147</v>
      </c>
      <c r="D2862" t="str">
        <f>HYPERLINK("http://service.sap.com/sap/support/notes/1706719","1706719")</f>
        <v>1706719</v>
      </c>
      <c r="E2862">
        <v>2</v>
      </c>
      <c r="F2862" t="s">
        <v>3452</v>
      </c>
    </row>
    <row r="2863" spans="1:6" x14ac:dyDescent="0.25">
      <c r="A2863" t="s">
        <v>3223</v>
      </c>
      <c r="B2863" t="s">
        <v>148</v>
      </c>
      <c r="C2863" t="s">
        <v>45</v>
      </c>
      <c r="D2863" t="str">
        <f>HYPERLINK("http://service.sap.com/sap/support/notes/1693384","1693384")</f>
        <v>1693384</v>
      </c>
      <c r="E2863">
        <v>3</v>
      </c>
      <c r="F2863" t="s">
        <v>3453</v>
      </c>
    </row>
    <row r="2864" spans="1:6" x14ac:dyDescent="0.25">
      <c r="A2864" t="s">
        <v>3223</v>
      </c>
      <c r="B2864" t="s">
        <v>149</v>
      </c>
      <c r="C2864" t="s">
        <v>150</v>
      </c>
      <c r="D2864" t="str">
        <f>HYPERLINK("http://service.sap.com/sap/support/notes/1546013","1546013")</f>
        <v>1546013</v>
      </c>
      <c r="E2864">
        <v>1</v>
      </c>
      <c r="F2864" t="s">
        <v>3454</v>
      </c>
    </row>
    <row r="2865" spans="1:6" x14ac:dyDescent="0.25">
      <c r="A2865" t="s">
        <v>3223</v>
      </c>
      <c r="B2865" t="s">
        <v>149</v>
      </c>
      <c r="C2865" t="s">
        <v>150</v>
      </c>
      <c r="D2865" t="str">
        <f>HYPERLINK("http://service.sap.com/sap/support/notes/1630779","1630779")</f>
        <v>1630779</v>
      </c>
      <c r="E2865">
        <v>5</v>
      </c>
      <c r="F2865" t="s">
        <v>3455</v>
      </c>
    </row>
    <row r="2866" spans="1:6" x14ac:dyDescent="0.25">
      <c r="A2866" t="s">
        <v>3223</v>
      </c>
      <c r="B2866" t="s">
        <v>149</v>
      </c>
      <c r="C2866" t="s">
        <v>150</v>
      </c>
      <c r="D2866" t="str">
        <f>HYPERLINK("http://service.sap.com/sap/support/notes/1674206","1674206")</f>
        <v>1674206</v>
      </c>
      <c r="E2866">
        <v>1</v>
      </c>
      <c r="F2866" t="s">
        <v>3456</v>
      </c>
    </row>
    <row r="2867" spans="1:6" x14ac:dyDescent="0.25">
      <c r="A2867" t="s">
        <v>3223</v>
      </c>
      <c r="B2867" t="s">
        <v>149</v>
      </c>
      <c r="C2867" t="s">
        <v>150</v>
      </c>
      <c r="D2867" t="str">
        <f>HYPERLINK("http://service.sap.com/sap/support/notes/1674405","1674405")</f>
        <v>1674405</v>
      </c>
      <c r="E2867">
        <v>1</v>
      </c>
      <c r="F2867" t="s">
        <v>3457</v>
      </c>
    </row>
    <row r="2868" spans="1:6" x14ac:dyDescent="0.25">
      <c r="A2868" t="s">
        <v>3223</v>
      </c>
      <c r="B2868" t="s">
        <v>149</v>
      </c>
      <c r="C2868" t="s">
        <v>150</v>
      </c>
      <c r="D2868" t="str">
        <f>HYPERLINK("http://service.sap.com/sap/support/notes/1692627","1692627")</f>
        <v>1692627</v>
      </c>
      <c r="E2868">
        <v>2</v>
      </c>
      <c r="F2868" t="s">
        <v>3458</v>
      </c>
    </row>
    <row r="2869" spans="1:6" x14ac:dyDescent="0.25">
      <c r="A2869" t="s">
        <v>3223</v>
      </c>
      <c r="B2869" t="s">
        <v>149</v>
      </c>
      <c r="C2869" t="s">
        <v>150</v>
      </c>
      <c r="D2869" t="str">
        <f>HYPERLINK("http://service.sap.com/sap/support/notes/1698934","1698934")</f>
        <v>1698934</v>
      </c>
      <c r="E2869">
        <v>2</v>
      </c>
      <c r="F2869" t="s">
        <v>3459</v>
      </c>
    </row>
    <row r="2870" spans="1:6" x14ac:dyDescent="0.25">
      <c r="A2870" t="s">
        <v>3223</v>
      </c>
      <c r="B2870" t="s">
        <v>149</v>
      </c>
      <c r="C2870" t="s">
        <v>150</v>
      </c>
      <c r="D2870" t="str">
        <f>HYPERLINK("http://service.sap.com/sap/support/notes/1700958","1700958")</f>
        <v>1700958</v>
      </c>
      <c r="E2870">
        <v>2</v>
      </c>
      <c r="F2870" t="s">
        <v>3460</v>
      </c>
    </row>
    <row r="2871" spans="1:6" x14ac:dyDescent="0.25">
      <c r="A2871" t="s">
        <v>3223</v>
      </c>
      <c r="B2871" t="s">
        <v>149</v>
      </c>
      <c r="C2871" t="s">
        <v>150</v>
      </c>
      <c r="D2871" t="str">
        <f>HYPERLINK("http://service.sap.com/sap/support/notes/1702057","1702057")</f>
        <v>1702057</v>
      </c>
      <c r="E2871">
        <v>1</v>
      </c>
      <c r="F2871" t="s">
        <v>3461</v>
      </c>
    </row>
    <row r="2872" spans="1:6" x14ac:dyDescent="0.25">
      <c r="A2872" t="s">
        <v>3223</v>
      </c>
      <c r="B2872" t="s">
        <v>149</v>
      </c>
      <c r="C2872" t="s">
        <v>150</v>
      </c>
      <c r="D2872" t="str">
        <f>HYPERLINK("http://service.sap.com/sap/support/notes/1707227","1707227")</f>
        <v>1707227</v>
      </c>
      <c r="E2872">
        <v>2</v>
      </c>
      <c r="F2872" t="s">
        <v>3462</v>
      </c>
    </row>
    <row r="2873" spans="1:6" x14ac:dyDescent="0.25">
      <c r="A2873" t="s">
        <v>3223</v>
      </c>
      <c r="B2873" t="s">
        <v>2103</v>
      </c>
      <c r="C2873" t="s">
        <v>132</v>
      </c>
      <c r="D2873" t="str">
        <f>HYPERLINK("http://service.sap.com/sap/support/notes/1650248","1650248")</f>
        <v>1650248</v>
      </c>
      <c r="E2873">
        <v>1</v>
      </c>
      <c r="F2873" t="s">
        <v>3463</v>
      </c>
    </row>
    <row r="2874" spans="1:6" x14ac:dyDescent="0.25">
      <c r="A2874" t="s">
        <v>3223</v>
      </c>
      <c r="B2874" t="s">
        <v>2103</v>
      </c>
      <c r="C2874" t="s">
        <v>132</v>
      </c>
      <c r="D2874" t="str">
        <f>HYPERLINK("http://service.sap.com/sap/support/notes/1689869","1689869")</f>
        <v>1689869</v>
      </c>
      <c r="E2874">
        <v>2</v>
      </c>
      <c r="F2874" t="s">
        <v>3464</v>
      </c>
    </row>
    <row r="2875" spans="1:6" x14ac:dyDescent="0.25">
      <c r="A2875" t="s">
        <v>3223</v>
      </c>
      <c r="B2875" t="s">
        <v>152</v>
      </c>
      <c r="C2875" t="s">
        <v>47</v>
      </c>
      <c r="D2875" t="str">
        <f>HYPERLINK("http://service.sap.com/sap/support/notes/1589714","1589714")</f>
        <v>1589714</v>
      </c>
      <c r="E2875">
        <v>5</v>
      </c>
      <c r="F2875" t="s">
        <v>2390</v>
      </c>
    </row>
    <row r="2876" spans="1:6" x14ac:dyDescent="0.25">
      <c r="A2876" t="s">
        <v>3223</v>
      </c>
      <c r="B2876" t="s">
        <v>152</v>
      </c>
      <c r="C2876" t="s">
        <v>47</v>
      </c>
      <c r="D2876" t="str">
        <f>HYPERLINK("http://service.sap.com/sap/support/notes/1644577","1644577")</f>
        <v>1644577</v>
      </c>
      <c r="E2876">
        <v>2</v>
      </c>
      <c r="F2876" t="s">
        <v>3465</v>
      </c>
    </row>
    <row r="2877" spans="1:6" x14ac:dyDescent="0.25">
      <c r="A2877" t="s">
        <v>3223</v>
      </c>
      <c r="B2877" t="s">
        <v>152</v>
      </c>
      <c r="C2877" t="s">
        <v>47</v>
      </c>
      <c r="D2877" t="str">
        <f>HYPERLINK("http://service.sap.com/sap/support/notes/1655829","1655829")</f>
        <v>1655829</v>
      </c>
      <c r="E2877">
        <v>1</v>
      </c>
      <c r="F2877" t="s">
        <v>3466</v>
      </c>
    </row>
    <row r="2878" spans="1:6" x14ac:dyDescent="0.25">
      <c r="A2878" t="s">
        <v>3223</v>
      </c>
      <c r="B2878" t="s">
        <v>152</v>
      </c>
      <c r="C2878" t="s">
        <v>47</v>
      </c>
      <c r="D2878" t="str">
        <f>HYPERLINK("http://service.sap.com/sap/support/notes/1669287","1669287")</f>
        <v>1669287</v>
      </c>
      <c r="E2878">
        <v>16</v>
      </c>
      <c r="F2878" t="s">
        <v>3467</v>
      </c>
    </row>
    <row r="2879" spans="1:6" x14ac:dyDescent="0.25">
      <c r="A2879" t="s">
        <v>3223</v>
      </c>
      <c r="B2879" t="s">
        <v>152</v>
      </c>
      <c r="C2879" t="s">
        <v>47</v>
      </c>
      <c r="D2879" t="str">
        <f>HYPERLINK("http://service.sap.com/sap/support/notes/1677261","1677261")</f>
        <v>1677261</v>
      </c>
      <c r="E2879">
        <v>2</v>
      </c>
      <c r="F2879" t="s">
        <v>3468</v>
      </c>
    </row>
    <row r="2880" spans="1:6" x14ac:dyDescent="0.25">
      <c r="A2880" t="s">
        <v>3223</v>
      </c>
      <c r="B2880" t="s">
        <v>152</v>
      </c>
      <c r="C2880" t="s">
        <v>47</v>
      </c>
      <c r="D2880" t="str">
        <f>HYPERLINK("http://service.sap.com/sap/support/notes/1683812","1683812")</f>
        <v>1683812</v>
      </c>
      <c r="E2880">
        <v>1</v>
      </c>
      <c r="F2880" t="s">
        <v>3469</v>
      </c>
    </row>
    <row r="2881" spans="1:6" x14ac:dyDescent="0.25">
      <c r="A2881" t="s">
        <v>3223</v>
      </c>
      <c r="B2881" t="s">
        <v>152</v>
      </c>
      <c r="C2881" t="s">
        <v>47</v>
      </c>
      <c r="D2881" t="str">
        <f>HYPERLINK("http://service.sap.com/sap/support/notes/1685449","1685449")</f>
        <v>1685449</v>
      </c>
      <c r="E2881">
        <v>2</v>
      </c>
      <c r="F2881" t="s">
        <v>3470</v>
      </c>
    </row>
    <row r="2882" spans="1:6" x14ac:dyDescent="0.25">
      <c r="A2882" t="s">
        <v>3223</v>
      </c>
      <c r="B2882" t="s">
        <v>152</v>
      </c>
      <c r="C2882" t="s">
        <v>47</v>
      </c>
      <c r="D2882" t="str">
        <f>HYPERLINK("http://service.sap.com/sap/support/notes/1686108","1686108")</f>
        <v>1686108</v>
      </c>
      <c r="E2882">
        <v>2</v>
      </c>
      <c r="F2882" t="s">
        <v>3471</v>
      </c>
    </row>
    <row r="2883" spans="1:6" x14ac:dyDescent="0.25">
      <c r="A2883" t="s">
        <v>3223</v>
      </c>
      <c r="B2883" t="s">
        <v>152</v>
      </c>
      <c r="C2883" t="s">
        <v>47</v>
      </c>
      <c r="D2883" t="str">
        <f>HYPERLINK("http://service.sap.com/sap/support/notes/1688799","1688799")</f>
        <v>1688799</v>
      </c>
      <c r="E2883">
        <v>3</v>
      </c>
      <c r="F2883" t="s">
        <v>3472</v>
      </c>
    </row>
    <row r="2884" spans="1:6" x14ac:dyDescent="0.25">
      <c r="A2884" t="s">
        <v>3223</v>
      </c>
      <c r="B2884" t="s">
        <v>152</v>
      </c>
      <c r="C2884" t="s">
        <v>47</v>
      </c>
      <c r="D2884" t="str">
        <f>HYPERLINK("http://service.sap.com/sap/support/notes/1692891","1692891")</f>
        <v>1692891</v>
      </c>
      <c r="E2884">
        <v>2</v>
      </c>
      <c r="F2884" t="s">
        <v>3473</v>
      </c>
    </row>
    <row r="2885" spans="1:6" x14ac:dyDescent="0.25">
      <c r="A2885" t="s">
        <v>3223</v>
      </c>
      <c r="B2885" t="s">
        <v>152</v>
      </c>
      <c r="C2885" t="s">
        <v>47</v>
      </c>
      <c r="D2885" t="str">
        <f>HYPERLINK("http://service.sap.com/sap/support/notes/1693422","1693422")</f>
        <v>1693422</v>
      </c>
      <c r="E2885">
        <v>2</v>
      </c>
      <c r="F2885" t="s">
        <v>3474</v>
      </c>
    </row>
    <row r="2886" spans="1:6" x14ac:dyDescent="0.25">
      <c r="A2886" t="s">
        <v>3223</v>
      </c>
      <c r="B2886" t="s">
        <v>152</v>
      </c>
      <c r="C2886" t="s">
        <v>47</v>
      </c>
      <c r="D2886" t="str">
        <f>HYPERLINK("http://service.sap.com/sap/support/notes/1694970","1694970")</f>
        <v>1694970</v>
      </c>
      <c r="E2886">
        <v>2</v>
      </c>
      <c r="F2886" t="s">
        <v>3475</v>
      </c>
    </row>
    <row r="2887" spans="1:6" x14ac:dyDescent="0.25">
      <c r="A2887" t="s">
        <v>3223</v>
      </c>
      <c r="B2887" t="s">
        <v>152</v>
      </c>
      <c r="C2887" t="s">
        <v>47</v>
      </c>
      <c r="D2887" t="str">
        <f>HYPERLINK("http://service.sap.com/sap/support/notes/1698906","1698906")</f>
        <v>1698906</v>
      </c>
      <c r="E2887">
        <v>3</v>
      </c>
      <c r="F2887" t="s">
        <v>3476</v>
      </c>
    </row>
    <row r="2888" spans="1:6" x14ac:dyDescent="0.25">
      <c r="A2888" t="s">
        <v>3223</v>
      </c>
      <c r="B2888" t="s">
        <v>152</v>
      </c>
      <c r="C2888" t="s">
        <v>47</v>
      </c>
      <c r="D2888" t="str">
        <f>HYPERLINK("http://service.sap.com/sap/support/notes/1699337","1699337")</f>
        <v>1699337</v>
      </c>
      <c r="E2888">
        <v>2</v>
      </c>
      <c r="F2888" t="s">
        <v>3477</v>
      </c>
    </row>
    <row r="2889" spans="1:6" x14ac:dyDescent="0.25">
      <c r="A2889" t="s">
        <v>3223</v>
      </c>
      <c r="B2889" t="s">
        <v>152</v>
      </c>
      <c r="C2889" t="s">
        <v>47</v>
      </c>
      <c r="D2889" t="str">
        <f>HYPERLINK("http://service.sap.com/sap/support/notes/1700919","1700919")</f>
        <v>1700919</v>
      </c>
      <c r="E2889">
        <v>2</v>
      </c>
      <c r="F2889" t="s">
        <v>3478</v>
      </c>
    </row>
    <row r="2890" spans="1:6" x14ac:dyDescent="0.25">
      <c r="A2890" t="s">
        <v>3223</v>
      </c>
      <c r="B2890" t="s">
        <v>152</v>
      </c>
      <c r="C2890" t="s">
        <v>47</v>
      </c>
      <c r="D2890" t="str">
        <f>HYPERLINK("http://service.sap.com/sap/support/notes/1702076","1702076")</f>
        <v>1702076</v>
      </c>
      <c r="E2890">
        <v>2</v>
      </c>
      <c r="F2890" t="s">
        <v>3479</v>
      </c>
    </row>
    <row r="2891" spans="1:6" x14ac:dyDescent="0.25">
      <c r="A2891" t="s">
        <v>3223</v>
      </c>
      <c r="B2891" t="s">
        <v>152</v>
      </c>
      <c r="C2891" t="s">
        <v>47</v>
      </c>
      <c r="D2891" t="str">
        <f>HYPERLINK("http://service.sap.com/sap/support/notes/1702908","1702908")</f>
        <v>1702908</v>
      </c>
      <c r="E2891">
        <v>4</v>
      </c>
      <c r="F2891" t="s">
        <v>3480</v>
      </c>
    </row>
    <row r="2892" spans="1:6" x14ac:dyDescent="0.25">
      <c r="A2892" t="s">
        <v>3223</v>
      </c>
      <c r="B2892" t="s">
        <v>152</v>
      </c>
      <c r="C2892" t="s">
        <v>47</v>
      </c>
      <c r="D2892" t="str">
        <f>HYPERLINK("http://service.sap.com/sap/support/notes/1702909","1702909")</f>
        <v>1702909</v>
      </c>
      <c r="E2892">
        <v>2</v>
      </c>
      <c r="F2892" t="s">
        <v>3481</v>
      </c>
    </row>
    <row r="2893" spans="1:6" x14ac:dyDescent="0.25">
      <c r="A2893" t="s">
        <v>3223</v>
      </c>
      <c r="B2893" t="s">
        <v>152</v>
      </c>
      <c r="C2893" t="s">
        <v>47</v>
      </c>
      <c r="D2893" t="str">
        <f>HYPERLINK("http://service.sap.com/sap/support/notes/1703920","1703920")</f>
        <v>1703920</v>
      </c>
      <c r="E2893">
        <v>3</v>
      </c>
      <c r="F2893" t="s">
        <v>3482</v>
      </c>
    </row>
    <row r="2894" spans="1:6" x14ac:dyDescent="0.25">
      <c r="A2894" t="s">
        <v>3223</v>
      </c>
      <c r="B2894" t="s">
        <v>152</v>
      </c>
      <c r="C2894" t="s">
        <v>47</v>
      </c>
      <c r="D2894" t="str">
        <f>HYPERLINK("http://service.sap.com/sap/support/notes/1706872","1706872")</f>
        <v>1706872</v>
      </c>
      <c r="E2894">
        <v>3</v>
      </c>
      <c r="F2894" t="s">
        <v>3483</v>
      </c>
    </row>
    <row r="2895" spans="1:6" x14ac:dyDescent="0.25">
      <c r="A2895" t="s">
        <v>3223</v>
      </c>
      <c r="B2895" t="s">
        <v>152</v>
      </c>
      <c r="C2895" t="s">
        <v>47</v>
      </c>
      <c r="D2895" t="str">
        <f>HYPERLINK("http://service.sap.com/sap/support/notes/1707396","1707396")</f>
        <v>1707396</v>
      </c>
      <c r="E2895">
        <v>2</v>
      </c>
      <c r="F2895" t="s">
        <v>3484</v>
      </c>
    </row>
    <row r="2896" spans="1:6" x14ac:dyDescent="0.25">
      <c r="A2896" t="s">
        <v>3223</v>
      </c>
      <c r="B2896" t="s">
        <v>152</v>
      </c>
      <c r="C2896" t="s">
        <v>47</v>
      </c>
      <c r="D2896" t="str">
        <f>HYPERLINK("http://service.sap.com/sap/support/notes/1709087","1709087")</f>
        <v>1709087</v>
      </c>
      <c r="E2896">
        <v>4</v>
      </c>
      <c r="F2896" t="s">
        <v>3485</v>
      </c>
    </row>
    <row r="2897" spans="1:6" x14ac:dyDescent="0.25">
      <c r="A2897" t="s">
        <v>3223</v>
      </c>
      <c r="B2897" t="s">
        <v>155</v>
      </c>
      <c r="C2897" t="s">
        <v>49</v>
      </c>
      <c r="D2897" t="str">
        <f>HYPERLINK("http://service.sap.com/sap/support/notes/1657359","1657359")</f>
        <v>1657359</v>
      </c>
      <c r="E2897">
        <v>2</v>
      </c>
      <c r="F2897" t="s">
        <v>3486</v>
      </c>
    </row>
    <row r="2898" spans="1:6" x14ac:dyDescent="0.25">
      <c r="A2898" t="s">
        <v>3223</v>
      </c>
      <c r="B2898" t="s">
        <v>155</v>
      </c>
      <c r="C2898" t="s">
        <v>49</v>
      </c>
      <c r="D2898" t="str">
        <f>HYPERLINK("http://service.sap.com/sap/support/notes/1658330","1658330")</f>
        <v>1658330</v>
      </c>
      <c r="E2898">
        <v>8</v>
      </c>
      <c r="F2898" t="s">
        <v>3487</v>
      </c>
    </row>
    <row r="2899" spans="1:6" x14ac:dyDescent="0.25">
      <c r="A2899" t="s">
        <v>3223</v>
      </c>
      <c r="B2899" t="s">
        <v>155</v>
      </c>
      <c r="C2899" t="s">
        <v>49</v>
      </c>
      <c r="D2899" t="str">
        <f>HYPERLINK("http://service.sap.com/sap/support/notes/1659635","1659635")</f>
        <v>1659635</v>
      </c>
      <c r="E2899">
        <v>1</v>
      </c>
      <c r="F2899" t="s">
        <v>3488</v>
      </c>
    </row>
    <row r="2900" spans="1:6" x14ac:dyDescent="0.25">
      <c r="A2900" t="s">
        <v>3223</v>
      </c>
      <c r="B2900" t="s">
        <v>155</v>
      </c>
      <c r="C2900" t="s">
        <v>49</v>
      </c>
      <c r="D2900" t="str">
        <f>HYPERLINK("http://service.sap.com/sap/support/notes/1670033","1670033")</f>
        <v>1670033</v>
      </c>
      <c r="E2900">
        <v>1</v>
      </c>
      <c r="F2900" t="s">
        <v>3489</v>
      </c>
    </row>
    <row r="2901" spans="1:6" x14ac:dyDescent="0.25">
      <c r="A2901" t="s">
        <v>3223</v>
      </c>
      <c r="B2901" t="s">
        <v>155</v>
      </c>
      <c r="C2901" t="s">
        <v>49</v>
      </c>
      <c r="D2901" t="str">
        <f>HYPERLINK("http://service.sap.com/sap/support/notes/1690735","1690735")</f>
        <v>1690735</v>
      </c>
      <c r="E2901">
        <v>1</v>
      </c>
      <c r="F2901" t="s">
        <v>3490</v>
      </c>
    </row>
    <row r="2902" spans="1:6" x14ac:dyDescent="0.25">
      <c r="A2902" t="s">
        <v>3223</v>
      </c>
      <c r="B2902" t="s">
        <v>155</v>
      </c>
      <c r="C2902" t="s">
        <v>49</v>
      </c>
      <c r="D2902" t="str">
        <f>HYPERLINK("http://service.sap.com/sap/support/notes/1692532","1692532")</f>
        <v>1692532</v>
      </c>
      <c r="E2902">
        <v>1</v>
      </c>
      <c r="F2902" t="s">
        <v>3491</v>
      </c>
    </row>
    <row r="2903" spans="1:6" x14ac:dyDescent="0.25">
      <c r="A2903" t="s">
        <v>3223</v>
      </c>
      <c r="B2903" t="s">
        <v>155</v>
      </c>
      <c r="C2903" t="s">
        <v>49</v>
      </c>
      <c r="D2903" t="str">
        <f>HYPERLINK("http://service.sap.com/sap/support/notes/1692764","1692764")</f>
        <v>1692764</v>
      </c>
      <c r="E2903">
        <v>2</v>
      </c>
      <c r="F2903" t="s">
        <v>3492</v>
      </c>
    </row>
    <row r="2904" spans="1:6" x14ac:dyDescent="0.25">
      <c r="A2904" t="s">
        <v>3223</v>
      </c>
      <c r="B2904" t="s">
        <v>155</v>
      </c>
      <c r="C2904" t="s">
        <v>49</v>
      </c>
      <c r="D2904" t="str">
        <f>HYPERLINK("http://service.sap.com/sap/support/notes/1703886","1703886")</f>
        <v>1703886</v>
      </c>
      <c r="E2904">
        <v>1</v>
      </c>
      <c r="F2904" t="s">
        <v>3493</v>
      </c>
    </row>
    <row r="2905" spans="1:6" x14ac:dyDescent="0.25">
      <c r="A2905" t="s">
        <v>3223</v>
      </c>
      <c r="B2905" t="s">
        <v>155</v>
      </c>
      <c r="C2905" t="s">
        <v>49</v>
      </c>
      <c r="D2905" t="str">
        <f>HYPERLINK("http://service.sap.com/sap/support/notes/1706539","1706539")</f>
        <v>1706539</v>
      </c>
      <c r="E2905">
        <v>1</v>
      </c>
      <c r="F2905" t="s">
        <v>3494</v>
      </c>
    </row>
    <row r="2906" spans="1:6" x14ac:dyDescent="0.25">
      <c r="A2906" t="s">
        <v>3223</v>
      </c>
      <c r="B2906" t="s">
        <v>156</v>
      </c>
      <c r="C2906" t="s">
        <v>52</v>
      </c>
      <c r="D2906" t="str">
        <f>HYPERLINK("http://service.sap.com/sap/support/notes/1692931","1692931")</f>
        <v>1692931</v>
      </c>
      <c r="E2906">
        <v>2</v>
      </c>
      <c r="F2906" t="s">
        <v>3495</v>
      </c>
    </row>
    <row r="2907" spans="1:6" x14ac:dyDescent="0.25">
      <c r="A2907" t="s">
        <v>3223</v>
      </c>
      <c r="B2907" t="s">
        <v>156</v>
      </c>
      <c r="C2907" t="s">
        <v>52</v>
      </c>
      <c r="D2907" t="str">
        <f>HYPERLINK("http://service.sap.com/sap/support/notes/1697670","1697670")</f>
        <v>1697670</v>
      </c>
      <c r="E2907">
        <v>5</v>
      </c>
      <c r="F2907" t="s">
        <v>3102</v>
      </c>
    </row>
    <row r="2908" spans="1:6" x14ac:dyDescent="0.25">
      <c r="A2908" t="s">
        <v>3223</v>
      </c>
      <c r="B2908" t="s">
        <v>156</v>
      </c>
      <c r="C2908" t="s">
        <v>52</v>
      </c>
      <c r="D2908" t="str">
        <f>HYPERLINK("http://service.sap.com/sap/support/notes/1698236","1698236")</f>
        <v>1698236</v>
      </c>
      <c r="E2908">
        <v>1</v>
      </c>
      <c r="F2908" t="s">
        <v>3496</v>
      </c>
    </row>
    <row r="2909" spans="1:6" x14ac:dyDescent="0.25">
      <c r="A2909" t="s">
        <v>3223</v>
      </c>
      <c r="B2909" t="s">
        <v>156</v>
      </c>
      <c r="C2909" t="s">
        <v>52</v>
      </c>
      <c r="D2909" t="str">
        <f>HYPERLINK("http://service.sap.com/sap/support/notes/1698303","1698303")</f>
        <v>1698303</v>
      </c>
      <c r="E2909">
        <v>1</v>
      </c>
      <c r="F2909" t="s">
        <v>3497</v>
      </c>
    </row>
    <row r="2910" spans="1:6" x14ac:dyDescent="0.25">
      <c r="A2910" t="s">
        <v>3223</v>
      </c>
      <c r="B2910" t="s">
        <v>156</v>
      </c>
      <c r="C2910" t="s">
        <v>52</v>
      </c>
      <c r="D2910" t="str">
        <f>HYPERLINK("http://service.sap.com/sap/support/notes/1700382","1700382")</f>
        <v>1700382</v>
      </c>
      <c r="E2910">
        <v>1</v>
      </c>
      <c r="F2910" t="s">
        <v>3498</v>
      </c>
    </row>
    <row r="2911" spans="1:6" x14ac:dyDescent="0.25">
      <c r="A2911" t="s">
        <v>3223</v>
      </c>
      <c r="B2911" t="s">
        <v>156</v>
      </c>
      <c r="C2911" t="s">
        <v>52</v>
      </c>
      <c r="D2911" t="str">
        <f>HYPERLINK("http://service.sap.com/sap/support/notes/1704610","1704610")</f>
        <v>1704610</v>
      </c>
      <c r="E2911">
        <v>2</v>
      </c>
      <c r="F2911" t="s">
        <v>3499</v>
      </c>
    </row>
    <row r="2912" spans="1:6" x14ac:dyDescent="0.25">
      <c r="A2912" t="s">
        <v>3223</v>
      </c>
      <c r="B2912" t="s">
        <v>156</v>
      </c>
      <c r="C2912" t="s">
        <v>52</v>
      </c>
      <c r="D2912" t="str">
        <f>HYPERLINK("http://service.sap.com/sap/support/notes/1706187","1706187")</f>
        <v>1706187</v>
      </c>
      <c r="E2912">
        <v>1</v>
      </c>
      <c r="F2912" t="s">
        <v>3500</v>
      </c>
    </row>
    <row r="2913" spans="1:6" x14ac:dyDescent="0.25">
      <c r="A2913" t="s">
        <v>3223</v>
      </c>
      <c r="B2913" t="s">
        <v>156</v>
      </c>
      <c r="C2913" t="s">
        <v>52</v>
      </c>
      <c r="D2913" t="str">
        <f>HYPERLINK("http://service.sap.com/sap/support/notes/1707279","1707279")</f>
        <v>1707279</v>
      </c>
      <c r="E2913">
        <v>1</v>
      </c>
      <c r="F2913" t="s">
        <v>3501</v>
      </c>
    </row>
    <row r="2914" spans="1:6" x14ac:dyDescent="0.25">
      <c r="A2914" t="s">
        <v>3223</v>
      </c>
      <c r="B2914" t="s">
        <v>158</v>
      </c>
      <c r="C2914" t="s">
        <v>54</v>
      </c>
      <c r="D2914" t="str">
        <f>HYPERLINK("http://service.sap.com/sap/support/notes/1637619","1637619")</f>
        <v>1637619</v>
      </c>
      <c r="E2914">
        <v>7</v>
      </c>
      <c r="F2914" t="s">
        <v>3502</v>
      </c>
    </row>
    <row r="2915" spans="1:6" x14ac:dyDescent="0.25">
      <c r="A2915" t="s">
        <v>3223</v>
      </c>
      <c r="B2915" t="s">
        <v>158</v>
      </c>
      <c r="C2915" t="s">
        <v>54</v>
      </c>
      <c r="D2915" t="str">
        <f>HYPERLINK("http://service.sap.com/sap/support/notes/1696689","1696689")</f>
        <v>1696689</v>
      </c>
      <c r="E2915">
        <v>2</v>
      </c>
      <c r="F2915" t="s">
        <v>3503</v>
      </c>
    </row>
    <row r="2916" spans="1:6" x14ac:dyDescent="0.25">
      <c r="A2916" t="s">
        <v>3223</v>
      </c>
      <c r="B2916" t="s">
        <v>158</v>
      </c>
      <c r="C2916" t="s">
        <v>54</v>
      </c>
      <c r="D2916" t="str">
        <f>HYPERLINK("http://service.sap.com/sap/support/notes/1699336","1699336")</f>
        <v>1699336</v>
      </c>
      <c r="E2916">
        <v>2</v>
      </c>
      <c r="F2916" t="s">
        <v>3504</v>
      </c>
    </row>
    <row r="2917" spans="1:6" x14ac:dyDescent="0.25">
      <c r="A2917" t="s">
        <v>3223</v>
      </c>
      <c r="B2917" t="s">
        <v>158</v>
      </c>
      <c r="C2917" t="s">
        <v>54</v>
      </c>
      <c r="D2917" t="str">
        <f>HYPERLINK("http://service.sap.com/sap/support/notes/1703152","1703152")</f>
        <v>1703152</v>
      </c>
      <c r="E2917">
        <v>2</v>
      </c>
      <c r="F2917" t="s">
        <v>3505</v>
      </c>
    </row>
    <row r="2918" spans="1:6" x14ac:dyDescent="0.25">
      <c r="A2918" t="s">
        <v>3223</v>
      </c>
      <c r="B2918" t="s">
        <v>158</v>
      </c>
      <c r="C2918" t="s">
        <v>54</v>
      </c>
      <c r="D2918" t="str">
        <f>HYPERLINK("http://service.sap.com/sap/support/notes/1706251","1706251")</f>
        <v>1706251</v>
      </c>
      <c r="E2918">
        <v>2</v>
      </c>
      <c r="F2918" t="s">
        <v>3506</v>
      </c>
    </row>
    <row r="2919" spans="1:6" x14ac:dyDescent="0.25">
      <c r="A2919" t="s">
        <v>3223</v>
      </c>
      <c r="B2919" t="s">
        <v>159</v>
      </c>
      <c r="C2919" t="s">
        <v>160</v>
      </c>
      <c r="D2919" t="str">
        <f>HYPERLINK("http://service.sap.com/sap/support/notes/1679780","1679780")</f>
        <v>1679780</v>
      </c>
      <c r="E2919">
        <v>3</v>
      </c>
      <c r="F2919" t="s">
        <v>3507</v>
      </c>
    </row>
    <row r="2920" spans="1:6" x14ac:dyDescent="0.25">
      <c r="A2920" t="s">
        <v>3223</v>
      </c>
      <c r="B2920" t="s">
        <v>159</v>
      </c>
      <c r="C2920" t="s">
        <v>160</v>
      </c>
      <c r="D2920" t="str">
        <f>HYPERLINK("http://service.sap.com/sap/support/notes/1686401","1686401")</f>
        <v>1686401</v>
      </c>
      <c r="E2920">
        <v>4</v>
      </c>
      <c r="F2920" t="s">
        <v>3508</v>
      </c>
    </row>
    <row r="2921" spans="1:6" x14ac:dyDescent="0.25">
      <c r="A2921" t="s">
        <v>3223</v>
      </c>
      <c r="B2921" t="s">
        <v>159</v>
      </c>
      <c r="C2921" t="s">
        <v>160</v>
      </c>
      <c r="D2921" t="str">
        <f>HYPERLINK("http://service.sap.com/sap/support/notes/1691299","1691299")</f>
        <v>1691299</v>
      </c>
      <c r="E2921">
        <v>4</v>
      </c>
      <c r="F2921" t="s">
        <v>3509</v>
      </c>
    </row>
    <row r="2922" spans="1:6" x14ac:dyDescent="0.25">
      <c r="A2922" t="s">
        <v>3223</v>
      </c>
      <c r="B2922" t="s">
        <v>159</v>
      </c>
      <c r="C2922" t="s">
        <v>160</v>
      </c>
      <c r="D2922" t="str">
        <f>HYPERLINK("http://service.sap.com/sap/support/notes/1692534","1692534")</f>
        <v>1692534</v>
      </c>
      <c r="E2922">
        <v>2</v>
      </c>
      <c r="F2922" t="s">
        <v>3510</v>
      </c>
    </row>
    <row r="2923" spans="1:6" x14ac:dyDescent="0.25">
      <c r="A2923" t="s">
        <v>3223</v>
      </c>
      <c r="B2923" t="s">
        <v>159</v>
      </c>
      <c r="C2923" t="s">
        <v>160</v>
      </c>
      <c r="D2923" t="str">
        <f>HYPERLINK("http://service.sap.com/sap/support/notes/1697136","1697136")</f>
        <v>1697136</v>
      </c>
      <c r="E2923">
        <v>2</v>
      </c>
      <c r="F2923" t="s">
        <v>3511</v>
      </c>
    </row>
    <row r="2924" spans="1:6" x14ac:dyDescent="0.25">
      <c r="A2924" t="s">
        <v>3223</v>
      </c>
      <c r="B2924" t="s">
        <v>159</v>
      </c>
      <c r="C2924" t="s">
        <v>160</v>
      </c>
      <c r="D2924" t="str">
        <f>HYPERLINK("http://service.sap.com/sap/support/notes/1708255","1708255")</f>
        <v>1708255</v>
      </c>
      <c r="E2924">
        <v>1</v>
      </c>
      <c r="F2924" t="s">
        <v>3512</v>
      </c>
    </row>
    <row r="2925" spans="1:6" x14ac:dyDescent="0.25">
      <c r="A2925" t="s">
        <v>3223</v>
      </c>
      <c r="B2925" t="s">
        <v>163</v>
      </c>
      <c r="C2925" t="s">
        <v>56</v>
      </c>
      <c r="D2925" t="str">
        <f>HYPERLINK("http://service.sap.com/sap/support/notes/1695568","1695568")</f>
        <v>1695568</v>
      </c>
      <c r="E2925">
        <v>2</v>
      </c>
      <c r="F2925" t="s">
        <v>3513</v>
      </c>
    </row>
    <row r="2926" spans="1:6" x14ac:dyDescent="0.25">
      <c r="A2926" t="s">
        <v>3223</v>
      </c>
      <c r="B2926" t="s">
        <v>163</v>
      </c>
      <c r="C2926" t="s">
        <v>56</v>
      </c>
      <c r="D2926" t="str">
        <f>HYPERLINK("http://service.sap.com/sap/support/notes/1695644","1695644")</f>
        <v>1695644</v>
      </c>
      <c r="E2926">
        <v>1</v>
      </c>
      <c r="F2926" t="s">
        <v>3514</v>
      </c>
    </row>
    <row r="2927" spans="1:6" x14ac:dyDescent="0.25">
      <c r="A2927" t="s">
        <v>3223</v>
      </c>
      <c r="B2927" t="s">
        <v>163</v>
      </c>
      <c r="C2927" t="s">
        <v>56</v>
      </c>
      <c r="D2927" t="str">
        <f>HYPERLINK("http://service.sap.com/sap/support/notes/1696669","1696669")</f>
        <v>1696669</v>
      </c>
      <c r="E2927">
        <v>1</v>
      </c>
      <c r="F2927" t="s">
        <v>3515</v>
      </c>
    </row>
    <row r="2928" spans="1:6" x14ac:dyDescent="0.25">
      <c r="A2928" t="s">
        <v>3223</v>
      </c>
      <c r="B2928" t="s">
        <v>163</v>
      </c>
      <c r="C2928" t="s">
        <v>56</v>
      </c>
      <c r="D2928" t="str">
        <f>HYPERLINK("http://service.sap.com/sap/support/notes/1699430","1699430")</f>
        <v>1699430</v>
      </c>
      <c r="E2928">
        <v>1</v>
      </c>
      <c r="F2928" t="s">
        <v>3516</v>
      </c>
    </row>
    <row r="2929" spans="1:6" x14ac:dyDescent="0.25">
      <c r="A2929" t="s">
        <v>3223</v>
      </c>
      <c r="B2929" t="s">
        <v>163</v>
      </c>
      <c r="C2929" t="s">
        <v>56</v>
      </c>
      <c r="D2929" t="str">
        <f>HYPERLINK("http://service.sap.com/sap/support/notes/1703538","1703538")</f>
        <v>1703538</v>
      </c>
      <c r="E2929">
        <v>1</v>
      </c>
      <c r="F2929" t="s">
        <v>3517</v>
      </c>
    </row>
    <row r="2930" spans="1:6" x14ac:dyDescent="0.25">
      <c r="A2930" t="s">
        <v>3223</v>
      </c>
      <c r="B2930" t="s">
        <v>163</v>
      </c>
      <c r="C2930" t="s">
        <v>56</v>
      </c>
      <c r="D2930" t="str">
        <f>HYPERLINK("http://service.sap.com/sap/support/notes/1705504","1705504")</f>
        <v>1705504</v>
      </c>
      <c r="E2930">
        <v>1</v>
      </c>
      <c r="F2930" t="s">
        <v>3518</v>
      </c>
    </row>
    <row r="2931" spans="1:6" x14ac:dyDescent="0.25">
      <c r="A2931" t="s">
        <v>3223</v>
      </c>
      <c r="B2931" t="s">
        <v>163</v>
      </c>
      <c r="C2931" t="s">
        <v>56</v>
      </c>
      <c r="D2931" t="str">
        <f>HYPERLINK("http://service.sap.com/sap/support/notes/1707768","1707768")</f>
        <v>1707768</v>
      </c>
      <c r="E2931">
        <v>1</v>
      </c>
      <c r="F2931" t="s">
        <v>3519</v>
      </c>
    </row>
    <row r="2932" spans="1:6" x14ac:dyDescent="0.25">
      <c r="A2932" t="s">
        <v>3223</v>
      </c>
      <c r="B2932" t="s">
        <v>164</v>
      </c>
      <c r="C2932" t="s">
        <v>165</v>
      </c>
      <c r="D2932" t="str">
        <f>HYPERLINK("http://service.sap.com/sap/support/notes/1683502","1683502")</f>
        <v>1683502</v>
      </c>
      <c r="E2932">
        <v>5</v>
      </c>
      <c r="F2932" t="s">
        <v>3520</v>
      </c>
    </row>
    <row r="2933" spans="1:6" x14ac:dyDescent="0.25">
      <c r="A2933" t="s">
        <v>3223</v>
      </c>
      <c r="B2933" t="s">
        <v>164</v>
      </c>
      <c r="C2933" t="s">
        <v>165</v>
      </c>
      <c r="D2933" t="str">
        <f>HYPERLINK("http://service.sap.com/sap/support/notes/1684993","1684993")</f>
        <v>1684993</v>
      </c>
      <c r="E2933">
        <v>1</v>
      </c>
      <c r="F2933" t="s">
        <v>3521</v>
      </c>
    </row>
    <row r="2934" spans="1:6" x14ac:dyDescent="0.25">
      <c r="A2934" t="s">
        <v>3223</v>
      </c>
      <c r="B2934" t="s">
        <v>164</v>
      </c>
      <c r="C2934" t="s">
        <v>165</v>
      </c>
      <c r="D2934" t="str">
        <f>HYPERLINK("http://service.sap.com/sap/support/notes/1699439","1699439")</f>
        <v>1699439</v>
      </c>
      <c r="E2934">
        <v>1</v>
      </c>
      <c r="F2934" t="s">
        <v>3522</v>
      </c>
    </row>
    <row r="2935" spans="1:6" x14ac:dyDescent="0.25">
      <c r="A2935" t="s">
        <v>3223</v>
      </c>
      <c r="B2935" t="s">
        <v>164</v>
      </c>
      <c r="C2935" t="s">
        <v>165</v>
      </c>
      <c r="D2935" t="str">
        <f>HYPERLINK("http://service.sap.com/sap/support/notes/1699486","1699486")</f>
        <v>1699486</v>
      </c>
      <c r="E2935">
        <v>3</v>
      </c>
      <c r="F2935" t="s">
        <v>3523</v>
      </c>
    </row>
    <row r="2936" spans="1:6" x14ac:dyDescent="0.25">
      <c r="A2936" t="s">
        <v>3223</v>
      </c>
      <c r="B2936" t="s">
        <v>164</v>
      </c>
      <c r="C2936" t="s">
        <v>165</v>
      </c>
      <c r="D2936" t="str">
        <f>HYPERLINK("http://service.sap.com/sap/support/notes/1707325","1707325")</f>
        <v>1707325</v>
      </c>
      <c r="E2936">
        <v>1</v>
      </c>
      <c r="F2936" t="s">
        <v>3524</v>
      </c>
    </row>
    <row r="2937" spans="1:6" x14ac:dyDescent="0.25">
      <c r="A2937" t="s">
        <v>3223</v>
      </c>
      <c r="B2937" t="s">
        <v>164</v>
      </c>
      <c r="C2937" t="s">
        <v>165</v>
      </c>
      <c r="D2937" t="str">
        <f>HYPERLINK("http://service.sap.com/sap/support/notes/1709774","1709774")</f>
        <v>1709774</v>
      </c>
      <c r="E2937">
        <v>1</v>
      </c>
      <c r="F2937" t="s">
        <v>3525</v>
      </c>
    </row>
    <row r="2938" spans="1:6" x14ac:dyDescent="0.25">
      <c r="A2938" t="s">
        <v>3223</v>
      </c>
      <c r="B2938" t="s">
        <v>164</v>
      </c>
      <c r="C2938" t="s">
        <v>165</v>
      </c>
      <c r="D2938" t="str">
        <f>HYPERLINK("http://service.sap.com/sap/support/notes/1710303","1710303")</f>
        <v>1710303</v>
      </c>
      <c r="E2938">
        <v>1</v>
      </c>
      <c r="F2938" t="s">
        <v>3526</v>
      </c>
    </row>
    <row r="2939" spans="1:6" x14ac:dyDescent="0.25">
      <c r="A2939" t="s">
        <v>3223</v>
      </c>
      <c r="B2939" t="s">
        <v>166</v>
      </c>
      <c r="C2939" t="s">
        <v>167</v>
      </c>
      <c r="D2939" t="str">
        <f>HYPERLINK("http://service.sap.com/sap/support/notes/1648635","1648635")</f>
        <v>1648635</v>
      </c>
      <c r="E2939">
        <v>6</v>
      </c>
      <c r="F2939" t="s">
        <v>3527</v>
      </c>
    </row>
    <row r="2940" spans="1:6" x14ac:dyDescent="0.25">
      <c r="A2940" t="s">
        <v>3223</v>
      </c>
      <c r="B2940" t="s">
        <v>166</v>
      </c>
      <c r="C2940" t="s">
        <v>167</v>
      </c>
      <c r="D2940" t="str">
        <f>HYPERLINK("http://service.sap.com/sap/support/notes/1679592","1679592")</f>
        <v>1679592</v>
      </c>
      <c r="E2940">
        <v>1</v>
      </c>
      <c r="F2940" t="s">
        <v>3528</v>
      </c>
    </row>
    <row r="2941" spans="1:6" x14ac:dyDescent="0.25">
      <c r="A2941" t="s">
        <v>3223</v>
      </c>
      <c r="B2941" t="s">
        <v>166</v>
      </c>
      <c r="C2941" t="s">
        <v>167</v>
      </c>
      <c r="D2941" t="str">
        <f>HYPERLINK("http://service.sap.com/sap/support/notes/1687142","1687142")</f>
        <v>1687142</v>
      </c>
      <c r="E2941">
        <v>1</v>
      </c>
      <c r="F2941" t="s">
        <v>3529</v>
      </c>
    </row>
    <row r="2942" spans="1:6" x14ac:dyDescent="0.25">
      <c r="A2942" t="s">
        <v>3223</v>
      </c>
      <c r="B2942" t="s">
        <v>166</v>
      </c>
      <c r="C2942" t="s">
        <v>167</v>
      </c>
      <c r="D2942" t="str">
        <f>HYPERLINK("http://service.sap.com/sap/support/notes/1694448","1694448")</f>
        <v>1694448</v>
      </c>
      <c r="E2942">
        <v>2</v>
      </c>
      <c r="F2942" t="s">
        <v>3530</v>
      </c>
    </row>
    <row r="2943" spans="1:6" x14ac:dyDescent="0.25">
      <c r="A2943" t="s">
        <v>3223</v>
      </c>
      <c r="B2943" t="s">
        <v>166</v>
      </c>
      <c r="C2943" t="s">
        <v>167</v>
      </c>
      <c r="D2943" t="str">
        <f>HYPERLINK("http://service.sap.com/sap/support/notes/1694510","1694510")</f>
        <v>1694510</v>
      </c>
      <c r="E2943">
        <v>1</v>
      </c>
      <c r="F2943" t="s">
        <v>3531</v>
      </c>
    </row>
    <row r="2944" spans="1:6" x14ac:dyDescent="0.25">
      <c r="A2944" t="s">
        <v>3223</v>
      </c>
      <c r="B2944" t="s">
        <v>166</v>
      </c>
      <c r="C2944" t="s">
        <v>167</v>
      </c>
      <c r="D2944" t="str">
        <f>HYPERLINK("http://service.sap.com/sap/support/notes/1702573","1702573")</f>
        <v>1702573</v>
      </c>
      <c r="E2944">
        <v>1</v>
      </c>
      <c r="F2944" t="s">
        <v>3532</v>
      </c>
    </row>
    <row r="2945" spans="1:6" x14ac:dyDescent="0.25">
      <c r="A2945" t="s">
        <v>3223</v>
      </c>
      <c r="B2945" t="s">
        <v>168</v>
      </c>
      <c r="C2945" t="s">
        <v>169</v>
      </c>
      <c r="D2945" t="str">
        <f>HYPERLINK("http://service.sap.com/sap/support/notes/1678695","1678695")</f>
        <v>1678695</v>
      </c>
      <c r="E2945">
        <v>1</v>
      </c>
      <c r="F2945" t="s">
        <v>3533</v>
      </c>
    </row>
    <row r="2946" spans="1:6" x14ac:dyDescent="0.25">
      <c r="A2946" t="s">
        <v>3223</v>
      </c>
      <c r="B2946" t="s">
        <v>168</v>
      </c>
      <c r="C2946" t="s">
        <v>169</v>
      </c>
      <c r="D2946" t="str">
        <f>HYPERLINK("http://service.sap.com/sap/support/notes/1695832","1695832")</f>
        <v>1695832</v>
      </c>
      <c r="E2946">
        <v>2</v>
      </c>
      <c r="F2946" t="s">
        <v>3152</v>
      </c>
    </row>
    <row r="2947" spans="1:6" x14ac:dyDescent="0.25">
      <c r="A2947" t="s">
        <v>3223</v>
      </c>
      <c r="B2947" t="s">
        <v>168</v>
      </c>
      <c r="C2947" t="s">
        <v>169</v>
      </c>
      <c r="D2947" t="str">
        <f>HYPERLINK("http://service.sap.com/sap/support/notes/1702240","1702240")</f>
        <v>1702240</v>
      </c>
      <c r="E2947">
        <v>1</v>
      </c>
      <c r="F2947" t="s">
        <v>3534</v>
      </c>
    </row>
    <row r="2948" spans="1:6" x14ac:dyDescent="0.25">
      <c r="A2948" t="s">
        <v>3223</v>
      </c>
      <c r="B2948" t="s">
        <v>171</v>
      </c>
      <c r="C2948" t="s">
        <v>172</v>
      </c>
      <c r="D2948" t="str">
        <f>HYPERLINK("http://service.sap.com/sap/support/notes/1696825","1696825")</f>
        <v>1696825</v>
      </c>
      <c r="E2948">
        <v>1</v>
      </c>
      <c r="F2948" t="s">
        <v>3535</v>
      </c>
    </row>
    <row r="2949" spans="1:6" x14ac:dyDescent="0.25">
      <c r="A2949" t="s">
        <v>3223</v>
      </c>
      <c r="B2949" t="s">
        <v>171</v>
      </c>
      <c r="C2949" t="s">
        <v>172</v>
      </c>
      <c r="D2949" t="str">
        <f>HYPERLINK("http://service.sap.com/sap/support/notes/1696875","1696875")</f>
        <v>1696875</v>
      </c>
      <c r="E2949">
        <v>1</v>
      </c>
      <c r="F2949" t="s">
        <v>3536</v>
      </c>
    </row>
    <row r="2950" spans="1:6" x14ac:dyDescent="0.25">
      <c r="A2950" t="s">
        <v>3223</v>
      </c>
      <c r="B2950" t="s">
        <v>171</v>
      </c>
      <c r="C2950" t="s">
        <v>172</v>
      </c>
      <c r="D2950" t="str">
        <f>HYPERLINK("http://service.sap.com/sap/support/notes/1698174","1698174")</f>
        <v>1698174</v>
      </c>
      <c r="E2950">
        <v>1</v>
      </c>
      <c r="F2950" t="s">
        <v>3537</v>
      </c>
    </row>
    <row r="2951" spans="1:6" x14ac:dyDescent="0.25">
      <c r="A2951" t="s">
        <v>3223</v>
      </c>
      <c r="B2951" t="s">
        <v>171</v>
      </c>
      <c r="C2951" t="s">
        <v>172</v>
      </c>
      <c r="D2951" t="str">
        <f>HYPERLINK("http://service.sap.com/sap/support/notes/1698777","1698777")</f>
        <v>1698777</v>
      </c>
      <c r="E2951">
        <v>1</v>
      </c>
      <c r="F2951" t="s">
        <v>3538</v>
      </c>
    </row>
    <row r="2952" spans="1:6" x14ac:dyDescent="0.25">
      <c r="A2952" t="s">
        <v>3223</v>
      </c>
      <c r="B2952" t="s">
        <v>171</v>
      </c>
      <c r="C2952" t="s">
        <v>172</v>
      </c>
      <c r="D2952" t="str">
        <f>HYPERLINK("http://service.sap.com/sap/support/notes/1699355","1699355")</f>
        <v>1699355</v>
      </c>
      <c r="E2952">
        <v>1</v>
      </c>
      <c r="F2952" t="s">
        <v>3539</v>
      </c>
    </row>
    <row r="2953" spans="1:6" x14ac:dyDescent="0.25">
      <c r="A2953" t="s">
        <v>3223</v>
      </c>
      <c r="B2953" t="s">
        <v>171</v>
      </c>
      <c r="C2953" t="s">
        <v>172</v>
      </c>
      <c r="D2953" t="str">
        <f>HYPERLINK("http://service.sap.com/sap/support/notes/1700349","1700349")</f>
        <v>1700349</v>
      </c>
      <c r="E2953">
        <v>1</v>
      </c>
      <c r="F2953" t="s">
        <v>3540</v>
      </c>
    </row>
    <row r="2954" spans="1:6" x14ac:dyDescent="0.25">
      <c r="A2954" t="s">
        <v>3223</v>
      </c>
      <c r="B2954" t="s">
        <v>171</v>
      </c>
      <c r="C2954" t="s">
        <v>172</v>
      </c>
      <c r="D2954" t="str">
        <f>HYPERLINK("http://service.sap.com/sap/support/notes/1700516","1700516")</f>
        <v>1700516</v>
      </c>
      <c r="E2954">
        <v>1</v>
      </c>
      <c r="F2954" t="s">
        <v>3541</v>
      </c>
    </row>
    <row r="2955" spans="1:6" x14ac:dyDescent="0.25">
      <c r="A2955" t="s">
        <v>3223</v>
      </c>
      <c r="B2955" t="s">
        <v>171</v>
      </c>
      <c r="C2955" t="s">
        <v>172</v>
      </c>
      <c r="D2955" t="str">
        <f>HYPERLINK("http://service.sap.com/sap/support/notes/1700563","1700563")</f>
        <v>1700563</v>
      </c>
      <c r="E2955">
        <v>1</v>
      </c>
      <c r="F2955" t="s">
        <v>3542</v>
      </c>
    </row>
    <row r="2956" spans="1:6" x14ac:dyDescent="0.25">
      <c r="A2956" t="s">
        <v>3223</v>
      </c>
      <c r="B2956" t="s">
        <v>171</v>
      </c>
      <c r="C2956" t="s">
        <v>172</v>
      </c>
      <c r="D2956" t="str">
        <f>HYPERLINK("http://service.sap.com/sap/support/notes/1700943","1700943")</f>
        <v>1700943</v>
      </c>
      <c r="E2956">
        <v>1</v>
      </c>
      <c r="F2956" t="s">
        <v>3543</v>
      </c>
    </row>
    <row r="2957" spans="1:6" x14ac:dyDescent="0.25">
      <c r="A2957" t="s">
        <v>3223</v>
      </c>
      <c r="B2957" t="s">
        <v>171</v>
      </c>
      <c r="C2957" t="s">
        <v>172</v>
      </c>
      <c r="D2957" t="str">
        <f>HYPERLINK("http://service.sap.com/sap/support/notes/1701155","1701155")</f>
        <v>1701155</v>
      </c>
      <c r="E2957">
        <v>1</v>
      </c>
      <c r="F2957" t="s">
        <v>3544</v>
      </c>
    </row>
    <row r="2958" spans="1:6" x14ac:dyDescent="0.25">
      <c r="A2958" t="s">
        <v>3223</v>
      </c>
      <c r="B2958" t="s">
        <v>171</v>
      </c>
      <c r="C2958" t="s">
        <v>172</v>
      </c>
      <c r="D2958" t="str">
        <f>HYPERLINK("http://service.sap.com/sap/support/notes/1701494","1701494")</f>
        <v>1701494</v>
      </c>
      <c r="E2958">
        <v>1</v>
      </c>
      <c r="F2958" t="s">
        <v>3545</v>
      </c>
    </row>
    <row r="2959" spans="1:6" x14ac:dyDescent="0.25">
      <c r="A2959" t="s">
        <v>3223</v>
      </c>
      <c r="B2959" t="s">
        <v>171</v>
      </c>
      <c r="C2959" t="s">
        <v>172</v>
      </c>
      <c r="D2959" t="str">
        <f>HYPERLINK("http://service.sap.com/sap/support/notes/1703223","1703223")</f>
        <v>1703223</v>
      </c>
      <c r="E2959">
        <v>1</v>
      </c>
      <c r="F2959" t="s">
        <v>3546</v>
      </c>
    </row>
    <row r="2960" spans="1:6" x14ac:dyDescent="0.25">
      <c r="A2960" t="s">
        <v>3223</v>
      </c>
      <c r="B2960" t="s">
        <v>171</v>
      </c>
      <c r="C2960" t="s">
        <v>172</v>
      </c>
      <c r="D2960" t="str">
        <f>HYPERLINK("http://service.sap.com/sap/support/notes/1704055","1704055")</f>
        <v>1704055</v>
      </c>
      <c r="E2960">
        <v>2</v>
      </c>
      <c r="F2960" t="s">
        <v>3547</v>
      </c>
    </row>
    <row r="2961" spans="1:6" x14ac:dyDescent="0.25">
      <c r="A2961" t="s">
        <v>3223</v>
      </c>
      <c r="B2961" t="s">
        <v>171</v>
      </c>
      <c r="C2961" t="s">
        <v>172</v>
      </c>
      <c r="D2961" t="str">
        <f>HYPERLINK("http://service.sap.com/sap/support/notes/1704594","1704594")</f>
        <v>1704594</v>
      </c>
      <c r="E2961">
        <v>1</v>
      </c>
      <c r="F2961" t="s">
        <v>3548</v>
      </c>
    </row>
    <row r="2962" spans="1:6" x14ac:dyDescent="0.25">
      <c r="A2962" t="s">
        <v>3223</v>
      </c>
      <c r="B2962" t="s">
        <v>171</v>
      </c>
      <c r="C2962" t="s">
        <v>172</v>
      </c>
      <c r="D2962" t="str">
        <f>HYPERLINK("http://service.sap.com/sap/support/notes/1705263","1705263")</f>
        <v>1705263</v>
      </c>
      <c r="E2962">
        <v>1</v>
      </c>
      <c r="F2962" t="s">
        <v>3549</v>
      </c>
    </row>
    <row r="2963" spans="1:6" x14ac:dyDescent="0.25">
      <c r="A2963" t="s">
        <v>3223</v>
      </c>
      <c r="B2963" t="s">
        <v>171</v>
      </c>
      <c r="C2963" t="s">
        <v>172</v>
      </c>
      <c r="D2963" t="str">
        <f>HYPERLINK("http://service.sap.com/sap/support/notes/1706223","1706223")</f>
        <v>1706223</v>
      </c>
      <c r="E2963">
        <v>1</v>
      </c>
      <c r="F2963" t="s">
        <v>3550</v>
      </c>
    </row>
    <row r="2964" spans="1:6" x14ac:dyDescent="0.25">
      <c r="A2964" t="s">
        <v>3223</v>
      </c>
      <c r="B2964" t="s">
        <v>175</v>
      </c>
      <c r="C2964" t="s">
        <v>176</v>
      </c>
      <c r="D2964" t="str">
        <f>HYPERLINK("http://service.sap.com/sap/support/notes/1671018","1671018")</f>
        <v>1671018</v>
      </c>
      <c r="E2964">
        <v>3</v>
      </c>
      <c r="F2964" t="s">
        <v>3551</v>
      </c>
    </row>
    <row r="2965" spans="1:6" x14ac:dyDescent="0.25">
      <c r="A2965" t="s">
        <v>3223</v>
      </c>
      <c r="B2965" t="s">
        <v>175</v>
      </c>
      <c r="C2965" t="s">
        <v>176</v>
      </c>
      <c r="D2965" t="str">
        <f>HYPERLINK("http://service.sap.com/sap/support/notes/1675550","1675550")</f>
        <v>1675550</v>
      </c>
      <c r="E2965">
        <v>3</v>
      </c>
      <c r="F2965" t="s">
        <v>3552</v>
      </c>
    </row>
    <row r="2966" spans="1:6" x14ac:dyDescent="0.25">
      <c r="A2966" t="s">
        <v>3223</v>
      </c>
      <c r="B2966" t="s">
        <v>175</v>
      </c>
      <c r="C2966" t="s">
        <v>176</v>
      </c>
      <c r="D2966" t="str">
        <f>HYPERLINK("http://service.sap.com/sap/support/notes/1681606","1681606")</f>
        <v>1681606</v>
      </c>
      <c r="E2966">
        <v>2</v>
      </c>
      <c r="F2966" t="s">
        <v>3553</v>
      </c>
    </row>
    <row r="2967" spans="1:6" x14ac:dyDescent="0.25">
      <c r="A2967" t="s">
        <v>3223</v>
      </c>
      <c r="B2967" t="s">
        <v>175</v>
      </c>
      <c r="C2967" t="s">
        <v>176</v>
      </c>
      <c r="D2967" t="str">
        <f>HYPERLINK("http://service.sap.com/sap/support/notes/1684247","1684247")</f>
        <v>1684247</v>
      </c>
      <c r="E2967">
        <v>3</v>
      </c>
      <c r="F2967" t="s">
        <v>3554</v>
      </c>
    </row>
    <row r="2968" spans="1:6" x14ac:dyDescent="0.25">
      <c r="A2968" t="s">
        <v>3223</v>
      </c>
      <c r="B2968" t="s">
        <v>175</v>
      </c>
      <c r="C2968" t="s">
        <v>176</v>
      </c>
      <c r="D2968" t="str">
        <f>HYPERLINK("http://service.sap.com/sap/support/notes/1689064","1689064")</f>
        <v>1689064</v>
      </c>
      <c r="E2968">
        <v>6</v>
      </c>
      <c r="F2968" t="s">
        <v>3555</v>
      </c>
    </row>
    <row r="2969" spans="1:6" x14ac:dyDescent="0.25">
      <c r="A2969" t="s">
        <v>3223</v>
      </c>
      <c r="B2969" t="s">
        <v>175</v>
      </c>
      <c r="C2969" t="s">
        <v>176</v>
      </c>
      <c r="D2969" t="str">
        <f>HYPERLINK("http://service.sap.com/sap/support/notes/1693739","1693739")</f>
        <v>1693739</v>
      </c>
      <c r="E2969">
        <v>13</v>
      </c>
      <c r="F2969" t="s">
        <v>3556</v>
      </c>
    </row>
    <row r="2970" spans="1:6" x14ac:dyDescent="0.25">
      <c r="A2970" t="s">
        <v>3223</v>
      </c>
      <c r="B2970" t="s">
        <v>175</v>
      </c>
      <c r="C2970" t="s">
        <v>176</v>
      </c>
      <c r="D2970" t="str">
        <f>HYPERLINK("http://service.sap.com/sap/support/notes/1694883","1694883")</f>
        <v>1694883</v>
      </c>
      <c r="E2970">
        <v>2</v>
      </c>
      <c r="F2970" t="s">
        <v>3557</v>
      </c>
    </row>
    <row r="2971" spans="1:6" x14ac:dyDescent="0.25">
      <c r="A2971" t="s">
        <v>3223</v>
      </c>
      <c r="B2971" t="s">
        <v>175</v>
      </c>
      <c r="C2971" t="s">
        <v>176</v>
      </c>
      <c r="D2971" t="str">
        <f>HYPERLINK("http://service.sap.com/sap/support/notes/1695428","1695428")</f>
        <v>1695428</v>
      </c>
      <c r="E2971">
        <v>2</v>
      </c>
      <c r="F2971" t="s">
        <v>3558</v>
      </c>
    </row>
    <row r="2972" spans="1:6" x14ac:dyDescent="0.25">
      <c r="A2972" t="s">
        <v>3223</v>
      </c>
      <c r="B2972" t="s">
        <v>175</v>
      </c>
      <c r="C2972" t="s">
        <v>176</v>
      </c>
      <c r="D2972" t="str">
        <f>HYPERLINK("http://service.sap.com/sap/support/notes/1695489","1695489")</f>
        <v>1695489</v>
      </c>
      <c r="E2972">
        <v>3</v>
      </c>
      <c r="F2972" t="s">
        <v>3559</v>
      </c>
    </row>
    <row r="2973" spans="1:6" x14ac:dyDescent="0.25">
      <c r="A2973" t="s">
        <v>3223</v>
      </c>
      <c r="B2973" t="s">
        <v>175</v>
      </c>
      <c r="C2973" t="s">
        <v>176</v>
      </c>
      <c r="D2973" t="str">
        <f>HYPERLINK("http://service.sap.com/sap/support/notes/1698693","1698693")</f>
        <v>1698693</v>
      </c>
      <c r="E2973">
        <v>3</v>
      </c>
      <c r="F2973" t="s">
        <v>3560</v>
      </c>
    </row>
    <row r="2974" spans="1:6" x14ac:dyDescent="0.25">
      <c r="A2974" t="s">
        <v>3223</v>
      </c>
      <c r="B2974" t="s">
        <v>175</v>
      </c>
      <c r="C2974" t="s">
        <v>176</v>
      </c>
      <c r="D2974" t="str">
        <f>HYPERLINK("http://service.sap.com/sap/support/notes/1699962","1699962")</f>
        <v>1699962</v>
      </c>
      <c r="E2974">
        <v>3</v>
      </c>
      <c r="F2974" t="s">
        <v>3561</v>
      </c>
    </row>
    <row r="2975" spans="1:6" x14ac:dyDescent="0.25">
      <c r="A2975" t="s">
        <v>3223</v>
      </c>
      <c r="B2975" t="s">
        <v>175</v>
      </c>
      <c r="C2975" t="s">
        <v>176</v>
      </c>
      <c r="D2975" t="str">
        <f>HYPERLINK("http://service.sap.com/sap/support/notes/1703989","1703989")</f>
        <v>1703989</v>
      </c>
      <c r="E2975">
        <v>5</v>
      </c>
      <c r="F2975" t="s">
        <v>3562</v>
      </c>
    </row>
    <row r="2976" spans="1:6" x14ac:dyDescent="0.25">
      <c r="A2976" t="s">
        <v>3223</v>
      </c>
      <c r="B2976" t="s">
        <v>177</v>
      </c>
      <c r="C2976" t="s">
        <v>178</v>
      </c>
      <c r="D2976" t="str">
        <f>HYPERLINK("http://service.sap.com/sap/support/notes/1677449","1677449")</f>
        <v>1677449</v>
      </c>
      <c r="E2976">
        <v>6</v>
      </c>
      <c r="F2976" t="s">
        <v>3563</v>
      </c>
    </row>
    <row r="2977" spans="1:6" x14ac:dyDescent="0.25">
      <c r="A2977" t="s">
        <v>3223</v>
      </c>
      <c r="B2977" t="s">
        <v>177</v>
      </c>
      <c r="C2977" t="s">
        <v>178</v>
      </c>
      <c r="D2977" t="str">
        <f>HYPERLINK("http://service.sap.com/sap/support/notes/1677814","1677814")</f>
        <v>1677814</v>
      </c>
      <c r="E2977">
        <v>3</v>
      </c>
      <c r="F2977" t="s">
        <v>3564</v>
      </c>
    </row>
    <row r="2978" spans="1:6" x14ac:dyDescent="0.25">
      <c r="A2978" t="s">
        <v>3223</v>
      </c>
      <c r="B2978" t="s">
        <v>177</v>
      </c>
      <c r="C2978" t="s">
        <v>178</v>
      </c>
      <c r="D2978" t="str">
        <f>HYPERLINK("http://service.sap.com/sap/support/notes/1691496","1691496")</f>
        <v>1691496</v>
      </c>
      <c r="E2978">
        <v>1</v>
      </c>
      <c r="F2978" t="s">
        <v>3565</v>
      </c>
    </row>
    <row r="2979" spans="1:6" x14ac:dyDescent="0.25">
      <c r="A2979" t="s">
        <v>3223</v>
      </c>
      <c r="B2979" t="s">
        <v>177</v>
      </c>
      <c r="C2979" t="s">
        <v>178</v>
      </c>
      <c r="D2979" t="str">
        <f>HYPERLINK("http://service.sap.com/sap/support/notes/1697137","1697137")</f>
        <v>1697137</v>
      </c>
      <c r="E2979">
        <v>2</v>
      </c>
      <c r="F2979" t="s">
        <v>3566</v>
      </c>
    </row>
    <row r="2980" spans="1:6" x14ac:dyDescent="0.25">
      <c r="A2980" t="s">
        <v>3223</v>
      </c>
      <c r="B2980" t="s">
        <v>177</v>
      </c>
      <c r="C2980" t="s">
        <v>178</v>
      </c>
      <c r="D2980" t="str">
        <f>HYPERLINK("http://service.sap.com/sap/support/notes/1697140","1697140")</f>
        <v>1697140</v>
      </c>
      <c r="E2980">
        <v>4</v>
      </c>
      <c r="F2980" t="s">
        <v>3567</v>
      </c>
    </row>
    <row r="2981" spans="1:6" x14ac:dyDescent="0.25">
      <c r="A2981" t="s">
        <v>3223</v>
      </c>
      <c r="B2981" t="s">
        <v>177</v>
      </c>
      <c r="C2981" t="s">
        <v>178</v>
      </c>
      <c r="D2981" t="str">
        <f>HYPERLINK("http://service.sap.com/sap/support/notes/1698651","1698651")</f>
        <v>1698651</v>
      </c>
      <c r="E2981">
        <v>3</v>
      </c>
      <c r="F2981" t="s">
        <v>3568</v>
      </c>
    </row>
    <row r="2982" spans="1:6" x14ac:dyDescent="0.25">
      <c r="A2982" t="s">
        <v>3223</v>
      </c>
      <c r="B2982" t="s">
        <v>177</v>
      </c>
      <c r="C2982" t="s">
        <v>178</v>
      </c>
      <c r="D2982" t="str">
        <f>HYPERLINK("http://service.sap.com/sap/support/notes/1700171","1700171")</f>
        <v>1700171</v>
      </c>
      <c r="E2982">
        <v>2</v>
      </c>
      <c r="F2982" t="s">
        <v>3569</v>
      </c>
    </row>
    <row r="2983" spans="1:6" x14ac:dyDescent="0.25">
      <c r="A2983" t="s">
        <v>3223</v>
      </c>
      <c r="B2983" t="s">
        <v>177</v>
      </c>
      <c r="C2983" t="s">
        <v>178</v>
      </c>
      <c r="D2983" t="str">
        <f>HYPERLINK("http://service.sap.com/sap/support/notes/1703423","1703423")</f>
        <v>1703423</v>
      </c>
      <c r="E2983">
        <v>5</v>
      </c>
      <c r="F2983" t="s">
        <v>3570</v>
      </c>
    </row>
    <row r="2984" spans="1:6" x14ac:dyDescent="0.25">
      <c r="A2984" t="s">
        <v>3223</v>
      </c>
      <c r="B2984" t="s">
        <v>177</v>
      </c>
      <c r="C2984" t="s">
        <v>178</v>
      </c>
      <c r="D2984" t="str">
        <f>HYPERLINK("http://service.sap.com/sap/support/notes/1704028","1704028")</f>
        <v>1704028</v>
      </c>
      <c r="E2984">
        <v>9</v>
      </c>
      <c r="F2984" t="s">
        <v>3571</v>
      </c>
    </row>
    <row r="2985" spans="1:6" x14ac:dyDescent="0.25">
      <c r="A2985" t="s">
        <v>3223</v>
      </c>
      <c r="B2985" t="s">
        <v>177</v>
      </c>
      <c r="C2985" t="s">
        <v>178</v>
      </c>
      <c r="D2985" t="str">
        <f>HYPERLINK("http://service.sap.com/sap/support/notes/1706504","1706504")</f>
        <v>1706504</v>
      </c>
      <c r="E2985">
        <v>1</v>
      </c>
      <c r="F2985" t="s">
        <v>3572</v>
      </c>
    </row>
    <row r="2986" spans="1:6" x14ac:dyDescent="0.25">
      <c r="A2986" t="s">
        <v>3223</v>
      </c>
      <c r="B2986" t="s">
        <v>177</v>
      </c>
      <c r="C2986" t="s">
        <v>178</v>
      </c>
      <c r="D2986" t="str">
        <f>HYPERLINK("http://service.sap.com/sap/support/notes/1707245","1707245")</f>
        <v>1707245</v>
      </c>
      <c r="E2986">
        <v>1</v>
      </c>
      <c r="F2986" t="s">
        <v>3573</v>
      </c>
    </row>
    <row r="2987" spans="1:6" x14ac:dyDescent="0.25">
      <c r="A2987" t="s">
        <v>3223</v>
      </c>
      <c r="B2987" t="s">
        <v>179</v>
      </c>
      <c r="C2987" t="s">
        <v>180</v>
      </c>
      <c r="D2987" t="str">
        <f>HYPERLINK("http://service.sap.com/sap/support/notes/1691638","1691638")</f>
        <v>1691638</v>
      </c>
      <c r="E2987">
        <v>1</v>
      </c>
      <c r="F2987" t="s">
        <v>3184</v>
      </c>
    </row>
    <row r="2988" spans="1:6" x14ac:dyDescent="0.25">
      <c r="A2988" t="s">
        <v>3223</v>
      </c>
      <c r="B2988" t="s">
        <v>179</v>
      </c>
      <c r="C2988" t="s">
        <v>180</v>
      </c>
      <c r="D2988" t="str">
        <f>HYPERLINK("http://service.sap.com/sap/support/notes/1692626","1692626")</f>
        <v>1692626</v>
      </c>
      <c r="E2988">
        <v>1</v>
      </c>
      <c r="F2988" t="s">
        <v>3185</v>
      </c>
    </row>
    <row r="2989" spans="1:6" x14ac:dyDescent="0.25">
      <c r="A2989" t="s">
        <v>3223</v>
      </c>
      <c r="B2989" t="s">
        <v>179</v>
      </c>
      <c r="C2989" t="s">
        <v>180</v>
      </c>
      <c r="D2989" t="str">
        <f>HYPERLINK("http://service.sap.com/sap/support/notes/1696380","1696380")</f>
        <v>1696380</v>
      </c>
      <c r="E2989">
        <v>1</v>
      </c>
      <c r="F2989" t="s">
        <v>3574</v>
      </c>
    </row>
    <row r="2990" spans="1:6" x14ac:dyDescent="0.25">
      <c r="A2990" t="s">
        <v>3223</v>
      </c>
      <c r="B2990" t="s">
        <v>179</v>
      </c>
      <c r="C2990" t="s">
        <v>180</v>
      </c>
      <c r="D2990" t="str">
        <f>HYPERLINK("http://service.sap.com/sap/support/notes/1698750","1698750")</f>
        <v>1698750</v>
      </c>
      <c r="E2990">
        <v>1</v>
      </c>
      <c r="F2990" t="s">
        <v>3575</v>
      </c>
    </row>
    <row r="2991" spans="1:6" x14ac:dyDescent="0.25">
      <c r="A2991" t="s">
        <v>3223</v>
      </c>
      <c r="B2991" t="s">
        <v>179</v>
      </c>
      <c r="C2991" t="s">
        <v>180</v>
      </c>
      <c r="D2991" t="str">
        <f>HYPERLINK("http://service.sap.com/sap/support/notes/1698788","1698788")</f>
        <v>1698788</v>
      </c>
      <c r="E2991">
        <v>1</v>
      </c>
      <c r="F2991" t="s">
        <v>3576</v>
      </c>
    </row>
    <row r="2992" spans="1:6" x14ac:dyDescent="0.25">
      <c r="A2992" t="s">
        <v>3223</v>
      </c>
      <c r="B2992" t="s">
        <v>179</v>
      </c>
      <c r="C2992" t="s">
        <v>180</v>
      </c>
      <c r="D2992" t="str">
        <f>HYPERLINK("http://service.sap.com/sap/support/notes/1701886","1701886")</f>
        <v>1701886</v>
      </c>
      <c r="E2992">
        <v>1</v>
      </c>
      <c r="F2992" t="s">
        <v>3577</v>
      </c>
    </row>
    <row r="2993" spans="1:6" x14ac:dyDescent="0.25">
      <c r="A2993" t="s">
        <v>3223</v>
      </c>
      <c r="B2993" t="s">
        <v>179</v>
      </c>
      <c r="C2993" t="s">
        <v>180</v>
      </c>
      <c r="D2993" t="str">
        <f>HYPERLINK("http://service.sap.com/sap/support/notes/1702750","1702750")</f>
        <v>1702750</v>
      </c>
      <c r="E2993">
        <v>2</v>
      </c>
      <c r="F2993" t="s">
        <v>3578</v>
      </c>
    </row>
    <row r="2994" spans="1:6" x14ac:dyDescent="0.25">
      <c r="A2994" t="s">
        <v>3223</v>
      </c>
      <c r="B2994" t="s">
        <v>179</v>
      </c>
      <c r="C2994" t="s">
        <v>180</v>
      </c>
      <c r="D2994" t="str">
        <f>HYPERLINK("http://service.sap.com/sap/support/notes/1707334","1707334")</f>
        <v>1707334</v>
      </c>
      <c r="E2994">
        <v>1</v>
      </c>
      <c r="F2994" t="s">
        <v>3579</v>
      </c>
    </row>
    <row r="2995" spans="1:6" x14ac:dyDescent="0.25">
      <c r="A2995" t="s">
        <v>3223</v>
      </c>
      <c r="B2995" t="s">
        <v>179</v>
      </c>
      <c r="C2995" t="s">
        <v>180</v>
      </c>
      <c r="D2995" t="str">
        <f>HYPERLINK("http://service.sap.com/sap/support/notes/1708900","1708900")</f>
        <v>1708900</v>
      </c>
      <c r="E2995">
        <v>3</v>
      </c>
      <c r="F2995" t="s">
        <v>3580</v>
      </c>
    </row>
    <row r="2996" spans="1:6" x14ac:dyDescent="0.25">
      <c r="A2996" t="s">
        <v>3223</v>
      </c>
      <c r="B2996" t="s">
        <v>179</v>
      </c>
      <c r="C2996" t="s">
        <v>180</v>
      </c>
      <c r="D2996" t="str">
        <f>HYPERLINK("http://service.sap.com/sap/support/notes/1710550","1710550")</f>
        <v>1710550</v>
      </c>
      <c r="E2996">
        <v>1</v>
      </c>
      <c r="F2996" t="s">
        <v>3581</v>
      </c>
    </row>
    <row r="2997" spans="1:6" x14ac:dyDescent="0.25">
      <c r="A2997" t="s">
        <v>3223</v>
      </c>
      <c r="B2997" t="s">
        <v>181</v>
      </c>
      <c r="C2997" t="s">
        <v>182</v>
      </c>
      <c r="D2997" t="str">
        <f>HYPERLINK("http://service.sap.com/sap/support/notes/1665527","1665527")</f>
        <v>1665527</v>
      </c>
      <c r="E2997">
        <v>3</v>
      </c>
      <c r="F2997" t="s">
        <v>3582</v>
      </c>
    </row>
    <row r="2998" spans="1:6" x14ac:dyDescent="0.25">
      <c r="A2998" t="s">
        <v>3223</v>
      </c>
      <c r="B2998" t="s">
        <v>181</v>
      </c>
      <c r="C2998" t="s">
        <v>182</v>
      </c>
      <c r="D2998" t="str">
        <f>HYPERLINK("http://service.sap.com/sap/support/notes/1693350","1693350")</f>
        <v>1693350</v>
      </c>
      <c r="E2998">
        <v>1</v>
      </c>
      <c r="F2998" t="s">
        <v>3583</v>
      </c>
    </row>
    <row r="2999" spans="1:6" x14ac:dyDescent="0.25">
      <c r="A2999" t="s">
        <v>3223</v>
      </c>
      <c r="B2999" t="s">
        <v>181</v>
      </c>
      <c r="C2999" t="s">
        <v>182</v>
      </c>
      <c r="D2999" t="str">
        <f>HYPERLINK("http://service.sap.com/sap/support/notes/1705282","1705282")</f>
        <v>1705282</v>
      </c>
      <c r="E2999">
        <v>1</v>
      </c>
      <c r="F2999" t="s">
        <v>3584</v>
      </c>
    </row>
    <row r="3000" spans="1:6" x14ac:dyDescent="0.25">
      <c r="A3000" t="s">
        <v>3223</v>
      </c>
      <c r="B3000" t="s">
        <v>181</v>
      </c>
      <c r="C3000" t="s">
        <v>182</v>
      </c>
      <c r="D3000" t="str">
        <f>HYPERLINK("http://service.sap.com/sap/support/notes/1706086","1706086")</f>
        <v>1706086</v>
      </c>
      <c r="E3000">
        <v>1</v>
      </c>
      <c r="F3000" t="s">
        <v>3189</v>
      </c>
    </row>
    <row r="3001" spans="1:6" x14ac:dyDescent="0.25">
      <c r="A3001" t="s">
        <v>3223</v>
      </c>
      <c r="B3001" t="s">
        <v>181</v>
      </c>
      <c r="C3001" t="s">
        <v>182</v>
      </c>
      <c r="D3001" t="str">
        <f>HYPERLINK("http://service.sap.com/sap/support/notes/1709171","1709171")</f>
        <v>1709171</v>
      </c>
      <c r="E3001">
        <v>2</v>
      </c>
      <c r="F3001" t="s">
        <v>3585</v>
      </c>
    </row>
    <row r="3002" spans="1:6" x14ac:dyDescent="0.25">
      <c r="A3002" t="s">
        <v>3223</v>
      </c>
      <c r="B3002" t="s">
        <v>185</v>
      </c>
      <c r="C3002" t="s">
        <v>186</v>
      </c>
      <c r="D3002" t="str">
        <f>HYPERLINK("http://service.sap.com/sap/support/notes/1669728","1669728")</f>
        <v>1669728</v>
      </c>
      <c r="E3002">
        <v>2</v>
      </c>
      <c r="F3002" t="s">
        <v>2448</v>
      </c>
    </row>
    <row r="3003" spans="1:6" x14ac:dyDescent="0.25">
      <c r="A3003" t="s">
        <v>3223</v>
      </c>
      <c r="B3003" t="s">
        <v>185</v>
      </c>
      <c r="C3003" t="s">
        <v>186</v>
      </c>
      <c r="D3003" t="str">
        <f>HYPERLINK("http://service.sap.com/sap/support/notes/1705591","1705591")</f>
        <v>1705591</v>
      </c>
      <c r="E3003">
        <v>1</v>
      </c>
      <c r="F3003" t="s">
        <v>3586</v>
      </c>
    </row>
    <row r="3004" spans="1:6" x14ac:dyDescent="0.25">
      <c r="A3004" t="s">
        <v>3223</v>
      </c>
      <c r="B3004" t="s">
        <v>187</v>
      </c>
      <c r="C3004" t="s">
        <v>82</v>
      </c>
      <c r="D3004" t="str">
        <f>HYPERLINK("http://service.sap.com/sap/support/notes/1697342","1697342")</f>
        <v>1697342</v>
      </c>
      <c r="E3004">
        <v>1</v>
      </c>
      <c r="F3004" t="s">
        <v>3587</v>
      </c>
    </row>
    <row r="3005" spans="1:6" x14ac:dyDescent="0.25">
      <c r="A3005" t="s">
        <v>3223</v>
      </c>
      <c r="B3005" t="s">
        <v>187</v>
      </c>
      <c r="C3005" t="s">
        <v>82</v>
      </c>
      <c r="D3005" t="str">
        <f>HYPERLINK("http://service.sap.com/sap/support/notes/1704766","1704766")</f>
        <v>1704766</v>
      </c>
      <c r="E3005">
        <v>1</v>
      </c>
      <c r="F3005" t="s">
        <v>3588</v>
      </c>
    </row>
    <row r="3006" spans="1:6" x14ac:dyDescent="0.25">
      <c r="A3006" t="s">
        <v>3223</v>
      </c>
      <c r="B3006" t="s">
        <v>188</v>
      </c>
      <c r="C3006" t="s">
        <v>60</v>
      </c>
      <c r="D3006" t="str">
        <f>HYPERLINK("http://service.sap.com/sap/support/notes/1671216","1671216")</f>
        <v>1671216</v>
      </c>
      <c r="E3006">
        <v>2</v>
      </c>
      <c r="F3006" t="s">
        <v>3589</v>
      </c>
    </row>
    <row r="3007" spans="1:6" x14ac:dyDescent="0.25">
      <c r="A3007" t="s">
        <v>3223</v>
      </c>
      <c r="B3007" t="s">
        <v>188</v>
      </c>
      <c r="C3007" t="s">
        <v>60</v>
      </c>
      <c r="D3007" t="str">
        <f>HYPERLINK("http://service.sap.com/sap/support/notes/1682338","1682338")</f>
        <v>1682338</v>
      </c>
      <c r="E3007">
        <v>2</v>
      </c>
      <c r="F3007" t="s">
        <v>3590</v>
      </c>
    </row>
    <row r="3008" spans="1:6" x14ac:dyDescent="0.25">
      <c r="A3008" t="s">
        <v>3223</v>
      </c>
      <c r="B3008" t="s">
        <v>189</v>
      </c>
      <c r="C3008" t="s">
        <v>190</v>
      </c>
      <c r="D3008" t="str">
        <f>HYPERLINK("http://service.sap.com/sap/support/notes/1705156","1705156")</f>
        <v>1705156</v>
      </c>
      <c r="E3008">
        <v>3</v>
      </c>
      <c r="F3008" t="s">
        <v>3591</v>
      </c>
    </row>
    <row r="3009" spans="1:6" x14ac:dyDescent="0.25">
      <c r="A3009" t="s">
        <v>3223</v>
      </c>
      <c r="B3009" t="s">
        <v>189</v>
      </c>
      <c r="C3009" t="s">
        <v>190</v>
      </c>
      <c r="D3009" t="str">
        <f>HYPERLINK("http://service.sap.com/sap/support/notes/1709475","1709475")</f>
        <v>1709475</v>
      </c>
      <c r="E3009">
        <v>2</v>
      </c>
      <c r="F3009" t="s">
        <v>3592</v>
      </c>
    </row>
    <row r="3010" spans="1:6" x14ac:dyDescent="0.25">
      <c r="A3010" t="s">
        <v>3223</v>
      </c>
      <c r="B3010" t="s">
        <v>191</v>
      </c>
      <c r="C3010" t="s">
        <v>62</v>
      </c>
      <c r="D3010" t="str">
        <f>HYPERLINK("http://service.sap.com/sap/support/notes/1512727","1512727")</f>
        <v>1512727</v>
      </c>
      <c r="E3010">
        <v>4</v>
      </c>
      <c r="F3010" t="s">
        <v>3202</v>
      </c>
    </row>
    <row r="3011" spans="1:6" x14ac:dyDescent="0.25">
      <c r="A3011" t="s">
        <v>3223</v>
      </c>
      <c r="B3011" t="s">
        <v>191</v>
      </c>
      <c r="C3011" t="s">
        <v>62</v>
      </c>
      <c r="D3011" t="str">
        <f>HYPERLINK("http://service.sap.com/sap/support/notes/1697481","1697481")</f>
        <v>1697481</v>
      </c>
      <c r="E3011">
        <v>1</v>
      </c>
      <c r="F3011" t="s">
        <v>3593</v>
      </c>
    </row>
    <row r="3012" spans="1:6" x14ac:dyDescent="0.25">
      <c r="A3012" t="s">
        <v>3223</v>
      </c>
      <c r="B3012" t="s">
        <v>386</v>
      </c>
      <c r="C3012" t="s">
        <v>115</v>
      </c>
    </row>
    <row r="3013" spans="1:6" x14ac:dyDescent="0.25">
      <c r="A3013" t="s">
        <v>3223</v>
      </c>
      <c r="B3013" t="s">
        <v>1701</v>
      </c>
      <c r="C3013" t="s">
        <v>3594</v>
      </c>
      <c r="D3013" t="str">
        <f>HYPERLINK("http://service.sap.com/sap/support/notes/1676634","1676634")</f>
        <v>1676634</v>
      </c>
      <c r="E3013">
        <v>6</v>
      </c>
      <c r="F3013" t="s">
        <v>3595</v>
      </c>
    </row>
    <row r="3014" spans="1:6" x14ac:dyDescent="0.25">
      <c r="A3014" t="s">
        <v>3223</v>
      </c>
      <c r="B3014" t="s">
        <v>195</v>
      </c>
      <c r="C3014" t="s">
        <v>132</v>
      </c>
      <c r="D3014" t="str">
        <f>HYPERLINK("http://service.sap.com/sap/support/notes/1697080","1697080")</f>
        <v>1697080</v>
      </c>
      <c r="E3014">
        <v>2</v>
      </c>
      <c r="F3014" t="s">
        <v>3596</v>
      </c>
    </row>
    <row r="3015" spans="1:6" x14ac:dyDescent="0.25">
      <c r="A3015" t="s">
        <v>3223</v>
      </c>
      <c r="B3015" t="s">
        <v>196</v>
      </c>
      <c r="C3015" t="s">
        <v>197</v>
      </c>
      <c r="D3015" t="str">
        <f>HYPERLINK("http://service.sap.com/sap/support/notes/1689515","1689515")</f>
        <v>1689515</v>
      </c>
      <c r="E3015">
        <v>6</v>
      </c>
      <c r="F3015" t="s">
        <v>3597</v>
      </c>
    </row>
    <row r="3016" spans="1:6" x14ac:dyDescent="0.25">
      <c r="A3016" t="s">
        <v>3223</v>
      </c>
      <c r="B3016" t="s">
        <v>196</v>
      </c>
      <c r="C3016" t="s">
        <v>197</v>
      </c>
      <c r="D3016" t="str">
        <f>HYPERLINK("http://service.sap.com/sap/support/notes/1690187","1690187")</f>
        <v>1690187</v>
      </c>
      <c r="E3016">
        <v>1</v>
      </c>
      <c r="F3016" t="s">
        <v>3598</v>
      </c>
    </row>
    <row r="3017" spans="1:6" x14ac:dyDescent="0.25">
      <c r="A3017" t="s">
        <v>3223</v>
      </c>
      <c r="B3017" t="s">
        <v>196</v>
      </c>
      <c r="C3017" t="s">
        <v>197</v>
      </c>
      <c r="D3017" t="str">
        <f>HYPERLINK("http://service.sap.com/sap/support/notes/1694285","1694285")</f>
        <v>1694285</v>
      </c>
      <c r="E3017">
        <v>4</v>
      </c>
      <c r="F3017" t="s">
        <v>3599</v>
      </c>
    </row>
    <row r="3018" spans="1:6" x14ac:dyDescent="0.25">
      <c r="A3018" t="s">
        <v>3223</v>
      </c>
      <c r="B3018" t="s">
        <v>196</v>
      </c>
      <c r="C3018" t="s">
        <v>197</v>
      </c>
      <c r="D3018" t="str">
        <f>HYPERLINK("http://service.sap.com/sap/support/notes/1694383","1694383")</f>
        <v>1694383</v>
      </c>
      <c r="E3018">
        <v>2</v>
      </c>
      <c r="F3018" t="s">
        <v>3600</v>
      </c>
    </row>
    <row r="3019" spans="1:6" x14ac:dyDescent="0.25">
      <c r="A3019" t="s">
        <v>3223</v>
      </c>
      <c r="B3019" t="s">
        <v>196</v>
      </c>
      <c r="C3019" t="s">
        <v>197</v>
      </c>
      <c r="D3019" t="str">
        <f>HYPERLINK("http://service.sap.com/sap/support/notes/1697581","1697581")</f>
        <v>1697581</v>
      </c>
      <c r="E3019">
        <v>2</v>
      </c>
      <c r="F3019" t="s">
        <v>3601</v>
      </c>
    </row>
    <row r="3020" spans="1:6" x14ac:dyDescent="0.25">
      <c r="A3020" t="s">
        <v>3223</v>
      </c>
      <c r="B3020" t="s">
        <v>196</v>
      </c>
      <c r="C3020" t="s">
        <v>197</v>
      </c>
      <c r="D3020" t="str">
        <f>HYPERLINK("http://service.sap.com/sap/support/notes/1703821","1703821")</f>
        <v>1703821</v>
      </c>
      <c r="E3020">
        <v>1</v>
      </c>
      <c r="F3020" t="s">
        <v>3602</v>
      </c>
    </row>
    <row r="3021" spans="1:6" x14ac:dyDescent="0.25">
      <c r="A3021" t="s">
        <v>3223</v>
      </c>
      <c r="B3021" t="s">
        <v>196</v>
      </c>
      <c r="C3021" t="s">
        <v>197</v>
      </c>
      <c r="D3021" t="str">
        <f>HYPERLINK("http://service.sap.com/sap/support/notes/1705134","1705134")</f>
        <v>1705134</v>
      </c>
      <c r="E3021">
        <v>1</v>
      </c>
      <c r="F3021" t="s">
        <v>3603</v>
      </c>
    </row>
    <row r="3022" spans="1:6" x14ac:dyDescent="0.25">
      <c r="A3022" t="s">
        <v>3223</v>
      </c>
      <c r="B3022" t="s">
        <v>198</v>
      </c>
      <c r="C3022" t="s">
        <v>199</v>
      </c>
      <c r="D3022" t="str">
        <f>HYPERLINK("http://service.sap.com/sap/support/notes/1700027","1700027")</f>
        <v>1700027</v>
      </c>
      <c r="E3022">
        <v>3</v>
      </c>
      <c r="F3022" t="s">
        <v>3604</v>
      </c>
    </row>
    <row r="3023" spans="1:6" x14ac:dyDescent="0.25">
      <c r="A3023" t="s">
        <v>3223</v>
      </c>
      <c r="B3023" t="s">
        <v>198</v>
      </c>
      <c r="C3023" t="s">
        <v>199</v>
      </c>
      <c r="D3023" t="str">
        <f>HYPERLINK("http://service.sap.com/sap/support/notes/1702383","1702383")</f>
        <v>1702383</v>
      </c>
      <c r="E3023">
        <v>5</v>
      </c>
      <c r="F3023" t="s">
        <v>3605</v>
      </c>
    </row>
    <row r="3024" spans="1:6" x14ac:dyDescent="0.25">
      <c r="A3024" t="s">
        <v>3223</v>
      </c>
      <c r="B3024" t="s">
        <v>205</v>
      </c>
      <c r="C3024" t="s">
        <v>206</v>
      </c>
      <c r="D3024" t="str">
        <f>HYPERLINK("http://service.sap.com/sap/support/notes/1592323","1592323")</f>
        <v>1592323</v>
      </c>
      <c r="E3024">
        <v>6</v>
      </c>
      <c r="F3024" t="s">
        <v>3606</v>
      </c>
    </row>
    <row r="3025" spans="1:6" x14ac:dyDescent="0.25">
      <c r="A3025" t="s">
        <v>3223</v>
      </c>
      <c r="B3025" t="s">
        <v>205</v>
      </c>
      <c r="C3025" t="s">
        <v>206</v>
      </c>
      <c r="D3025" t="str">
        <f>HYPERLINK("http://service.sap.com/sap/support/notes/1681751","1681751")</f>
        <v>1681751</v>
      </c>
      <c r="E3025">
        <v>6</v>
      </c>
      <c r="F3025" t="s">
        <v>3607</v>
      </c>
    </row>
    <row r="3026" spans="1:6" x14ac:dyDescent="0.25">
      <c r="A3026" t="s">
        <v>3223</v>
      </c>
      <c r="B3026" t="s">
        <v>205</v>
      </c>
      <c r="C3026" t="s">
        <v>206</v>
      </c>
      <c r="D3026" t="str">
        <f>HYPERLINK("http://service.sap.com/sap/support/notes/1697775","1697775")</f>
        <v>1697775</v>
      </c>
      <c r="E3026">
        <v>1</v>
      </c>
      <c r="F3026" t="s">
        <v>3608</v>
      </c>
    </row>
    <row r="3027" spans="1:6" x14ac:dyDescent="0.25">
      <c r="A3027" t="s">
        <v>3223</v>
      </c>
      <c r="B3027" t="s">
        <v>205</v>
      </c>
      <c r="C3027" t="s">
        <v>206</v>
      </c>
      <c r="D3027" t="str">
        <f>HYPERLINK("http://service.sap.com/sap/support/notes/1698890","1698890")</f>
        <v>1698890</v>
      </c>
      <c r="E3027">
        <v>1</v>
      </c>
      <c r="F3027" t="s">
        <v>3609</v>
      </c>
    </row>
    <row r="3028" spans="1:6" x14ac:dyDescent="0.25">
      <c r="A3028" t="s">
        <v>3223</v>
      </c>
      <c r="B3028" t="s">
        <v>205</v>
      </c>
      <c r="C3028" t="s">
        <v>206</v>
      </c>
      <c r="D3028" t="str">
        <f>HYPERLINK("http://service.sap.com/sap/support/notes/1699772","1699772")</f>
        <v>1699772</v>
      </c>
      <c r="E3028">
        <v>1</v>
      </c>
      <c r="F3028" t="s">
        <v>3610</v>
      </c>
    </row>
    <row r="3029" spans="1:6" x14ac:dyDescent="0.25">
      <c r="A3029" t="s">
        <v>3223</v>
      </c>
      <c r="B3029" t="s">
        <v>205</v>
      </c>
      <c r="C3029" t="s">
        <v>206</v>
      </c>
      <c r="D3029" t="str">
        <f>HYPERLINK("http://service.sap.com/sap/support/notes/1702130","1702130")</f>
        <v>1702130</v>
      </c>
      <c r="E3029">
        <v>1</v>
      </c>
      <c r="F3029" t="s">
        <v>3611</v>
      </c>
    </row>
    <row r="3030" spans="1:6" x14ac:dyDescent="0.25">
      <c r="A3030" t="s">
        <v>3223</v>
      </c>
      <c r="B3030" t="s">
        <v>205</v>
      </c>
      <c r="C3030" t="s">
        <v>206</v>
      </c>
      <c r="D3030" t="str">
        <f>HYPERLINK("http://service.sap.com/sap/support/notes/1702241","1702241")</f>
        <v>1702241</v>
      </c>
      <c r="E3030">
        <v>1</v>
      </c>
      <c r="F3030" t="s">
        <v>3612</v>
      </c>
    </row>
    <row r="3031" spans="1:6" x14ac:dyDescent="0.25">
      <c r="A3031" t="s">
        <v>3613</v>
      </c>
      <c r="B3031" t="s">
        <v>212</v>
      </c>
      <c r="C3031" t="s">
        <v>361</v>
      </c>
    </row>
    <row r="3032" spans="1:6" x14ac:dyDescent="0.25">
      <c r="A3032" t="s">
        <v>3613</v>
      </c>
      <c r="B3032" t="s">
        <v>213</v>
      </c>
      <c r="C3032" t="s">
        <v>362</v>
      </c>
    </row>
    <row r="3033" spans="1:6" x14ac:dyDescent="0.25">
      <c r="A3033" t="s">
        <v>3613</v>
      </c>
      <c r="B3033" t="s">
        <v>214</v>
      </c>
      <c r="C3033" t="s">
        <v>215</v>
      </c>
      <c r="D3033" t="str">
        <f>HYPERLINK("http://service.sap.com/sap/support/notes/1688791","1688791")</f>
        <v>1688791</v>
      </c>
      <c r="E3033">
        <v>2</v>
      </c>
      <c r="F3033" t="s">
        <v>3614</v>
      </c>
    </row>
    <row r="3034" spans="1:6" x14ac:dyDescent="0.25">
      <c r="A3034" t="s">
        <v>3613</v>
      </c>
      <c r="B3034" t="s">
        <v>214</v>
      </c>
      <c r="C3034" t="s">
        <v>215</v>
      </c>
      <c r="D3034" t="str">
        <f>HYPERLINK("http://service.sap.com/sap/support/notes/1716171","1716171")</f>
        <v>1716171</v>
      </c>
      <c r="E3034">
        <v>1</v>
      </c>
      <c r="F3034" t="s">
        <v>3615</v>
      </c>
    </row>
    <row r="3035" spans="1:6" x14ac:dyDescent="0.25">
      <c r="A3035" t="s">
        <v>3613</v>
      </c>
      <c r="B3035" t="s">
        <v>216</v>
      </c>
      <c r="C3035" t="s">
        <v>217</v>
      </c>
      <c r="D3035" t="str">
        <f>HYPERLINK("http://service.sap.com/sap/support/notes/1231308","1231308")</f>
        <v>1231308</v>
      </c>
      <c r="E3035">
        <v>4</v>
      </c>
      <c r="F3035" t="s">
        <v>3616</v>
      </c>
    </row>
    <row r="3036" spans="1:6" x14ac:dyDescent="0.25">
      <c r="A3036" t="s">
        <v>3613</v>
      </c>
      <c r="B3036" t="s">
        <v>5</v>
      </c>
      <c r="C3036" t="s">
        <v>6</v>
      </c>
    </row>
    <row r="3037" spans="1:6" x14ac:dyDescent="0.25">
      <c r="A3037" t="s">
        <v>3613</v>
      </c>
      <c r="B3037" t="s">
        <v>7</v>
      </c>
      <c r="C3037" t="s">
        <v>8</v>
      </c>
    </row>
    <row r="3038" spans="1:6" x14ac:dyDescent="0.25">
      <c r="A3038" t="s">
        <v>3613</v>
      </c>
      <c r="B3038" t="s">
        <v>218</v>
      </c>
      <c r="C3038" t="s">
        <v>219</v>
      </c>
      <c r="D3038" t="str">
        <f>HYPERLINK("http://service.sap.com/sap/support/notes/1674398","1674398")</f>
        <v>1674398</v>
      </c>
      <c r="E3038">
        <v>1</v>
      </c>
      <c r="F3038" t="s">
        <v>3617</v>
      </c>
    </row>
    <row r="3039" spans="1:6" x14ac:dyDescent="0.25">
      <c r="A3039" t="s">
        <v>3613</v>
      </c>
      <c r="B3039" t="s">
        <v>15</v>
      </c>
      <c r="C3039" t="s">
        <v>16</v>
      </c>
    </row>
    <row r="3040" spans="1:6" x14ac:dyDescent="0.25">
      <c r="A3040" t="s">
        <v>3613</v>
      </c>
      <c r="B3040" t="s">
        <v>17</v>
      </c>
      <c r="C3040" t="s">
        <v>18</v>
      </c>
    </row>
    <row r="3041" spans="1:6" x14ac:dyDescent="0.25">
      <c r="A3041" t="s">
        <v>3613</v>
      </c>
      <c r="B3041" t="s">
        <v>19</v>
      </c>
      <c r="C3041" t="s">
        <v>20</v>
      </c>
      <c r="D3041" t="str">
        <f>HYPERLINK("http://service.sap.com/sap/support/notes/1709287","1709287")</f>
        <v>1709287</v>
      </c>
      <c r="E3041">
        <v>2</v>
      </c>
      <c r="F3041" t="s">
        <v>3618</v>
      </c>
    </row>
    <row r="3042" spans="1:6" x14ac:dyDescent="0.25">
      <c r="A3042" t="s">
        <v>3613</v>
      </c>
      <c r="B3042" t="s">
        <v>21</v>
      </c>
      <c r="C3042" t="s">
        <v>12</v>
      </c>
    </row>
    <row r="3043" spans="1:6" x14ac:dyDescent="0.25">
      <c r="A3043" t="s">
        <v>3613</v>
      </c>
      <c r="B3043" t="s">
        <v>231</v>
      </c>
      <c r="C3043" t="s">
        <v>232</v>
      </c>
    </row>
    <row r="3044" spans="1:6" x14ac:dyDescent="0.25">
      <c r="A3044" t="s">
        <v>3613</v>
      </c>
      <c r="B3044" t="s">
        <v>233</v>
      </c>
      <c r="C3044" t="s">
        <v>234</v>
      </c>
      <c r="D3044" t="str">
        <f>HYPERLINK("http://service.sap.com/sap/support/notes/1678840","1678840")</f>
        <v>1678840</v>
      </c>
      <c r="E3044">
        <v>1</v>
      </c>
      <c r="F3044" t="s">
        <v>3619</v>
      </c>
    </row>
    <row r="3045" spans="1:6" x14ac:dyDescent="0.25">
      <c r="A3045" t="s">
        <v>3613</v>
      </c>
      <c r="B3045" t="s">
        <v>233</v>
      </c>
      <c r="C3045" t="s">
        <v>234</v>
      </c>
      <c r="D3045" t="str">
        <f>HYPERLINK("http://service.sap.com/sap/support/notes/1679746","1679746")</f>
        <v>1679746</v>
      </c>
      <c r="E3045">
        <v>2</v>
      </c>
      <c r="F3045" t="s">
        <v>3620</v>
      </c>
    </row>
    <row r="3046" spans="1:6" x14ac:dyDescent="0.25">
      <c r="A3046" t="s">
        <v>3613</v>
      </c>
      <c r="B3046" t="s">
        <v>22</v>
      </c>
      <c r="C3046" t="s">
        <v>23</v>
      </c>
      <c r="D3046" t="str">
        <f>HYPERLINK("http://service.sap.com/sap/support/notes/1649436","1649436")</f>
        <v>1649436</v>
      </c>
      <c r="E3046">
        <v>2</v>
      </c>
      <c r="F3046" t="s">
        <v>3621</v>
      </c>
    </row>
    <row r="3047" spans="1:6" x14ac:dyDescent="0.25">
      <c r="A3047" t="s">
        <v>3613</v>
      </c>
      <c r="B3047" t="s">
        <v>22</v>
      </c>
      <c r="C3047" t="s">
        <v>23</v>
      </c>
      <c r="D3047" t="str">
        <f>HYPERLINK("http://service.sap.com/sap/support/notes/1656490","1656490")</f>
        <v>1656490</v>
      </c>
      <c r="E3047">
        <v>1</v>
      </c>
      <c r="F3047" t="s">
        <v>3622</v>
      </c>
    </row>
    <row r="3048" spans="1:6" x14ac:dyDescent="0.25">
      <c r="A3048" t="s">
        <v>3613</v>
      </c>
      <c r="B3048" t="s">
        <v>22</v>
      </c>
      <c r="C3048" t="s">
        <v>23</v>
      </c>
      <c r="D3048" t="str">
        <f>HYPERLINK("http://service.sap.com/sap/support/notes/1659749","1659749")</f>
        <v>1659749</v>
      </c>
      <c r="E3048">
        <v>2</v>
      </c>
      <c r="F3048" t="s">
        <v>3623</v>
      </c>
    </row>
    <row r="3049" spans="1:6" x14ac:dyDescent="0.25">
      <c r="A3049" t="s">
        <v>3613</v>
      </c>
      <c r="B3049" t="s">
        <v>22</v>
      </c>
      <c r="C3049" t="s">
        <v>23</v>
      </c>
      <c r="D3049" t="str">
        <f>HYPERLINK("http://service.sap.com/sap/support/notes/1679481","1679481")</f>
        <v>1679481</v>
      </c>
      <c r="E3049">
        <v>2</v>
      </c>
      <c r="F3049" t="s">
        <v>3624</v>
      </c>
    </row>
    <row r="3050" spans="1:6" x14ac:dyDescent="0.25">
      <c r="A3050" t="s">
        <v>3613</v>
      </c>
      <c r="B3050" t="s">
        <v>411</v>
      </c>
      <c r="C3050" t="s">
        <v>412</v>
      </c>
      <c r="D3050" t="str">
        <f>HYPERLINK("http://service.sap.com/sap/support/notes/1715251","1715251")</f>
        <v>1715251</v>
      </c>
      <c r="E3050">
        <v>1</v>
      </c>
      <c r="F3050" t="s">
        <v>3625</v>
      </c>
    </row>
    <row r="3051" spans="1:6" x14ac:dyDescent="0.25">
      <c r="A3051" t="s">
        <v>3613</v>
      </c>
      <c r="B3051" t="s">
        <v>245</v>
      </c>
      <c r="C3051" t="s">
        <v>246</v>
      </c>
      <c r="D3051" t="str">
        <f>HYPERLINK("http://service.sap.com/sap/support/notes/1645654","1645654")</f>
        <v>1645654</v>
      </c>
      <c r="E3051">
        <v>1</v>
      </c>
      <c r="F3051" t="s">
        <v>3626</v>
      </c>
    </row>
    <row r="3052" spans="1:6" x14ac:dyDescent="0.25">
      <c r="A3052" t="s">
        <v>3613</v>
      </c>
      <c r="B3052" t="s">
        <v>245</v>
      </c>
      <c r="C3052" t="s">
        <v>246</v>
      </c>
      <c r="D3052" t="str">
        <f>HYPERLINK("http://service.sap.com/sap/support/notes/1707968","1707968")</f>
        <v>1707968</v>
      </c>
      <c r="E3052">
        <v>1</v>
      </c>
      <c r="F3052" t="s">
        <v>247</v>
      </c>
    </row>
    <row r="3053" spans="1:6" x14ac:dyDescent="0.25">
      <c r="A3053" t="s">
        <v>3613</v>
      </c>
      <c r="B3053" t="s">
        <v>245</v>
      </c>
      <c r="C3053" t="s">
        <v>246</v>
      </c>
      <c r="D3053" t="str">
        <f>HYPERLINK("http://service.sap.com/sap/support/notes/1716166","1716166")</f>
        <v>1716166</v>
      </c>
      <c r="E3053">
        <v>1</v>
      </c>
      <c r="F3053" t="s">
        <v>3627</v>
      </c>
    </row>
    <row r="3054" spans="1:6" x14ac:dyDescent="0.25">
      <c r="A3054" t="s">
        <v>3613</v>
      </c>
      <c r="B3054" t="s">
        <v>24</v>
      </c>
      <c r="C3054" t="s">
        <v>25</v>
      </c>
      <c r="D3054" t="str">
        <f>HYPERLINK("http://service.sap.com/sap/support/notes/1563450","1563450")</f>
        <v>1563450</v>
      </c>
      <c r="E3054">
        <v>2</v>
      </c>
      <c r="F3054" t="s">
        <v>3628</v>
      </c>
    </row>
    <row r="3055" spans="1:6" x14ac:dyDescent="0.25">
      <c r="A3055" t="s">
        <v>3613</v>
      </c>
      <c r="B3055" t="s">
        <v>24</v>
      </c>
      <c r="C3055" t="s">
        <v>25</v>
      </c>
      <c r="D3055" t="str">
        <f>HYPERLINK("http://service.sap.com/sap/support/notes/1601454","1601454")</f>
        <v>1601454</v>
      </c>
      <c r="E3055">
        <v>4</v>
      </c>
      <c r="F3055" t="s">
        <v>3629</v>
      </c>
    </row>
    <row r="3056" spans="1:6" x14ac:dyDescent="0.25">
      <c r="A3056" t="s">
        <v>3613</v>
      </c>
      <c r="B3056" t="s">
        <v>24</v>
      </c>
      <c r="C3056" t="s">
        <v>25</v>
      </c>
      <c r="D3056" t="str">
        <f>HYPERLINK("http://service.sap.com/sap/support/notes/1643088","1643088")</f>
        <v>1643088</v>
      </c>
      <c r="E3056">
        <v>3</v>
      </c>
      <c r="F3056" t="s">
        <v>3630</v>
      </c>
    </row>
    <row r="3057" spans="1:6" x14ac:dyDescent="0.25">
      <c r="A3057" t="s">
        <v>3613</v>
      </c>
      <c r="B3057" t="s">
        <v>24</v>
      </c>
      <c r="C3057" t="s">
        <v>25</v>
      </c>
      <c r="D3057" t="str">
        <f>HYPERLINK("http://service.sap.com/sap/support/notes/1656687","1656687")</f>
        <v>1656687</v>
      </c>
      <c r="E3057">
        <v>1</v>
      </c>
      <c r="F3057" t="s">
        <v>3631</v>
      </c>
    </row>
    <row r="3058" spans="1:6" x14ac:dyDescent="0.25">
      <c r="A3058" t="s">
        <v>3613</v>
      </c>
      <c r="B3058" t="s">
        <v>24</v>
      </c>
      <c r="C3058" t="s">
        <v>25</v>
      </c>
      <c r="D3058" t="str">
        <f>HYPERLINK("http://service.sap.com/sap/support/notes/1657722","1657722")</f>
        <v>1657722</v>
      </c>
      <c r="E3058">
        <v>1</v>
      </c>
      <c r="F3058" t="s">
        <v>3632</v>
      </c>
    </row>
    <row r="3059" spans="1:6" x14ac:dyDescent="0.25">
      <c r="A3059" t="s">
        <v>3613</v>
      </c>
      <c r="B3059" t="s">
        <v>24</v>
      </c>
      <c r="C3059" t="s">
        <v>25</v>
      </c>
      <c r="D3059" t="str">
        <f>HYPERLINK("http://service.sap.com/sap/support/notes/1659821","1659821")</f>
        <v>1659821</v>
      </c>
      <c r="E3059">
        <v>1</v>
      </c>
      <c r="F3059" t="s">
        <v>3633</v>
      </c>
    </row>
    <row r="3060" spans="1:6" x14ac:dyDescent="0.25">
      <c r="A3060" t="s">
        <v>3613</v>
      </c>
      <c r="B3060" t="s">
        <v>24</v>
      </c>
      <c r="C3060" t="s">
        <v>25</v>
      </c>
      <c r="D3060" t="str">
        <f>HYPERLINK("http://service.sap.com/sap/support/notes/1660852","1660852")</f>
        <v>1660852</v>
      </c>
      <c r="E3060">
        <v>1</v>
      </c>
      <c r="F3060" t="s">
        <v>3634</v>
      </c>
    </row>
    <row r="3061" spans="1:6" x14ac:dyDescent="0.25">
      <c r="A3061" t="s">
        <v>3613</v>
      </c>
      <c r="B3061" t="s">
        <v>24</v>
      </c>
      <c r="C3061" t="s">
        <v>25</v>
      </c>
      <c r="D3061" t="str">
        <f>HYPERLINK("http://service.sap.com/sap/support/notes/1675209","1675209")</f>
        <v>1675209</v>
      </c>
      <c r="E3061">
        <v>1</v>
      </c>
      <c r="F3061" t="s">
        <v>3635</v>
      </c>
    </row>
    <row r="3062" spans="1:6" x14ac:dyDescent="0.25">
      <c r="A3062" t="s">
        <v>3613</v>
      </c>
      <c r="B3062" t="s">
        <v>24</v>
      </c>
      <c r="C3062" t="s">
        <v>25</v>
      </c>
      <c r="D3062" t="str">
        <f>HYPERLINK("http://service.sap.com/sap/support/notes/1683351","1683351")</f>
        <v>1683351</v>
      </c>
      <c r="E3062">
        <v>2</v>
      </c>
      <c r="F3062" t="s">
        <v>3636</v>
      </c>
    </row>
    <row r="3063" spans="1:6" x14ac:dyDescent="0.25">
      <c r="A3063" t="s">
        <v>3613</v>
      </c>
      <c r="B3063" t="s">
        <v>24</v>
      </c>
      <c r="C3063" t="s">
        <v>25</v>
      </c>
      <c r="D3063" t="str">
        <f>HYPERLINK("http://service.sap.com/sap/support/notes/1686769","1686769")</f>
        <v>1686769</v>
      </c>
      <c r="E3063">
        <v>3</v>
      </c>
      <c r="F3063" t="s">
        <v>3637</v>
      </c>
    </row>
    <row r="3064" spans="1:6" x14ac:dyDescent="0.25">
      <c r="A3064" t="s">
        <v>3613</v>
      </c>
      <c r="B3064" t="s">
        <v>24</v>
      </c>
      <c r="C3064" t="s">
        <v>25</v>
      </c>
      <c r="D3064" t="str">
        <f>HYPERLINK("http://service.sap.com/sap/support/notes/1707972","1707972")</f>
        <v>1707972</v>
      </c>
      <c r="E3064">
        <v>2</v>
      </c>
      <c r="F3064" t="s">
        <v>3638</v>
      </c>
    </row>
    <row r="3065" spans="1:6" x14ac:dyDescent="0.25">
      <c r="A3065" t="s">
        <v>3613</v>
      </c>
      <c r="B3065" t="s">
        <v>24</v>
      </c>
      <c r="C3065" t="s">
        <v>25</v>
      </c>
      <c r="D3065" t="str">
        <f>HYPERLINK("http://service.sap.com/sap/support/notes/1712397","1712397")</f>
        <v>1712397</v>
      </c>
      <c r="E3065">
        <v>2</v>
      </c>
      <c r="F3065" t="s">
        <v>3639</v>
      </c>
    </row>
    <row r="3066" spans="1:6" x14ac:dyDescent="0.25">
      <c r="A3066" t="s">
        <v>3613</v>
      </c>
      <c r="B3066" t="s">
        <v>24</v>
      </c>
      <c r="C3066" t="s">
        <v>25</v>
      </c>
      <c r="D3066" t="str">
        <f>HYPERLINK("http://service.sap.com/sap/support/notes/1714063","1714063")</f>
        <v>1714063</v>
      </c>
      <c r="E3066">
        <v>2</v>
      </c>
      <c r="F3066" t="s">
        <v>3640</v>
      </c>
    </row>
    <row r="3067" spans="1:6" x14ac:dyDescent="0.25">
      <c r="A3067" t="s">
        <v>3613</v>
      </c>
      <c r="B3067" t="s">
        <v>24</v>
      </c>
      <c r="C3067" t="s">
        <v>25</v>
      </c>
      <c r="D3067" t="str">
        <f>HYPERLINK("http://service.sap.com/sap/support/notes/1719000","1719000")</f>
        <v>1719000</v>
      </c>
      <c r="E3067">
        <v>1</v>
      </c>
      <c r="F3067" t="s">
        <v>3641</v>
      </c>
    </row>
    <row r="3068" spans="1:6" x14ac:dyDescent="0.25">
      <c r="A3068" t="s">
        <v>3613</v>
      </c>
      <c r="B3068" t="s">
        <v>26</v>
      </c>
      <c r="C3068" t="s">
        <v>27</v>
      </c>
      <c r="D3068" t="str">
        <f>HYPERLINK("http://service.sap.com/sap/support/notes/1676850","1676850")</f>
        <v>1676850</v>
      </c>
      <c r="E3068">
        <v>1</v>
      </c>
      <c r="F3068" t="s">
        <v>3642</v>
      </c>
    </row>
    <row r="3069" spans="1:6" x14ac:dyDescent="0.25">
      <c r="A3069" t="s">
        <v>3613</v>
      </c>
      <c r="B3069" t="s">
        <v>26</v>
      </c>
      <c r="C3069" t="s">
        <v>27</v>
      </c>
      <c r="D3069" t="str">
        <f>HYPERLINK("http://service.sap.com/sap/support/notes/1715020","1715020")</f>
        <v>1715020</v>
      </c>
      <c r="E3069">
        <v>2</v>
      </c>
      <c r="F3069" t="s">
        <v>3643</v>
      </c>
    </row>
    <row r="3070" spans="1:6" x14ac:dyDescent="0.25">
      <c r="A3070" t="s">
        <v>3613</v>
      </c>
      <c r="B3070" t="s">
        <v>29</v>
      </c>
      <c r="C3070" t="s">
        <v>30</v>
      </c>
    </row>
    <row r="3071" spans="1:6" x14ac:dyDescent="0.25">
      <c r="A3071" t="s">
        <v>3613</v>
      </c>
      <c r="B3071" t="s">
        <v>31</v>
      </c>
      <c r="C3071" t="s">
        <v>32</v>
      </c>
      <c r="D3071" t="str">
        <f>HYPERLINK("http://service.sap.com/sap/support/notes/1698476","1698476")</f>
        <v>1698476</v>
      </c>
      <c r="E3071">
        <v>4</v>
      </c>
      <c r="F3071" t="s">
        <v>3644</v>
      </c>
    </row>
    <row r="3072" spans="1:6" x14ac:dyDescent="0.25">
      <c r="A3072" t="s">
        <v>3613</v>
      </c>
      <c r="B3072" t="s">
        <v>31</v>
      </c>
      <c r="C3072" t="s">
        <v>32</v>
      </c>
      <c r="D3072" t="str">
        <f>HYPERLINK("http://service.sap.com/sap/support/notes/1707998","1707998")</f>
        <v>1707998</v>
      </c>
      <c r="E3072">
        <v>3</v>
      </c>
      <c r="F3072" t="s">
        <v>3645</v>
      </c>
    </row>
    <row r="3073" spans="1:6" x14ac:dyDescent="0.25">
      <c r="A3073" t="s">
        <v>3613</v>
      </c>
      <c r="B3073" t="s">
        <v>31</v>
      </c>
      <c r="C3073" t="s">
        <v>32</v>
      </c>
      <c r="D3073" t="str">
        <f>HYPERLINK("http://service.sap.com/sap/support/notes/1708368","1708368")</f>
        <v>1708368</v>
      </c>
      <c r="E3073">
        <v>3</v>
      </c>
      <c r="F3073" t="s">
        <v>3646</v>
      </c>
    </row>
    <row r="3074" spans="1:6" x14ac:dyDescent="0.25">
      <c r="A3074" t="s">
        <v>3613</v>
      </c>
      <c r="B3074" t="s">
        <v>31</v>
      </c>
      <c r="C3074" t="s">
        <v>32</v>
      </c>
      <c r="D3074" t="str">
        <f>HYPERLINK("http://service.sap.com/sap/support/notes/1717262","1717262")</f>
        <v>1717262</v>
      </c>
      <c r="E3074">
        <v>1</v>
      </c>
      <c r="F3074" t="s">
        <v>3647</v>
      </c>
    </row>
    <row r="3075" spans="1:6" x14ac:dyDescent="0.25">
      <c r="A3075" t="s">
        <v>3613</v>
      </c>
      <c r="B3075" t="s">
        <v>33</v>
      </c>
      <c r="C3075" t="s">
        <v>34</v>
      </c>
      <c r="D3075" t="str">
        <f>HYPERLINK("http://service.sap.com/sap/support/notes/1708081","1708081")</f>
        <v>1708081</v>
      </c>
      <c r="E3075">
        <v>1</v>
      </c>
      <c r="F3075" t="s">
        <v>3648</v>
      </c>
    </row>
    <row r="3076" spans="1:6" x14ac:dyDescent="0.25">
      <c r="A3076" t="s">
        <v>3613</v>
      </c>
      <c r="B3076" t="s">
        <v>674</v>
      </c>
      <c r="C3076" t="s">
        <v>92</v>
      </c>
      <c r="D3076" t="str">
        <f>HYPERLINK("http://service.sap.com/sap/support/notes/1704484","1704484")</f>
        <v>1704484</v>
      </c>
      <c r="E3076">
        <v>4</v>
      </c>
      <c r="F3076" t="s">
        <v>3649</v>
      </c>
    </row>
    <row r="3077" spans="1:6" x14ac:dyDescent="0.25">
      <c r="A3077" t="s">
        <v>3613</v>
      </c>
      <c r="B3077" t="s">
        <v>251</v>
      </c>
      <c r="C3077" t="s">
        <v>99</v>
      </c>
      <c r="D3077" t="str">
        <f>HYPERLINK("http://service.sap.com/sap/support/notes/1713038","1713038")</f>
        <v>1713038</v>
      </c>
      <c r="E3077">
        <v>1</v>
      </c>
      <c r="F3077" t="s">
        <v>3650</v>
      </c>
    </row>
    <row r="3078" spans="1:6" x14ac:dyDescent="0.25">
      <c r="A3078" t="s">
        <v>3613</v>
      </c>
      <c r="B3078" t="s">
        <v>35</v>
      </c>
      <c r="C3078" t="s">
        <v>36</v>
      </c>
      <c r="D3078" t="str">
        <f>HYPERLINK("http://service.sap.com/sap/support/notes/1670076","1670076")</f>
        <v>1670076</v>
      </c>
      <c r="E3078">
        <v>1</v>
      </c>
      <c r="F3078" t="s">
        <v>3651</v>
      </c>
    </row>
    <row r="3079" spans="1:6" x14ac:dyDescent="0.25">
      <c r="A3079" t="s">
        <v>3613</v>
      </c>
      <c r="B3079" t="s">
        <v>35</v>
      </c>
      <c r="C3079" t="s">
        <v>36</v>
      </c>
      <c r="D3079" t="str">
        <f>HYPERLINK("http://service.sap.com/sap/support/notes/1710577","1710577")</f>
        <v>1710577</v>
      </c>
      <c r="E3079">
        <v>1</v>
      </c>
      <c r="F3079" t="s">
        <v>3652</v>
      </c>
    </row>
    <row r="3080" spans="1:6" x14ac:dyDescent="0.25">
      <c r="A3080" t="s">
        <v>3613</v>
      </c>
      <c r="B3080" t="s">
        <v>35</v>
      </c>
      <c r="C3080" t="s">
        <v>36</v>
      </c>
      <c r="D3080" t="str">
        <f>HYPERLINK("http://service.sap.com/sap/support/notes/1711219","1711219")</f>
        <v>1711219</v>
      </c>
      <c r="E3080">
        <v>2</v>
      </c>
      <c r="F3080" t="s">
        <v>3653</v>
      </c>
    </row>
    <row r="3081" spans="1:6" x14ac:dyDescent="0.25">
      <c r="A3081" t="s">
        <v>3613</v>
      </c>
      <c r="B3081" t="s">
        <v>35</v>
      </c>
      <c r="C3081" t="s">
        <v>36</v>
      </c>
      <c r="D3081" t="str">
        <f>HYPERLINK("http://service.sap.com/sap/support/notes/1718344","1718344")</f>
        <v>1718344</v>
      </c>
      <c r="E3081">
        <v>2</v>
      </c>
      <c r="F3081" t="s">
        <v>3654</v>
      </c>
    </row>
    <row r="3082" spans="1:6" x14ac:dyDescent="0.25">
      <c r="A3082" t="s">
        <v>3613</v>
      </c>
      <c r="B3082" t="s">
        <v>37</v>
      </c>
      <c r="C3082" t="s">
        <v>38</v>
      </c>
      <c r="D3082" t="str">
        <f>HYPERLINK("http://service.sap.com/sap/support/notes/1644279","1644279")</f>
        <v>1644279</v>
      </c>
      <c r="E3082">
        <v>2</v>
      </c>
      <c r="F3082" t="s">
        <v>3655</v>
      </c>
    </row>
    <row r="3083" spans="1:6" x14ac:dyDescent="0.25">
      <c r="A3083" t="s">
        <v>3613</v>
      </c>
      <c r="B3083" t="s">
        <v>37</v>
      </c>
      <c r="C3083" t="s">
        <v>38</v>
      </c>
      <c r="D3083" t="str">
        <f>HYPERLINK("http://service.sap.com/sap/support/notes/1657894","1657894")</f>
        <v>1657894</v>
      </c>
      <c r="E3083">
        <v>4</v>
      </c>
      <c r="F3083" t="s">
        <v>3656</v>
      </c>
    </row>
    <row r="3084" spans="1:6" x14ac:dyDescent="0.25">
      <c r="A3084" t="s">
        <v>3613</v>
      </c>
      <c r="B3084" t="s">
        <v>37</v>
      </c>
      <c r="C3084" t="s">
        <v>38</v>
      </c>
      <c r="D3084" t="str">
        <f>HYPERLINK("http://service.sap.com/sap/support/notes/1662617","1662617")</f>
        <v>1662617</v>
      </c>
      <c r="E3084">
        <v>3</v>
      </c>
      <c r="F3084" t="s">
        <v>3657</v>
      </c>
    </row>
    <row r="3085" spans="1:6" x14ac:dyDescent="0.25">
      <c r="A3085" t="s">
        <v>3613</v>
      </c>
      <c r="B3085" t="s">
        <v>37</v>
      </c>
      <c r="C3085" t="s">
        <v>38</v>
      </c>
      <c r="D3085" t="str">
        <f>HYPERLINK("http://service.sap.com/sap/support/notes/1676820","1676820")</f>
        <v>1676820</v>
      </c>
      <c r="E3085">
        <v>2</v>
      </c>
      <c r="F3085" t="s">
        <v>3658</v>
      </c>
    </row>
    <row r="3086" spans="1:6" x14ac:dyDescent="0.25">
      <c r="A3086" t="s">
        <v>3613</v>
      </c>
      <c r="B3086" t="s">
        <v>37</v>
      </c>
      <c r="C3086" t="s">
        <v>38</v>
      </c>
      <c r="D3086" t="str">
        <f>HYPERLINK("http://service.sap.com/sap/support/notes/1683952","1683952")</f>
        <v>1683952</v>
      </c>
      <c r="E3086">
        <v>4</v>
      </c>
      <c r="F3086" t="s">
        <v>3659</v>
      </c>
    </row>
    <row r="3087" spans="1:6" x14ac:dyDescent="0.25">
      <c r="A3087" t="s">
        <v>3613</v>
      </c>
      <c r="B3087" t="s">
        <v>37</v>
      </c>
      <c r="C3087" t="s">
        <v>38</v>
      </c>
      <c r="D3087" t="str">
        <f>HYPERLINK("http://service.sap.com/sap/support/notes/1703793","1703793")</f>
        <v>1703793</v>
      </c>
      <c r="E3087">
        <v>3</v>
      </c>
      <c r="F3087" t="s">
        <v>3660</v>
      </c>
    </row>
    <row r="3088" spans="1:6" x14ac:dyDescent="0.25">
      <c r="A3088" t="s">
        <v>3613</v>
      </c>
      <c r="B3088" t="s">
        <v>37</v>
      </c>
      <c r="C3088" t="s">
        <v>38</v>
      </c>
      <c r="D3088" t="str">
        <f>HYPERLINK("http://service.sap.com/sap/support/notes/1713407","1713407")</f>
        <v>1713407</v>
      </c>
      <c r="E3088">
        <v>1</v>
      </c>
      <c r="F3088" t="s">
        <v>3661</v>
      </c>
    </row>
    <row r="3089" spans="1:6" x14ac:dyDescent="0.25">
      <c r="A3089" t="s">
        <v>3613</v>
      </c>
      <c r="B3089" t="s">
        <v>41</v>
      </c>
      <c r="C3089" t="s">
        <v>42</v>
      </c>
      <c r="D3089" t="str">
        <f>HYPERLINK("http://service.sap.com/sap/support/notes/700094","700094")</f>
        <v>700094</v>
      </c>
      <c r="E3089">
        <v>8</v>
      </c>
      <c r="F3089" t="s">
        <v>252</v>
      </c>
    </row>
    <row r="3090" spans="1:6" x14ac:dyDescent="0.25">
      <c r="A3090" t="s">
        <v>3613</v>
      </c>
      <c r="B3090" t="s">
        <v>41</v>
      </c>
      <c r="C3090" t="s">
        <v>42</v>
      </c>
      <c r="D3090" t="str">
        <f>HYPERLINK("http://service.sap.com/sap/support/notes/1700168","1700168")</f>
        <v>1700168</v>
      </c>
      <c r="E3090">
        <v>3</v>
      </c>
      <c r="F3090" t="s">
        <v>3662</v>
      </c>
    </row>
    <row r="3091" spans="1:6" x14ac:dyDescent="0.25">
      <c r="A3091" t="s">
        <v>3613</v>
      </c>
      <c r="B3091" t="s">
        <v>43</v>
      </c>
      <c r="C3091" t="s">
        <v>253</v>
      </c>
      <c r="D3091" t="str">
        <f>HYPERLINK("http://service.sap.com/sap/support/notes/1700887","1700887")</f>
        <v>1700887</v>
      </c>
      <c r="E3091">
        <v>1</v>
      </c>
      <c r="F3091" t="s">
        <v>3235</v>
      </c>
    </row>
    <row r="3092" spans="1:6" x14ac:dyDescent="0.25">
      <c r="A3092" t="s">
        <v>3613</v>
      </c>
      <c r="B3092" t="s">
        <v>43</v>
      </c>
      <c r="C3092" t="s">
        <v>253</v>
      </c>
      <c r="D3092" t="str">
        <f>HYPERLINK("http://service.sap.com/sap/support/notes/1708697","1708697")</f>
        <v>1708697</v>
      </c>
      <c r="E3092">
        <v>2</v>
      </c>
      <c r="F3092" t="s">
        <v>3663</v>
      </c>
    </row>
    <row r="3093" spans="1:6" x14ac:dyDescent="0.25">
      <c r="A3093" t="s">
        <v>3613</v>
      </c>
      <c r="B3093" t="s">
        <v>43</v>
      </c>
      <c r="C3093" t="s">
        <v>253</v>
      </c>
      <c r="D3093" t="str">
        <f>HYPERLINK("http://service.sap.com/sap/support/notes/1708901","1708901")</f>
        <v>1708901</v>
      </c>
      <c r="E3093">
        <v>4</v>
      </c>
      <c r="F3093" t="s">
        <v>3664</v>
      </c>
    </row>
    <row r="3094" spans="1:6" x14ac:dyDescent="0.25">
      <c r="A3094" t="s">
        <v>3613</v>
      </c>
      <c r="B3094" t="s">
        <v>43</v>
      </c>
      <c r="C3094" t="s">
        <v>253</v>
      </c>
      <c r="D3094" t="str">
        <f>HYPERLINK("http://service.sap.com/sap/support/notes/1710643","1710643")</f>
        <v>1710643</v>
      </c>
      <c r="E3094">
        <v>4</v>
      </c>
      <c r="F3094" t="s">
        <v>3665</v>
      </c>
    </row>
    <row r="3095" spans="1:6" x14ac:dyDescent="0.25">
      <c r="A3095" t="s">
        <v>3613</v>
      </c>
      <c r="B3095" t="s">
        <v>43</v>
      </c>
      <c r="C3095" t="s">
        <v>253</v>
      </c>
      <c r="D3095" t="str">
        <f>HYPERLINK("http://service.sap.com/sap/support/notes/1711493","1711493")</f>
        <v>1711493</v>
      </c>
      <c r="E3095">
        <v>1</v>
      </c>
      <c r="F3095" t="s">
        <v>3666</v>
      </c>
    </row>
    <row r="3096" spans="1:6" x14ac:dyDescent="0.25">
      <c r="A3096" t="s">
        <v>3613</v>
      </c>
      <c r="B3096" t="s">
        <v>43</v>
      </c>
      <c r="C3096" t="s">
        <v>253</v>
      </c>
      <c r="D3096" t="str">
        <f>HYPERLINK("http://service.sap.com/sap/support/notes/1712561","1712561")</f>
        <v>1712561</v>
      </c>
      <c r="E3096">
        <v>2</v>
      </c>
      <c r="F3096" t="s">
        <v>3667</v>
      </c>
    </row>
    <row r="3097" spans="1:6" x14ac:dyDescent="0.25">
      <c r="A3097" t="s">
        <v>3613</v>
      </c>
      <c r="B3097" t="s">
        <v>254</v>
      </c>
      <c r="C3097" t="s">
        <v>255</v>
      </c>
      <c r="D3097" t="str">
        <f>HYPERLINK("http://service.sap.com/sap/support/notes/1699544","1699544")</f>
        <v>1699544</v>
      </c>
      <c r="E3097">
        <v>3</v>
      </c>
      <c r="F3097" t="s">
        <v>3668</v>
      </c>
    </row>
    <row r="3098" spans="1:6" x14ac:dyDescent="0.25">
      <c r="A3098" t="s">
        <v>3613</v>
      </c>
      <c r="B3098" t="s">
        <v>403</v>
      </c>
      <c r="C3098" t="s">
        <v>147</v>
      </c>
      <c r="D3098" t="str">
        <f>HYPERLINK("http://service.sap.com/sap/support/notes/1711811","1711811")</f>
        <v>1711811</v>
      </c>
      <c r="E3098">
        <v>2</v>
      </c>
      <c r="F3098" t="s">
        <v>3669</v>
      </c>
    </row>
    <row r="3099" spans="1:6" x14ac:dyDescent="0.25">
      <c r="A3099" t="s">
        <v>3613</v>
      </c>
      <c r="B3099" t="s">
        <v>403</v>
      </c>
      <c r="C3099" t="s">
        <v>147</v>
      </c>
      <c r="D3099" t="str">
        <f>HYPERLINK("http://service.sap.com/sap/support/notes/1715469","1715469")</f>
        <v>1715469</v>
      </c>
      <c r="E3099">
        <v>1</v>
      </c>
      <c r="F3099" t="s">
        <v>3670</v>
      </c>
    </row>
    <row r="3100" spans="1:6" x14ac:dyDescent="0.25">
      <c r="A3100" t="s">
        <v>3613</v>
      </c>
      <c r="B3100" t="s">
        <v>48</v>
      </c>
      <c r="C3100" t="s">
        <v>49</v>
      </c>
      <c r="D3100" t="str">
        <f>HYPERLINK("http://service.sap.com/sap/support/notes/448307","448307")</f>
        <v>448307</v>
      </c>
      <c r="E3100">
        <v>1</v>
      </c>
      <c r="F3100" t="s">
        <v>50</v>
      </c>
    </row>
    <row r="3101" spans="1:6" x14ac:dyDescent="0.25">
      <c r="A3101" t="s">
        <v>3613</v>
      </c>
      <c r="B3101" t="s">
        <v>51</v>
      </c>
      <c r="C3101" t="s">
        <v>52</v>
      </c>
      <c r="D3101" t="str">
        <f>HYPERLINK("http://service.sap.com/sap/support/notes/1621572","1621572")</f>
        <v>1621572</v>
      </c>
      <c r="E3101">
        <v>1</v>
      </c>
      <c r="F3101" t="s">
        <v>798</v>
      </c>
    </row>
    <row r="3102" spans="1:6" x14ac:dyDescent="0.25">
      <c r="A3102" t="s">
        <v>3613</v>
      </c>
      <c r="B3102" t="s">
        <v>51</v>
      </c>
      <c r="C3102" t="s">
        <v>52</v>
      </c>
      <c r="D3102" t="str">
        <f>HYPERLINK("http://service.sap.com/sap/support/notes/1686564","1686564")</f>
        <v>1686564</v>
      </c>
      <c r="E3102">
        <v>2</v>
      </c>
      <c r="F3102" t="s">
        <v>3671</v>
      </c>
    </row>
    <row r="3103" spans="1:6" x14ac:dyDescent="0.25">
      <c r="A3103" t="s">
        <v>3613</v>
      </c>
      <c r="B3103" t="s">
        <v>51</v>
      </c>
      <c r="C3103" t="s">
        <v>52</v>
      </c>
      <c r="D3103" t="str">
        <f>HYPERLINK("http://service.sap.com/sap/support/notes/1696631","1696631")</f>
        <v>1696631</v>
      </c>
      <c r="E3103">
        <v>1</v>
      </c>
      <c r="F3103" t="s">
        <v>3672</v>
      </c>
    </row>
    <row r="3104" spans="1:6" x14ac:dyDescent="0.25">
      <c r="A3104" t="s">
        <v>3613</v>
      </c>
      <c r="B3104" t="s">
        <v>51</v>
      </c>
      <c r="C3104" t="s">
        <v>52</v>
      </c>
      <c r="D3104" t="str">
        <f>HYPERLINK("http://service.sap.com/sap/support/notes/1710046","1710046")</f>
        <v>1710046</v>
      </c>
      <c r="E3104">
        <v>2</v>
      </c>
      <c r="F3104" t="s">
        <v>3673</v>
      </c>
    </row>
    <row r="3105" spans="1:6" x14ac:dyDescent="0.25">
      <c r="A3105" t="s">
        <v>3613</v>
      </c>
      <c r="B3105" t="s">
        <v>51</v>
      </c>
      <c r="C3105" t="s">
        <v>52</v>
      </c>
      <c r="D3105" t="str">
        <f>HYPERLINK("http://service.sap.com/sap/support/notes/1711373","1711373")</f>
        <v>1711373</v>
      </c>
      <c r="E3105">
        <v>2</v>
      </c>
      <c r="F3105" t="s">
        <v>3674</v>
      </c>
    </row>
    <row r="3106" spans="1:6" x14ac:dyDescent="0.25">
      <c r="A3106" t="s">
        <v>3613</v>
      </c>
      <c r="B3106" t="s">
        <v>51</v>
      </c>
      <c r="C3106" t="s">
        <v>52</v>
      </c>
      <c r="D3106" t="str">
        <f>HYPERLINK("http://service.sap.com/sap/support/notes/1712968","1712968")</f>
        <v>1712968</v>
      </c>
      <c r="E3106">
        <v>2</v>
      </c>
      <c r="F3106" t="s">
        <v>3675</v>
      </c>
    </row>
    <row r="3107" spans="1:6" x14ac:dyDescent="0.25">
      <c r="A3107" t="s">
        <v>3613</v>
      </c>
      <c r="B3107" t="s">
        <v>51</v>
      </c>
      <c r="C3107" t="s">
        <v>52</v>
      </c>
      <c r="D3107" t="str">
        <f>HYPERLINK("http://service.sap.com/sap/support/notes/1715500","1715500")</f>
        <v>1715500</v>
      </c>
      <c r="E3107">
        <v>1</v>
      </c>
      <c r="F3107" t="s">
        <v>3676</v>
      </c>
    </row>
    <row r="3108" spans="1:6" x14ac:dyDescent="0.25">
      <c r="A3108" t="s">
        <v>3613</v>
      </c>
      <c r="B3108" t="s">
        <v>53</v>
      </c>
      <c r="C3108" t="s">
        <v>54</v>
      </c>
      <c r="D3108" t="str">
        <f>HYPERLINK("http://service.sap.com/sap/support/notes/1720333","1720333")</f>
        <v>1720333</v>
      </c>
      <c r="E3108">
        <v>1</v>
      </c>
      <c r="F3108" t="s">
        <v>3677</v>
      </c>
    </row>
    <row r="3109" spans="1:6" x14ac:dyDescent="0.25">
      <c r="A3109" t="s">
        <v>3613</v>
      </c>
      <c r="B3109" t="s">
        <v>256</v>
      </c>
      <c r="C3109" t="s">
        <v>165</v>
      </c>
      <c r="D3109" t="str">
        <f>HYPERLINK("http://service.sap.com/sap/support/notes/1693184","1693184")</f>
        <v>1693184</v>
      </c>
      <c r="E3109">
        <v>1</v>
      </c>
      <c r="F3109" t="s">
        <v>3678</v>
      </c>
    </row>
    <row r="3110" spans="1:6" x14ac:dyDescent="0.25">
      <c r="A3110" t="s">
        <v>3613</v>
      </c>
      <c r="B3110" t="s">
        <v>256</v>
      </c>
      <c r="C3110" t="s">
        <v>165</v>
      </c>
      <c r="D3110" t="str">
        <f>HYPERLINK("http://service.sap.com/sap/support/notes/1715309","1715309")</f>
        <v>1715309</v>
      </c>
      <c r="E3110">
        <v>1</v>
      </c>
      <c r="F3110" t="s">
        <v>3679</v>
      </c>
    </row>
    <row r="3111" spans="1:6" x14ac:dyDescent="0.25">
      <c r="A3111" t="s">
        <v>3613</v>
      </c>
      <c r="B3111" t="s">
        <v>358</v>
      </c>
      <c r="C3111" t="s">
        <v>176</v>
      </c>
      <c r="D3111" t="str">
        <f>HYPERLINK("http://service.sap.com/sap/support/notes/1716534","1716534")</f>
        <v>1716534</v>
      </c>
      <c r="E3111">
        <v>3</v>
      </c>
      <c r="F3111" t="s">
        <v>3680</v>
      </c>
    </row>
    <row r="3112" spans="1:6" x14ac:dyDescent="0.25">
      <c r="A3112" t="s">
        <v>3613</v>
      </c>
      <c r="B3112" t="s">
        <v>358</v>
      </c>
      <c r="C3112" t="s">
        <v>176</v>
      </c>
      <c r="D3112" t="str">
        <f>HYPERLINK("http://service.sap.com/sap/support/notes/1718193","1718193")</f>
        <v>1718193</v>
      </c>
      <c r="E3112">
        <v>1</v>
      </c>
      <c r="F3112" t="s">
        <v>3681</v>
      </c>
    </row>
    <row r="3113" spans="1:6" x14ac:dyDescent="0.25">
      <c r="A3113" t="s">
        <v>3613</v>
      </c>
      <c r="B3113" t="s">
        <v>3252</v>
      </c>
      <c r="C3113" t="s">
        <v>3253</v>
      </c>
      <c r="D3113" t="str">
        <f>HYPERLINK("http://service.sap.com/sap/support/notes/1699757","1699757")</f>
        <v>1699757</v>
      </c>
      <c r="E3113">
        <v>1</v>
      </c>
      <c r="F3113" t="s">
        <v>3254</v>
      </c>
    </row>
    <row r="3114" spans="1:6" x14ac:dyDescent="0.25">
      <c r="A3114" t="s">
        <v>3613</v>
      </c>
      <c r="B3114" t="s">
        <v>57</v>
      </c>
      <c r="C3114" t="s">
        <v>257</v>
      </c>
      <c r="D3114" t="str">
        <f>HYPERLINK("http://service.sap.com/sap/support/notes/1116407","1116407")</f>
        <v>1116407</v>
      </c>
      <c r="E3114">
        <v>128</v>
      </c>
      <c r="F3114" t="s">
        <v>664</v>
      </c>
    </row>
    <row r="3115" spans="1:6" x14ac:dyDescent="0.25">
      <c r="A3115" t="s">
        <v>3613</v>
      </c>
      <c r="B3115" t="s">
        <v>57</v>
      </c>
      <c r="C3115" t="s">
        <v>257</v>
      </c>
      <c r="D3115" t="str">
        <f>HYPERLINK("http://service.sap.com/sap/support/notes/1651443","1651443")</f>
        <v>1651443</v>
      </c>
      <c r="E3115">
        <v>1</v>
      </c>
      <c r="F3115" t="s">
        <v>1263</v>
      </c>
    </row>
    <row r="3116" spans="1:6" x14ac:dyDescent="0.25">
      <c r="A3116" t="s">
        <v>3613</v>
      </c>
      <c r="B3116" t="s">
        <v>57</v>
      </c>
      <c r="C3116" t="s">
        <v>257</v>
      </c>
      <c r="D3116" t="str">
        <f>HYPERLINK("http://service.sap.com/sap/support/notes/1662980","1662980")</f>
        <v>1662980</v>
      </c>
      <c r="E3116">
        <v>6</v>
      </c>
      <c r="F3116" t="s">
        <v>1857</v>
      </c>
    </row>
    <row r="3117" spans="1:6" x14ac:dyDescent="0.25">
      <c r="A3117" t="s">
        <v>3613</v>
      </c>
      <c r="B3117" t="s">
        <v>57</v>
      </c>
      <c r="C3117" t="s">
        <v>257</v>
      </c>
      <c r="D3117" t="str">
        <f>HYPERLINK("http://service.sap.com/sap/support/notes/1685078","1685078")</f>
        <v>1685078</v>
      </c>
      <c r="E3117">
        <v>3</v>
      </c>
      <c r="F3117" t="s">
        <v>2493</v>
      </c>
    </row>
    <row r="3118" spans="1:6" x14ac:dyDescent="0.25">
      <c r="A3118" t="s">
        <v>3613</v>
      </c>
      <c r="B3118" t="s">
        <v>57</v>
      </c>
      <c r="C3118" t="s">
        <v>257</v>
      </c>
      <c r="D3118" t="str">
        <f>HYPERLINK("http://service.sap.com/sap/support/notes/1700509","1700509")</f>
        <v>1700509</v>
      </c>
      <c r="E3118">
        <v>1</v>
      </c>
      <c r="F3118" t="s">
        <v>3682</v>
      </c>
    </row>
    <row r="3119" spans="1:6" x14ac:dyDescent="0.25">
      <c r="A3119" t="s">
        <v>3613</v>
      </c>
      <c r="B3119" t="s">
        <v>57</v>
      </c>
      <c r="C3119" t="s">
        <v>257</v>
      </c>
      <c r="D3119" t="str">
        <f>HYPERLINK("http://service.sap.com/sap/support/notes/1705960","1705960")</f>
        <v>1705960</v>
      </c>
      <c r="E3119">
        <v>2</v>
      </c>
      <c r="F3119" t="s">
        <v>3683</v>
      </c>
    </row>
    <row r="3120" spans="1:6" x14ac:dyDescent="0.25">
      <c r="A3120" t="s">
        <v>3613</v>
      </c>
      <c r="B3120" t="s">
        <v>57</v>
      </c>
      <c r="C3120" t="s">
        <v>257</v>
      </c>
      <c r="D3120" t="str">
        <f>HYPERLINK("http://service.sap.com/sap/support/notes/1708012","1708012")</f>
        <v>1708012</v>
      </c>
      <c r="E3120">
        <v>1</v>
      </c>
      <c r="F3120" t="s">
        <v>3684</v>
      </c>
    </row>
    <row r="3121" spans="1:6" x14ac:dyDescent="0.25">
      <c r="A3121" t="s">
        <v>3613</v>
      </c>
      <c r="B3121" t="s">
        <v>57</v>
      </c>
      <c r="C3121" t="s">
        <v>257</v>
      </c>
      <c r="D3121" t="str">
        <f>HYPERLINK("http://service.sap.com/sap/support/notes/1710248","1710248")</f>
        <v>1710248</v>
      </c>
      <c r="E3121">
        <v>2</v>
      </c>
      <c r="F3121" t="s">
        <v>3685</v>
      </c>
    </row>
    <row r="3122" spans="1:6" x14ac:dyDescent="0.25">
      <c r="A3122" t="s">
        <v>3613</v>
      </c>
      <c r="B3122" t="s">
        <v>57</v>
      </c>
      <c r="C3122" t="s">
        <v>257</v>
      </c>
      <c r="D3122" t="str">
        <f>HYPERLINK("http://service.sap.com/sap/support/notes/1712470","1712470")</f>
        <v>1712470</v>
      </c>
      <c r="E3122">
        <v>1</v>
      </c>
      <c r="F3122" t="s">
        <v>3686</v>
      </c>
    </row>
    <row r="3123" spans="1:6" x14ac:dyDescent="0.25">
      <c r="A3123" t="s">
        <v>3613</v>
      </c>
      <c r="B3123" t="s">
        <v>57</v>
      </c>
      <c r="C3123" t="s">
        <v>257</v>
      </c>
      <c r="D3123" t="str">
        <f>HYPERLINK("http://service.sap.com/sap/support/notes/1714472","1714472")</f>
        <v>1714472</v>
      </c>
      <c r="E3123">
        <v>2</v>
      </c>
      <c r="F3123" t="s">
        <v>3687</v>
      </c>
    </row>
    <row r="3124" spans="1:6" x14ac:dyDescent="0.25">
      <c r="A3124" t="s">
        <v>3613</v>
      </c>
      <c r="B3124" t="s">
        <v>57</v>
      </c>
      <c r="C3124" t="s">
        <v>257</v>
      </c>
      <c r="D3124" t="str">
        <f>HYPERLINK("http://service.sap.com/sap/support/notes/1718983","1718983")</f>
        <v>1718983</v>
      </c>
      <c r="E3124">
        <v>1</v>
      </c>
      <c r="F3124" t="s">
        <v>3688</v>
      </c>
    </row>
    <row r="3125" spans="1:6" x14ac:dyDescent="0.25">
      <c r="A3125" t="s">
        <v>3613</v>
      </c>
      <c r="B3125" t="s">
        <v>258</v>
      </c>
      <c r="C3125" t="s">
        <v>186</v>
      </c>
      <c r="D3125" t="str">
        <f>HYPERLINK("http://service.sap.com/sap/support/notes/1668434","1668434")</f>
        <v>1668434</v>
      </c>
      <c r="E3125">
        <v>1</v>
      </c>
      <c r="F3125" t="s">
        <v>3689</v>
      </c>
    </row>
    <row r="3126" spans="1:6" x14ac:dyDescent="0.25">
      <c r="A3126" t="s">
        <v>3613</v>
      </c>
      <c r="B3126" t="s">
        <v>258</v>
      </c>
      <c r="C3126" t="s">
        <v>186</v>
      </c>
      <c r="D3126" t="str">
        <f>HYPERLINK("http://service.sap.com/sap/support/notes/1683881","1683881")</f>
        <v>1683881</v>
      </c>
      <c r="E3126">
        <v>1</v>
      </c>
      <c r="F3126" t="s">
        <v>3690</v>
      </c>
    </row>
    <row r="3127" spans="1:6" x14ac:dyDescent="0.25">
      <c r="A3127" t="s">
        <v>3613</v>
      </c>
      <c r="B3127" t="s">
        <v>259</v>
      </c>
      <c r="C3127" t="s">
        <v>190</v>
      </c>
      <c r="D3127" t="str">
        <f>HYPERLINK("http://service.sap.com/sap/support/notes/1708142","1708142")</f>
        <v>1708142</v>
      </c>
      <c r="E3127">
        <v>1</v>
      </c>
      <c r="F3127" t="s">
        <v>3691</v>
      </c>
    </row>
    <row r="3128" spans="1:6" x14ac:dyDescent="0.25">
      <c r="A3128" t="s">
        <v>3613</v>
      </c>
      <c r="B3128" t="s">
        <v>259</v>
      </c>
      <c r="C3128" t="s">
        <v>190</v>
      </c>
      <c r="D3128" t="str">
        <f>HYPERLINK("http://service.sap.com/sap/support/notes/1718984","1718984")</f>
        <v>1718984</v>
      </c>
      <c r="E3128">
        <v>3</v>
      </c>
      <c r="F3128" t="s">
        <v>3692</v>
      </c>
    </row>
    <row r="3129" spans="1:6" x14ac:dyDescent="0.25">
      <c r="A3129" t="s">
        <v>3613</v>
      </c>
      <c r="B3129" t="s">
        <v>61</v>
      </c>
      <c r="C3129" t="s">
        <v>62</v>
      </c>
      <c r="D3129" t="str">
        <f>HYPERLINK("http://service.sap.com/sap/support/notes/1719193","1719193")</f>
        <v>1719193</v>
      </c>
      <c r="E3129">
        <v>1</v>
      </c>
      <c r="F3129" t="s">
        <v>3693</v>
      </c>
    </row>
    <row r="3130" spans="1:6" x14ac:dyDescent="0.25">
      <c r="A3130" t="s">
        <v>3613</v>
      </c>
      <c r="B3130" t="s">
        <v>261</v>
      </c>
      <c r="C3130" t="s">
        <v>262</v>
      </c>
      <c r="D3130" t="str">
        <f>HYPERLINK("http://service.sap.com/sap/support/notes/1019265","1019265")</f>
        <v>1019265</v>
      </c>
      <c r="E3130">
        <v>3</v>
      </c>
      <c r="F3130" t="s">
        <v>3694</v>
      </c>
    </row>
    <row r="3131" spans="1:6" x14ac:dyDescent="0.25">
      <c r="A3131" t="s">
        <v>3613</v>
      </c>
      <c r="B3131" t="s">
        <v>261</v>
      </c>
      <c r="C3131" t="s">
        <v>262</v>
      </c>
      <c r="D3131" t="str">
        <f>HYPERLINK("http://service.sap.com/sap/support/notes/1657921","1657921")</f>
        <v>1657921</v>
      </c>
      <c r="E3131">
        <v>1</v>
      </c>
      <c r="F3131" t="s">
        <v>3695</v>
      </c>
    </row>
    <row r="3132" spans="1:6" x14ac:dyDescent="0.25">
      <c r="A3132" t="s">
        <v>3613</v>
      </c>
      <c r="B3132" t="s">
        <v>261</v>
      </c>
      <c r="C3132" t="s">
        <v>262</v>
      </c>
      <c r="D3132" t="str">
        <f>HYPERLINK("http://service.sap.com/sap/support/notes/1658874","1658874")</f>
        <v>1658874</v>
      </c>
      <c r="E3132">
        <v>1</v>
      </c>
      <c r="F3132" t="s">
        <v>3696</v>
      </c>
    </row>
    <row r="3133" spans="1:6" x14ac:dyDescent="0.25">
      <c r="A3133" t="s">
        <v>3613</v>
      </c>
      <c r="B3133" t="s">
        <v>261</v>
      </c>
      <c r="C3133" t="s">
        <v>262</v>
      </c>
      <c r="D3133" t="str">
        <f>HYPERLINK("http://service.sap.com/sap/support/notes/1659364","1659364")</f>
        <v>1659364</v>
      </c>
      <c r="E3133">
        <v>1</v>
      </c>
      <c r="F3133" t="s">
        <v>3697</v>
      </c>
    </row>
    <row r="3134" spans="1:6" x14ac:dyDescent="0.25">
      <c r="A3134" t="s">
        <v>3613</v>
      </c>
      <c r="B3134" t="s">
        <v>261</v>
      </c>
      <c r="C3134" t="s">
        <v>262</v>
      </c>
      <c r="D3134" t="str">
        <f>HYPERLINK("http://service.sap.com/sap/support/notes/1659366","1659366")</f>
        <v>1659366</v>
      </c>
      <c r="E3134">
        <v>2</v>
      </c>
      <c r="F3134" t="s">
        <v>3698</v>
      </c>
    </row>
    <row r="3135" spans="1:6" x14ac:dyDescent="0.25">
      <c r="A3135" t="s">
        <v>3613</v>
      </c>
      <c r="B3135" t="s">
        <v>261</v>
      </c>
      <c r="C3135" t="s">
        <v>262</v>
      </c>
      <c r="D3135" t="str">
        <f>HYPERLINK("http://service.sap.com/sap/support/notes/1661051","1661051")</f>
        <v>1661051</v>
      </c>
      <c r="E3135">
        <v>2</v>
      </c>
      <c r="F3135" t="s">
        <v>3699</v>
      </c>
    </row>
    <row r="3136" spans="1:6" x14ac:dyDescent="0.25">
      <c r="A3136" t="s">
        <v>3613</v>
      </c>
      <c r="B3136" t="s">
        <v>261</v>
      </c>
      <c r="C3136" t="s">
        <v>262</v>
      </c>
      <c r="D3136" t="str">
        <f>HYPERLINK("http://service.sap.com/sap/support/notes/1662166","1662166")</f>
        <v>1662166</v>
      </c>
      <c r="E3136">
        <v>1</v>
      </c>
      <c r="F3136" t="s">
        <v>3700</v>
      </c>
    </row>
    <row r="3137" spans="1:6" x14ac:dyDescent="0.25">
      <c r="A3137" t="s">
        <v>3613</v>
      </c>
      <c r="B3137" t="s">
        <v>261</v>
      </c>
      <c r="C3137" t="s">
        <v>262</v>
      </c>
      <c r="D3137" t="str">
        <f>HYPERLINK("http://service.sap.com/sap/support/notes/1663579","1663579")</f>
        <v>1663579</v>
      </c>
      <c r="E3137">
        <v>1</v>
      </c>
      <c r="F3137" t="s">
        <v>3701</v>
      </c>
    </row>
    <row r="3138" spans="1:6" x14ac:dyDescent="0.25">
      <c r="A3138" t="s">
        <v>3613</v>
      </c>
      <c r="B3138" t="s">
        <v>261</v>
      </c>
      <c r="C3138" t="s">
        <v>262</v>
      </c>
      <c r="D3138" t="str">
        <f>HYPERLINK("http://service.sap.com/sap/support/notes/1664601","1664601")</f>
        <v>1664601</v>
      </c>
      <c r="E3138">
        <v>1</v>
      </c>
      <c r="F3138" t="s">
        <v>3702</v>
      </c>
    </row>
    <row r="3139" spans="1:6" x14ac:dyDescent="0.25">
      <c r="A3139" t="s">
        <v>3613</v>
      </c>
      <c r="B3139" t="s">
        <v>261</v>
      </c>
      <c r="C3139" t="s">
        <v>262</v>
      </c>
      <c r="D3139" t="str">
        <f>HYPERLINK("http://service.sap.com/sap/support/notes/1665604","1665604")</f>
        <v>1665604</v>
      </c>
      <c r="E3139">
        <v>3</v>
      </c>
      <c r="F3139" t="s">
        <v>3703</v>
      </c>
    </row>
    <row r="3140" spans="1:6" x14ac:dyDescent="0.25">
      <c r="A3140" t="s">
        <v>3613</v>
      </c>
      <c r="B3140" t="s">
        <v>261</v>
      </c>
      <c r="C3140" t="s">
        <v>262</v>
      </c>
      <c r="D3140" t="str">
        <f>HYPERLINK("http://service.sap.com/sap/support/notes/1665801","1665801")</f>
        <v>1665801</v>
      </c>
      <c r="E3140">
        <v>1</v>
      </c>
      <c r="F3140" t="s">
        <v>3704</v>
      </c>
    </row>
    <row r="3141" spans="1:6" x14ac:dyDescent="0.25">
      <c r="A3141" t="s">
        <v>3613</v>
      </c>
      <c r="B3141" t="s">
        <v>261</v>
      </c>
      <c r="C3141" t="s">
        <v>262</v>
      </c>
      <c r="D3141" t="str">
        <f>HYPERLINK("http://service.sap.com/sap/support/notes/1667139","1667139")</f>
        <v>1667139</v>
      </c>
      <c r="E3141">
        <v>1</v>
      </c>
      <c r="F3141" t="s">
        <v>3705</v>
      </c>
    </row>
    <row r="3142" spans="1:6" x14ac:dyDescent="0.25">
      <c r="A3142" t="s">
        <v>3613</v>
      </c>
      <c r="B3142" t="s">
        <v>261</v>
      </c>
      <c r="C3142" t="s">
        <v>262</v>
      </c>
      <c r="D3142" t="str">
        <f>HYPERLINK("http://service.sap.com/sap/support/notes/1667928","1667928")</f>
        <v>1667928</v>
      </c>
      <c r="E3142">
        <v>2</v>
      </c>
      <c r="F3142" t="s">
        <v>3706</v>
      </c>
    </row>
    <row r="3143" spans="1:6" x14ac:dyDescent="0.25">
      <c r="A3143" t="s">
        <v>3613</v>
      </c>
      <c r="B3143" t="s">
        <v>261</v>
      </c>
      <c r="C3143" t="s">
        <v>262</v>
      </c>
      <c r="D3143" t="str">
        <f>HYPERLINK("http://service.sap.com/sap/support/notes/1667975","1667975")</f>
        <v>1667975</v>
      </c>
      <c r="E3143">
        <v>1</v>
      </c>
      <c r="F3143" t="s">
        <v>3707</v>
      </c>
    </row>
    <row r="3144" spans="1:6" x14ac:dyDescent="0.25">
      <c r="A3144" t="s">
        <v>3613</v>
      </c>
      <c r="B3144" t="s">
        <v>261</v>
      </c>
      <c r="C3144" t="s">
        <v>262</v>
      </c>
      <c r="D3144" t="str">
        <f>HYPERLINK("http://service.sap.com/sap/support/notes/1668371","1668371")</f>
        <v>1668371</v>
      </c>
      <c r="E3144">
        <v>1</v>
      </c>
      <c r="F3144" t="s">
        <v>3708</v>
      </c>
    </row>
    <row r="3145" spans="1:6" x14ac:dyDescent="0.25">
      <c r="A3145" t="s">
        <v>3613</v>
      </c>
      <c r="B3145" t="s">
        <v>261</v>
      </c>
      <c r="C3145" t="s">
        <v>262</v>
      </c>
      <c r="D3145" t="str">
        <f>HYPERLINK("http://service.sap.com/sap/support/notes/1668662","1668662")</f>
        <v>1668662</v>
      </c>
      <c r="E3145">
        <v>1</v>
      </c>
      <c r="F3145" t="s">
        <v>3709</v>
      </c>
    </row>
    <row r="3146" spans="1:6" x14ac:dyDescent="0.25">
      <c r="A3146" t="s">
        <v>3613</v>
      </c>
      <c r="B3146" t="s">
        <v>261</v>
      </c>
      <c r="C3146" t="s">
        <v>262</v>
      </c>
      <c r="D3146" t="str">
        <f>HYPERLINK("http://service.sap.com/sap/support/notes/1668793","1668793")</f>
        <v>1668793</v>
      </c>
      <c r="E3146">
        <v>2</v>
      </c>
      <c r="F3146" t="s">
        <v>3710</v>
      </c>
    </row>
    <row r="3147" spans="1:6" x14ac:dyDescent="0.25">
      <c r="A3147" t="s">
        <v>3613</v>
      </c>
      <c r="B3147" t="s">
        <v>261</v>
      </c>
      <c r="C3147" t="s">
        <v>262</v>
      </c>
      <c r="D3147" t="str">
        <f>HYPERLINK("http://service.sap.com/sap/support/notes/1668794","1668794")</f>
        <v>1668794</v>
      </c>
      <c r="E3147">
        <v>1</v>
      </c>
      <c r="F3147" t="s">
        <v>3711</v>
      </c>
    </row>
    <row r="3148" spans="1:6" x14ac:dyDescent="0.25">
      <c r="A3148" t="s">
        <v>3613</v>
      </c>
      <c r="B3148" t="s">
        <v>261</v>
      </c>
      <c r="C3148" t="s">
        <v>262</v>
      </c>
      <c r="D3148" t="str">
        <f>HYPERLINK("http://service.sap.com/sap/support/notes/1668965","1668965")</f>
        <v>1668965</v>
      </c>
      <c r="E3148">
        <v>3</v>
      </c>
      <c r="F3148" t="s">
        <v>3712</v>
      </c>
    </row>
    <row r="3149" spans="1:6" x14ac:dyDescent="0.25">
      <c r="A3149" t="s">
        <v>3613</v>
      </c>
      <c r="B3149" t="s">
        <v>261</v>
      </c>
      <c r="C3149" t="s">
        <v>262</v>
      </c>
      <c r="D3149" t="str">
        <f>HYPERLINK("http://service.sap.com/sap/support/notes/1669106","1669106")</f>
        <v>1669106</v>
      </c>
      <c r="E3149">
        <v>2</v>
      </c>
      <c r="F3149" t="s">
        <v>3713</v>
      </c>
    </row>
    <row r="3150" spans="1:6" x14ac:dyDescent="0.25">
      <c r="A3150" t="s">
        <v>3613</v>
      </c>
      <c r="B3150" t="s">
        <v>261</v>
      </c>
      <c r="C3150" t="s">
        <v>262</v>
      </c>
      <c r="D3150" t="str">
        <f>HYPERLINK("http://service.sap.com/sap/support/notes/1669251","1669251")</f>
        <v>1669251</v>
      </c>
      <c r="E3150">
        <v>2</v>
      </c>
      <c r="F3150" t="s">
        <v>3714</v>
      </c>
    </row>
    <row r="3151" spans="1:6" x14ac:dyDescent="0.25">
      <c r="A3151" t="s">
        <v>3613</v>
      </c>
      <c r="B3151" t="s">
        <v>261</v>
      </c>
      <c r="C3151" t="s">
        <v>262</v>
      </c>
      <c r="D3151" t="str">
        <f>HYPERLINK("http://service.sap.com/sap/support/notes/1670786","1670786")</f>
        <v>1670786</v>
      </c>
      <c r="E3151">
        <v>1</v>
      </c>
      <c r="F3151" t="s">
        <v>3715</v>
      </c>
    </row>
    <row r="3152" spans="1:6" x14ac:dyDescent="0.25">
      <c r="A3152" t="s">
        <v>3613</v>
      </c>
      <c r="B3152" t="s">
        <v>261</v>
      </c>
      <c r="C3152" t="s">
        <v>262</v>
      </c>
      <c r="D3152" t="str">
        <f>HYPERLINK("http://service.sap.com/sap/support/notes/1672337","1672337")</f>
        <v>1672337</v>
      </c>
      <c r="E3152">
        <v>1</v>
      </c>
      <c r="F3152" t="s">
        <v>3716</v>
      </c>
    </row>
    <row r="3153" spans="1:6" x14ac:dyDescent="0.25">
      <c r="A3153" t="s">
        <v>3613</v>
      </c>
      <c r="B3153" t="s">
        <v>261</v>
      </c>
      <c r="C3153" t="s">
        <v>262</v>
      </c>
      <c r="D3153" t="str">
        <f>HYPERLINK("http://service.sap.com/sap/support/notes/1673786","1673786")</f>
        <v>1673786</v>
      </c>
      <c r="E3153">
        <v>3</v>
      </c>
      <c r="F3153" t="s">
        <v>3717</v>
      </c>
    </row>
    <row r="3154" spans="1:6" x14ac:dyDescent="0.25">
      <c r="A3154" t="s">
        <v>3613</v>
      </c>
      <c r="B3154" t="s">
        <v>261</v>
      </c>
      <c r="C3154" t="s">
        <v>262</v>
      </c>
      <c r="D3154" t="str">
        <f>HYPERLINK("http://service.sap.com/sap/support/notes/1673861","1673861")</f>
        <v>1673861</v>
      </c>
      <c r="E3154">
        <v>1</v>
      </c>
      <c r="F3154" t="s">
        <v>3718</v>
      </c>
    </row>
    <row r="3155" spans="1:6" x14ac:dyDescent="0.25">
      <c r="A3155" t="s">
        <v>3613</v>
      </c>
      <c r="B3155" t="s">
        <v>261</v>
      </c>
      <c r="C3155" t="s">
        <v>262</v>
      </c>
      <c r="D3155" t="str">
        <f>HYPERLINK("http://service.sap.com/sap/support/notes/1674514","1674514")</f>
        <v>1674514</v>
      </c>
      <c r="E3155">
        <v>1</v>
      </c>
      <c r="F3155" t="s">
        <v>3719</v>
      </c>
    </row>
    <row r="3156" spans="1:6" x14ac:dyDescent="0.25">
      <c r="A3156" t="s">
        <v>3613</v>
      </c>
      <c r="B3156" t="s">
        <v>261</v>
      </c>
      <c r="C3156" t="s">
        <v>262</v>
      </c>
      <c r="D3156" t="str">
        <f>HYPERLINK("http://service.sap.com/sap/support/notes/1674942","1674942")</f>
        <v>1674942</v>
      </c>
      <c r="E3156">
        <v>1</v>
      </c>
      <c r="F3156" t="s">
        <v>3720</v>
      </c>
    </row>
    <row r="3157" spans="1:6" x14ac:dyDescent="0.25">
      <c r="A3157" t="s">
        <v>3613</v>
      </c>
      <c r="B3157" t="s">
        <v>261</v>
      </c>
      <c r="C3157" t="s">
        <v>262</v>
      </c>
      <c r="D3157" t="str">
        <f>HYPERLINK("http://service.sap.com/sap/support/notes/1675567","1675567")</f>
        <v>1675567</v>
      </c>
      <c r="E3157">
        <v>1</v>
      </c>
      <c r="F3157" t="s">
        <v>3721</v>
      </c>
    </row>
    <row r="3158" spans="1:6" x14ac:dyDescent="0.25">
      <c r="A3158" t="s">
        <v>3613</v>
      </c>
      <c r="B3158" t="s">
        <v>261</v>
      </c>
      <c r="C3158" t="s">
        <v>262</v>
      </c>
      <c r="D3158" t="str">
        <f>HYPERLINK("http://service.sap.com/sap/support/notes/1676960","1676960")</f>
        <v>1676960</v>
      </c>
      <c r="E3158">
        <v>2</v>
      </c>
      <c r="F3158" t="s">
        <v>3722</v>
      </c>
    </row>
    <row r="3159" spans="1:6" x14ac:dyDescent="0.25">
      <c r="A3159" t="s">
        <v>3613</v>
      </c>
      <c r="B3159" t="s">
        <v>261</v>
      </c>
      <c r="C3159" t="s">
        <v>262</v>
      </c>
      <c r="D3159" t="str">
        <f>HYPERLINK("http://service.sap.com/sap/support/notes/1677926","1677926")</f>
        <v>1677926</v>
      </c>
      <c r="E3159">
        <v>1</v>
      </c>
      <c r="F3159" t="s">
        <v>3723</v>
      </c>
    </row>
    <row r="3160" spans="1:6" x14ac:dyDescent="0.25">
      <c r="A3160" t="s">
        <v>3613</v>
      </c>
      <c r="B3160" t="s">
        <v>261</v>
      </c>
      <c r="C3160" t="s">
        <v>262</v>
      </c>
      <c r="D3160" t="str">
        <f>HYPERLINK("http://service.sap.com/sap/support/notes/1677931","1677931")</f>
        <v>1677931</v>
      </c>
      <c r="E3160">
        <v>1</v>
      </c>
      <c r="F3160" t="s">
        <v>3724</v>
      </c>
    </row>
    <row r="3161" spans="1:6" x14ac:dyDescent="0.25">
      <c r="A3161" t="s">
        <v>3613</v>
      </c>
      <c r="B3161" t="s">
        <v>261</v>
      </c>
      <c r="C3161" t="s">
        <v>262</v>
      </c>
      <c r="D3161" t="str">
        <f>HYPERLINK("http://service.sap.com/sap/support/notes/1678631","1678631")</f>
        <v>1678631</v>
      </c>
      <c r="E3161">
        <v>1</v>
      </c>
      <c r="F3161" t="s">
        <v>3725</v>
      </c>
    </row>
    <row r="3162" spans="1:6" x14ac:dyDescent="0.25">
      <c r="A3162" t="s">
        <v>3613</v>
      </c>
      <c r="B3162" t="s">
        <v>261</v>
      </c>
      <c r="C3162" t="s">
        <v>262</v>
      </c>
      <c r="D3162" t="str">
        <f>HYPERLINK("http://service.sap.com/sap/support/notes/1678827","1678827")</f>
        <v>1678827</v>
      </c>
      <c r="E3162">
        <v>2</v>
      </c>
      <c r="F3162" t="s">
        <v>3726</v>
      </c>
    </row>
    <row r="3163" spans="1:6" x14ac:dyDescent="0.25">
      <c r="A3163" t="s">
        <v>3613</v>
      </c>
      <c r="B3163" t="s">
        <v>261</v>
      </c>
      <c r="C3163" t="s">
        <v>262</v>
      </c>
      <c r="D3163" t="str">
        <f>HYPERLINK("http://service.sap.com/sap/support/notes/1679542","1679542")</f>
        <v>1679542</v>
      </c>
      <c r="E3163">
        <v>1</v>
      </c>
      <c r="F3163" t="s">
        <v>3727</v>
      </c>
    </row>
    <row r="3164" spans="1:6" x14ac:dyDescent="0.25">
      <c r="A3164" t="s">
        <v>3613</v>
      </c>
      <c r="B3164" t="s">
        <v>261</v>
      </c>
      <c r="C3164" t="s">
        <v>262</v>
      </c>
      <c r="D3164" t="str">
        <f>HYPERLINK("http://service.sap.com/sap/support/notes/1680282","1680282")</f>
        <v>1680282</v>
      </c>
      <c r="E3164">
        <v>2</v>
      </c>
      <c r="F3164" t="s">
        <v>3728</v>
      </c>
    </row>
    <row r="3165" spans="1:6" x14ac:dyDescent="0.25">
      <c r="A3165" t="s">
        <v>3613</v>
      </c>
      <c r="B3165" t="s">
        <v>261</v>
      </c>
      <c r="C3165" t="s">
        <v>262</v>
      </c>
      <c r="D3165" t="str">
        <f>HYPERLINK("http://service.sap.com/sap/support/notes/1683898","1683898")</f>
        <v>1683898</v>
      </c>
      <c r="E3165">
        <v>2</v>
      </c>
      <c r="F3165" t="s">
        <v>3729</v>
      </c>
    </row>
    <row r="3166" spans="1:6" x14ac:dyDescent="0.25">
      <c r="A3166" t="s">
        <v>3613</v>
      </c>
      <c r="B3166" t="s">
        <v>261</v>
      </c>
      <c r="C3166" t="s">
        <v>262</v>
      </c>
      <c r="D3166" t="str">
        <f>HYPERLINK("http://service.sap.com/sap/support/notes/1685695","1685695")</f>
        <v>1685695</v>
      </c>
      <c r="E3166">
        <v>1</v>
      </c>
      <c r="F3166" t="s">
        <v>3730</v>
      </c>
    </row>
    <row r="3167" spans="1:6" x14ac:dyDescent="0.25">
      <c r="A3167" t="s">
        <v>3613</v>
      </c>
      <c r="B3167" t="s">
        <v>261</v>
      </c>
      <c r="C3167" t="s">
        <v>262</v>
      </c>
      <c r="D3167" t="str">
        <f>HYPERLINK("http://service.sap.com/sap/support/notes/1686086","1686086")</f>
        <v>1686086</v>
      </c>
      <c r="E3167">
        <v>1</v>
      </c>
      <c r="F3167" t="s">
        <v>3731</v>
      </c>
    </row>
    <row r="3168" spans="1:6" x14ac:dyDescent="0.25">
      <c r="A3168" t="s">
        <v>3613</v>
      </c>
      <c r="B3168" t="s">
        <v>261</v>
      </c>
      <c r="C3168" t="s">
        <v>262</v>
      </c>
      <c r="D3168" t="str">
        <f>HYPERLINK("http://service.sap.com/sap/support/notes/1686112","1686112")</f>
        <v>1686112</v>
      </c>
      <c r="E3168">
        <v>2</v>
      </c>
      <c r="F3168" t="s">
        <v>3732</v>
      </c>
    </row>
    <row r="3169" spans="1:6" x14ac:dyDescent="0.25">
      <c r="A3169" t="s">
        <v>3613</v>
      </c>
      <c r="B3169" t="s">
        <v>261</v>
      </c>
      <c r="C3169" t="s">
        <v>262</v>
      </c>
      <c r="D3169" t="str">
        <f>HYPERLINK("http://service.sap.com/sap/support/notes/1686558","1686558")</f>
        <v>1686558</v>
      </c>
      <c r="E3169">
        <v>1</v>
      </c>
      <c r="F3169" t="s">
        <v>3733</v>
      </c>
    </row>
    <row r="3170" spans="1:6" x14ac:dyDescent="0.25">
      <c r="A3170" t="s">
        <v>3613</v>
      </c>
      <c r="B3170" t="s">
        <v>261</v>
      </c>
      <c r="C3170" t="s">
        <v>262</v>
      </c>
      <c r="D3170" t="str">
        <f>HYPERLINK("http://service.sap.com/sap/support/notes/1687350","1687350")</f>
        <v>1687350</v>
      </c>
      <c r="E3170">
        <v>1</v>
      </c>
      <c r="F3170" t="s">
        <v>3734</v>
      </c>
    </row>
    <row r="3171" spans="1:6" x14ac:dyDescent="0.25">
      <c r="A3171" t="s">
        <v>3613</v>
      </c>
      <c r="B3171" t="s">
        <v>261</v>
      </c>
      <c r="C3171" t="s">
        <v>262</v>
      </c>
      <c r="D3171" t="str">
        <f>HYPERLINK("http://service.sap.com/sap/support/notes/1688333","1688333")</f>
        <v>1688333</v>
      </c>
      <c r="E3171">
        <v>1</v>
      </c>
      <c r="F3171" t="s">
        <v>3735</v>
      </c>
    </row>
    <row r="3172" spans="1:6" x14ac:dyDescent="0.25">
      <c r="A3172" t="s">
        <v>3613</v>
      </c>
      <c r="B3172" t="s">
        <v>261</v>
      </c>
      <c r="C3172" t="s">
        <v>262</v>
      </c>
      <c r="D3172" t="str">
        <f>HYPERLINK("http://service.sap.com/sap/support/notes/1692479","1692479")</f>
        <v>1692479</v>
      </c>
      <c r="E3172">
        <v>2</v>
      </c>
      <c r="F3172" t="s">
        <v>3736</v>
      </c>
    </row>
    <row r="3173" spans="1:6" x14ac:dyDescent="0.25">
      <c r="A3173" t="s">
        <v>3613</v>
      </c>
      <c r="B3173" t="s">
        <v>261</v>
      </c>
      <c r="C3173" t="s">
        <v>262</v>
      </c>
      <c r="D3173" t="str">
        <f>HYPERLINK("http://service.sap.com/sap/support/notes/1693508","1693508")</f>
        <v>1693508</v>
      </c>
      <c r="E3173">
        <v>2</v>
      </c>
      <c r="F3173" t="s">
        <v>3737</v>
      </c>
    </row>
    <row r="3174" spans="1:6" x14ac:dyDescent="0.25">
      <c r="A3174" t="s">
        <v>3613</v>
      </c>
      <c r="B3174" t="s">
        <v>261</v>
      </c>
      <c r="C3174" t="s">
        <v>262</v>
      </c>
      <c r="D3174" t="str">
        <f>HYPERLINK("http://service.sap.com/sap/support/notes/1694571","1694571")</f>
        <v>1694571</v>
      </c>
      <c r="E3174">
        <v>2</v>
      </c>
      <c r="F3174" t="s">
        <v>3738</v>
      </c>
    </row>
    <row r="3175" spans="1:6" x14ac:dyDescent="0.25">
      <c r="A3175" t="s">
        <v>3613</v>
      </c>
      <c r="B3175" t="s">
        <v>261</v>
      </c>
      <c r="C3175" t="s">
        <v>262</v>
      </c>
      <c r="D3175" t="str">
        <f>HYPERLINK("http://service.sap.com/sap/support/notes/1695281","1695281")</f>
        <v>1695281</v>
      </c>
      <c r="E3175">
        <v>1</v>
      </c>
      <c r="F3175" t="s">
        <v>3739</v>
      </c>
    </row>
    <row r="3176" spans="1:6" x14ac:dyDescent="0.25">
      <c r="A3176" t="s">
        <v>3613</v>
      </c>
      <c r="B3176" t="s">
        <v>261</v>
      </c>
      <c r="C3176" t="s">
        <v>262</v>
      </c>
      <c r="D3176" t="str">
        <f>HYPERLINK("http://service.sap.com/sap/support/notes/1697398","1697398")</f>
        <v>1697398</v>
      </c>
      <c r="E3176">
        <v>1</v>
      </c>
      <c r="F3176" t="s">
        <v>3740</v>
      </c>
    </row>
    <row r="3177" spans="1:6" x14ac:dyDescent="0.25">
      <c r="A3177" t="s">
        <v>3613</v>
      </c>
      <c r="B3177" t="s">
        <v>261</v>
      </c>
      <c r="C3177" t="s">
        <v>262</v>
      </c>
      <c r="D3177" t="str">
        <f>HYPERLINK("http://service.sap.com/sap/support/notes/1697480","1697480")</f>
        <v>1697480</v>
      </c>
      <c r="E3177">
        <v>1</v>
      </c>
      <c r="F3177" t="s">
        <v>3741</v>
      </c>
    </row>
    <row r="3178" spans="1:6" x14ac:dyDescent="0.25">
      <c r="A3178" t="s">
        <v>3613</v>
      </c>
      <c r="B3178" t="s">
        <v>261</v>
      </c>
      <c r="C3178" t="s">
        <v>262</v>
      </c>
      <c r="D3178" t="str">
        <f>HYPERLINK("http://service.sap.com/sap/support/notes/1697511","1697511")</f>
        <v>1697511</v>
      </c>
      <c r="E3178">
        <v>2</v>
      </c>
      <c r="F3178" t="s">
        <v>3742</v>
      </c>
    </row>
    <row r="3179" spans="1:6" x14ac:dyDescent="0.25">
      <c r="A3179" t="s">
        <v>3613</v>
      </c>
      <c r="B3179" t="s">
        <v>261</v>
      </c>
      <c r="C3179" t="s">
        <v>262</v>
      </c>
      <c r="D3179" t="str">
        <f>HYPERLINK("http://service.sap.com/sap/support/notes/1698850","1698850")</f>
        <v>1698850</v>
      </c>
      <c r="E3179">
        <v>1</v>
      </c>
      <c r="F3179" t="s">
        <v>3743</v>
      </c>
    </row>
    <row r="3180" spans="1:6" x14ac:dyDescent="0.25">
      <c r="A3180" t="s">
        <v>3613</v>
      </c>
      <c r="B3180" t="s">
        <v>261</v>
      </c>
      <c r="C3180" t="s">
        <v>262</v>
      </c>
      <c r="D3180" t="str">
        <f>HYPERLINK("http://service.sap.com/sap/support/notes/1700155","1700155")</f>
        <v>1700155</v>
      </c>
      <c r="E3180">
        <v>2</v>
      </c>
      <c r="F3180" t="s">
        <v>3744</v>
      </c>
    </row>
    <row r="3181" spans="1:6" x14ac:dyDescent="0.25">
      <c r="A3181" t="s">
        <v>3613</v>
      </c>
      <c r="B3181" t="s">
        <v>261</v>
      </c>
      <c r="C3181" t="s">
        <v>262</v>
      </c>
      <c r="D3181" t="str">
        <f>HYPERLINK("http://service.sap.com/sap/support/notes/1702825","1702825")</f>
        <v>1702825</v>
      </c>
      <c r="E3181">
        <v>1</v>
      </c>
      <c r="F3181" t="s">
        <v>3745</v>
      </c>
    </row>
    <row r="3182" spans="1:6" x14ac:dyDescent="0.25">
      <c r="A3182" t="s">
        <v>3613</v>
      </c>
      <c r="B3182" t="s">
        <v>261</v>
      </c>
      <c r="C3182" t="s">
        <v>262</v>
      </c>
      <c r="D3182" t="str">
        <f>HYPERLINK("http://service.sap.com/sap/support/notes/1704396","1704396")</f>
        <v>1704396</v>
      </c>
      <c r="E3182">
        <v>1</v>
      </c>
      <c r="F3182" t="s">
        <v>3746</v>
      </c>
    </row>
    <row r="3183" spans="1:6" x14ac:dyDescent="0.25">
      <c r="A3183" t="s">
        <v>3613</v>
      </c>
      <c r="B3183" t="s">
        <v>261</v>
      </c>
      <c r="C3183" t="s">
        <v>262</v>
      </c>
      <c r="D3183" t="str">
        <f>HYPERLINK("http://service.sap.com/sap/support/notes/1704535","1704535")</f>
        <v>1704535</v>
      </c>
      <c r="E3183">
        <v>3</v>
      </c>
      <c r="F3183" t="s">
        <v>3747</v>
      </c>
    </row>
    <row r="3184" spans="1:6" x14ac:dyDescent="0.25">
      <c r="A3184" t="s">
        <v>3613</v>
      </c>
      <c r="B3184" t="s">
        <v>261</v>
      </c>
      <c r="C3184" t="s">
        <v>262</v>
      </c>
      <c r="D3184" t="str">
        <f>HYPERLINK("http://service.sap.com/sap/support/notes/1706894","1706894")</f>
        <v>1706894</v>
      </c>
      <c r="E3184">
        <v>1</v>
      </c>
      <c r="F3184" t="s">
        <v>3748</v>
      </c>
    </row>
    <row r="3185" spans="1:6" x14ac:dyDescent="0.25">
      <c r="A3185" t="s">
        <v>3613</v>
      </c>
      <c r="B3185" t="s">
        <v>261</v>
      </c>
      <c r="C3185" t="s">
        <v>262</v>
      </c>
      <c r="D3185" t="str">
        <f>HYPERLINK("http://service.sap.com/sap/support/notes/1708052","1708052")</f>
        <v>1708052</v>
      </c>
      <c r="E3185">
        <v>2</v>
      </c>
      <c r="F3185" t="s">
        <v>3749</v>
      </c>
    </row>
    <row r="3186" spans="1:6" x14ac:dyDescent="0.25">
      <c r="A3186" t="s">
        <v>3613</v>
      </c>
      <c r="B3186" t="s">
        <v>261</v>
      </c>
      <c r="C3186" t="s">
        <v>262</v>
      </c>
      <c r="D3186" t="str">
        <f>HYPERLINK("http://service.sap.com/sap/support/notes/1709250","1709250")</f>
        <v>1709250</v>
      </c>
      <c r="E3186">
        <v>1</v>
      </c>
      <c r="F3186" t="s">
        <v>3750</v>
      </c>
    </row>
    <row r="3187" spans="1:6" x14ac:dyDescent="0.25">
      <c r="A3187" t="s">
        <v>3613</v>
      </c>
      <c r="B3187" t="s">
        <v>261</v>
      </c>
      <c r="C3187" t="s">
        <v>262</v>
      </c>
      <c r="D3187" t="str">
        <f>HYPERLINK("http://service.sap.com/sap/support/notes/1709340","1709340")</f>
        <v>1709340</v>
      </c>
      <c r="E3187">
        <v>1</v>
      </c>
      <c r="F3187" t="s">
        <v>3751</v>
      </c>
    </row>
    <row r="3188" spans="1:6" x14ac:dyDescent="0.25">
      <c r="A3188" t="s">
        <v>3613</v>
      </c>
      <c r="B3188" t="s">
        <v>261</v>
      </c>
      <c r="C3188" t="s">
        <v>262</v>
      </c>
      <c r="D3188" t="str">
        <f>HYPERLINK("http://service.sap.com/sap/support/notes/1709662","1709662")</f>
        <v>1709662</v>
      </c>
      <c r="E3188">
        <v>1</v>
      </c>
      <c r="F3188" t="s">
        <v>3752</v>
      </c>
    </row>
    <row r="3189" spans="1:6" x14ac:dyDescent="0.25">
      <c r="A3189" t="s">
        <v>3613</v>
      </c>
      <c r="B3189" t="s">
        <v>261</v>
      </c>
      <c r="C3189" t="s">
        <v>262</v>
      </c>
      <c r="D3189" t="str">
        <f>HYPERLINK("http://service.sap.com/sap/support/notes/1709879","1709879")</f>
        <v>1709879</v>
      </c>
      <c r="E3189">
        <v>2</v>
      </c>
      <c r="F3189" t="s">
        <v>3753</v>
      </c>
    </row>
    <row r="3190" spans="1:6" x14ac:dyDescent="0.25">
      <c r="A3190" t="s">
        <v>3613</v>
      </c>
      <c r="B3190" t="s">
        <v>261</v>
      </c>
      <c r="C3190" t="s">
        <v>262</v>
      </c>
      <c r="D3190" t="str">
        <f>HYPERLINK("http://service.sap.com/sap/support/notes/1710141","1710141")</f>
        <v>1710141</v>
      </c>
      <c r="E3190">
        <v>3</v>
      </c>
      <c r="F3190" t="s">
        <v>3754</v>
      </c>
    </row>
    <row r="3191" spans="1:6" x14ac:dyDescent="0.25">
      <c r="A3191" t="s">
        <v>3613</v>
      </c>
      <c r="B3191" t="s">
        <v>261</v>
      </c>
      <c r="C3191" t="s">
        <v>262</v>
      </c>
      <c r="D3191" t="str">
        <f>HYPERLINK("http://service.sap.com/sap/support/notes/1710433","1710433")</f>
        <v>1710433</v>
      </c>
      <c r="E3191">
        <v>1</v>
      </c>
      <c r="F3191" t="s">
        <v>3755</v>
      </c>
    </row>
    <row r="3192" spans="1:6" x14ac:dyDescent="0.25">
      <c r="A3192" t="s">
        <v>3613</v>
      </c>
      <c r="B3192" t="s">
        <v>261</v>
      </c>
      <c r="C3192" t="s">
        <v>262</v>
      </c>
      <c r="D3192" t="str">
        <f>HYPERLINK("http://service.sap.com/sap/support/notes/1710751","1710751")</f>
        <v>1710751</v>
      </c>
      <c r="E3192">
        <v>1</v>
      </c>
      <c r="F3192" t="s">
        <v>3756</v>
      </c>
    </row>
    <row r="3193" spans="1:6" x14ac:dyDescent="0.25">
      <c r="A3193" t="s">
        <v>3613</v>
      </c>
      <c r="B3193" t="s">
        <v>261</v>
      </c>
      <c r="C3193" t="s">
        <v>262</v>
      </c>
      <c r="D3193" t="str">
        <f>HYPERLINK("http://service.sap.com/sap/support/notes/1710989","1710989")</f>
        <v>1710989</v>
      </c>
      <c r="E3193">
        <v>1</v>
      </c>
      <c r="F3193" t="s">
        <v>3757</v>
      </c>
    </row>
    <row r="3194" spans="1:6" x14ac:dyDescent="0.25">
      <c r="A3194" t="s">
        <v>3613</v>
      </c>
      <c r="B3194" t="s">
        <v>261</v>
      </c>
      <c r="C3194" t="s">
        <v>262</v>
      </c>
      <c r="D3194" t="str">
        <f>HYPERLINK("http://service.sap.com/sap/support/notes/1712036","1712036")</f>
        <v>1712036</v>
      </c>
      <c r="E3194">
        <v>3</v>
      </c>
      <c r="F3194" t="s">
        <v>3758</v>
      </c>
    </row>
    <row r="3195" spans="1:6" x14ac:dyDescent="0.25">
      <c r="A3195" t="s">
        <v>3613</v>
      </c>
      <c r="B3195" t="s">
        <v>261</v>
      </c>
      <c r="C3195" t="s">
        <v>262</v>
      </c>
      <c r="D3195" t="str">
        <f>HYPERLINK("http://service.sap.com/sap/support/notes/1712244","1712244")</f>
        <v>1712244</v>
      </c>
      <c r="E3195">
        <v>1</v>
      </c>
      <c r="F3195" t="s">
        <v>3759</v>
      </c>
    </row>
    <row r="3196" spans="1:6" x14ac:dyDescent="0.25">
      <c r="A3196" t="s">
        <v>3613</v>
      </c>
      <c r="B3196" t="s">
        <v>261</v>
      </c>
      <c r="C3196" t="s">
        <v>262</v>
      </c>
      <c r="D3196" t="str">
        <f>HYPERLINK("http://service.sap.com/sap/support/notes/1712309","1712309")</f>
        <v>1712309</v>
      </c>
      <c r="E3196">
        <v>1</v>
      </c>
      <c r="F3196" t="s">
        <v>3760</v>
      </c>
    </row>
    <row r="3197" spans="1:6" x14ac:dyDescent="0.25">
      <c r="A3197" t="s">
        <v>3613</v>
      </c>
      <c r="B3197" t="s">
        <v>261</v>
      </c>
      <c r="C3197" t="s">
        <v>262</v>
      </c>
      <c r="D3197" t="str">
        <f>HYPERLINK("http://service.sap.com/sap/support/notes/1714022","1714022")</f>
        <v>1714022</v>
      </c>
      <c r="E3197">
        <v>1</v>
      </c>
      <c r="F3197" t="s">
        <v>3761</v>
      </c>
    </row>
    <row r="3198" spans="1:6" x14ac:dyDescent="0.25">
      <c r="A3198" t="s">
        <v>3613</v>
      </c>
      <c r="B3198" t="s">
        <v>261</v>
      </c>
      <c r="C3198" t="s">
        <v>262</v>
      </c>
      <c r="D3198" t="str">
        <f>HYPERLINK("http://service.sap.com/sap/support/notes/1714236","1714236")</f>
        <v>1714236</v>
      </c>
      <c r="E3198">
        <v>1</v>
      </c>
      <c r="F3198" t="s">
        <v>3762</v>
      </c>
    </row>
    <row r="3199" spans="1:6" x14ac:dyDescent="0.25">
      <c r="A3199" t="s">
        <v>3613</v>
      </c>
      <c r="B3199" t="s">
        <v>261</v>
      </c>
      <c r="C3199" t="s">
        <v>262</v>
      </c>
      <c r="D3199" t="str">
        <f>HYPERLINK("http://service.sap.com/sap/support/notes/1714514","1714514")</f>
        <v>1714514</v>
      </c>
      <c r="E3199">
        <v>1</v>
      </c>
      <c r="F3199" t="s">
        <v>3763</v>
      </c>
    </row>
    <row r="3200" spans="1:6" x14ac:dyDescent="0.25">
      <c r="A3200" t="s">
        <v>3613</v>
      </c>
      <c r="B3200" t="s">
        <v>261</v>
      </c>
      <c r="C3200" t="s">
        <v>262</v>
      </c>
      <c r="D3200" t="str">
        <f>HYPERLINK("http://service.sap.com/sap/support/notes/1715843","1715843")</f>
        <v>1715843</v>
      </c>
      <c r="E3200">
        <v>2</v>
      </c>
      <c r="F3200" t="s">
        <v>3764</v>
      </c>
    </row>
    <row r="3201" spans="1:6" x14ac:dyDescent="0.25">
      <c r="A3201" t="s">
        <v>3613</v>
      </c>
      <c r="B3201" t="s">
        <v>261</v>
      </c>
      <c r="C3201" t="s">
        <v>262</v>
      </c>
      <c r="D3201" t="str">
        <f>HYPERLINK("http://service.sap.com/sap/support/notes/1716014","1716014")</f>
        <v>1716014</v>
      </c>
      <c r="E3201">
        <v>1</v>
      </c>
      <c r="F3201" t="s">
        <v>3765</v>
      </c>
    </row>
    <row r="3202" spans="1:6" x14ac:dyDescent="0.25">
      <c r="A3202" t="s">
        <v>3613</v>
      </c>
      <c r="B3202" t="s">
        <v>261</v>
      </c>
      <c r="C3202" t="s">
        <v>262</v>
      </c>
      <c r="D3202" t="str">
        <f>HYPERLINK("http://service.sap.com/sap/support/notes/1717937","1717937")</f>
        <v>1717937</v>
      </c>
      <c r="E3202">
        <v>2</v>
      </c>
      <c r="F3202" t="s">
        <v>3766</v>
      </c>
    </row>
    <row r="3203" spans="1:6" x14ac:dyDescent="0.25">
      <c r="A3203" t="s">
        <v>3613</v>
      </c>
      <c r="B3203" t="s">
        <v>261</v>
      </c>
      <c r="C3203" t="s">
        <v>262</v>
      </c>
      <c r="D3203" t="str">
        <f>HYPERLINK("http://service.sap.com/sap/support/notes/1719205","1719205")</f>
        <v>1719205</v>
      </c>
      <c r="E3203">
        <v>1</v>
      </c>
      <c r="F3203" t="s">
        <v>3767</v>
      </c>
    </row>
    <row r="3204" spans="1:6" x14ac:dyDescent="0.25">
      <c r="A3204" t="s">
        <v>3613</v>
      </c>
      <c r="B3204" t="s">
        <v>261</v>
      </c>
      <c r="C3204" t="s">
        <v>262</v>
      </c>
      <c r="D3204" t="str">
        <f>HYPERLINK("http://service.sap.com/sap/support/notes/1719895","1719895")</f>
        <v>1719895</v>
      </c>
      <c r="E3204">
        <v>1</v>
      </c>
      <c r="F3204" t="s">
        <v>3768</v>
      </c>
    </row>
    <row r="3205" spans="1:6" x14ac:dyDescent="0.25">
      <c r="A3205" t="s">
        <v>3613</v>
      </c>
      <c r="B3205" t="s">
        <v>261</v>
      </c>
      <c r="C3205" t="s">
        <v>262</v>
      </c>
      <c r="D3205" t="str">
        <f>HYPERLINK("http://service.sap.com/sap/support/notes/1720531","1720531")</f>
        <v>1720531</v>
      </c>
      <c r="E3205">
        <v>1</v>
      </c>
      <c r="F3205" t="s">
        <v>3769</v>
      </c>
    </row>
    <row r="3206" spans="1:6" x14ac:dyDescent="0.25">
      <c r="A3206" t="s">
        <v>3613</v>
      </c>
      <c r="B3206" t="s">
        <v>261</v>
      </c>
      <c r="C3206" t="s">
        <v>262</v>
      </c>
      <c r="D3206" t="str">
        <f>HYPERLINK("http://service.sap.com/sap/support/notes/1720614","1720614")</f>
        <v>1720614</v>
      </c>
      <c r="E3206">
        <v>1</v>
      </c>
      <c r="F3206" t="s">
        <v>3770</v>
      </c>
    </row>
    <row r="3207" spans="1:6" x14ac:dyDescent="0.25">
      <c r="A3207" t="s">
        <v>3613</v>
      </c>
      <c r="B3207" t="s">
        <v>264</v>
      </c>
      <c r="C3207" t="s">
        <v>249</v>
      </c>
      <c r="D3207" t="str">
        <f>HYPERLINK("http://service.sap.com/sap/support/notes/1661563","1661563")</f>
        <v>1661563</v>
      </c>
      <c r="E3207">
        <v>2</v>
      </c>
      <c r="F3207" t="s">
        <v>3771</v>
      </c>
    </row>
    <row r="3208" spans="1:6" x14ac:dyDescent="0.25">
      <c r="A3208" t="s">
        <v>3613</v>
      </c>
      <c r="B3208" t="s">
        <v>265</v>
      </c>
      <c r="C3208" t="s">
        <v>266</v>
      </c>
      <c r="D3208" t="str">
        <f>HYPERLINK("http://service.sap.com/sap/support/notes/1671533","1671533")</f>
        <v>1671533</v>
      </c>
      <c r="E3208">
        <v>2</v>
      </c>
      <c r="F3208" t="s">
        <v>3772</v>
      </c>
    </row>
    <row r="3209" spans="1:6" x14ac:dyDescent="0.25">
      <c r="A3209" t="s">
        <v>3613</v>
      </c>
      <c r="B3209" t="s">
        <v>265</v>
      </c>
      <c r="C3209" t="s">
        <v>266</v>
      </c>
      <c r="D3209" t="str">
        <f>HYPERLINK("http://service.sap.com/sap/support/notes/1693824","1693824")</f>
        <v>1693824</v>
      </c>
      <c r="E3209">
        <v>1</v>
      </c>
      <c r="F3209" t="s">
        <v>3773</v>
      </c>
    </row>
    <row r="3210" spans="1:6" x14ac:dyDescent="0.25">
      <c r="A3210" t="s">
        <v>3613</v>
      </c>
      <c r="B3210" t="s">
        <v>416</v>
      </c>
      <c r="C3210" t="s">
        <v>353</v>
      </c>
    </row>
    <row r="3211" spans="1:6" x14ac:dyDescent="0.25">
      <c r="A3211" t="s">
        <v>3613</v>
      </c>
      <c r="B3211" t="s">
        <v>417</v>
      </c>
      <c r="C3211" t="s">
        <v>418</v>
      </c>
      <c r="D3211" t="str">
        <f>HYPERLINK("http://service.sap.com/sap/support/notes/1698451","1698451")</f>
        <v>1698451</v>
      </c>
      <c r="E3211">
        <v>1</v>
      </c>
      <c r="F3211" t="s">
        <v>3774</v>
      </c>
    </row>
    <row r="3212" spans="1:6" x14ac:dyDescent="0.25">
      <c r="A3212" t="s">
        <v>3613</v>
      </c>
      <c r="B3212" t="s">
        <v>417</v>
      </c>
      <c r="C3212" t="s">
        <v>418</v>
      </c>
      <c r="D3212" t="str">
        <f>HYPERLINK("http://service.sap.com/sap/support/notes/1704079","1704079")</f>
        <v>1704079</v>
      </c>
      <c r="E3212">
        <v>4</v>
      </c>
      <c r="F3212" t="s">
        <v>3775</v>
      </c>
    </row>
    <row r="3213" spans="1:6" x14ac:dyDescent="0.25">
      <c r="A3213" t="s">
        <v>3613</v>
      </c>
      <c r="B3213" t="s">
        <v>66</v>
      </c>
      <c r="C3213" t="s">
        <v>67</v>
      </c>
    </row>
    <row r="3214" spans="1:6" x14ac:dyDescent="0.25">
      <c r="A3214" t="s">
        <v>3613</v>
      </c>
      <c r="B3214" t="s">
        <v>70</v>
      </c>
      <c r="C3214" t="s">
        <v>270</v>
      </c>
      <c r="D3214" t="str">
        <f>HYPERLINK("http://service.sap.com/sap/support/notes/1691426","1691426")</f>
        <v>1691426</v>
      </c>
      <c r="E3214">
        <v>3</v>
      </c>
      <c r="F3214" t="s">
        <v>3776</v>
      </c>
    </row>
    <row r="3215" spans="1:6" x14ac:dyDescent="0.25">
      <c r="A3215" t="s">
        <v>3613</v>
      </c>
      <c r="B3215" t="s">
        <v>271</v>
      </c>
      <c r="C3215" t="s">
        <v>272</v>
      </c>
      <c r="D3215" t="str">
        <f>HYPERLINK("http://service.sap.com/sap/support/notes/1667520","1667520")</f>
        <v>1667520</v>
      </c>
      <c r="E3215">
        <v>1</v>
      </c>
      <c r="F3215" t="s">
        <v>3777</v>
      </c>
    </row>
    <row r="3216" spans="1:6" x14ac:dyDescent="0.25">
      <c r="A3216" t="s">
        <v>3613</v>
      </c>
      <c r="B3216" t="s">
        <v>271</v>
      </c>
      <c r="C3216" t="s">
        <v>272</v>
      </c>
      <c r="D3216" t="str">
        <f>HYPERLINK("http://service.sap.com/sap/support/notes/1669265","1669265")</f>
        <v>1669265</v>
      </c>
      <c r="E3216">
        <v>1</v>
      </c>
      <c r="F3216" t="s">
        <v>3778</v>
      </c>
    </row>
    <row r="3217" spans="1:6" x14ac:dyDescent="0.25">
      <c r="A3217" t="s">
        <v>3613</v>
      </c>
      <c r="B3217" t="s">
        <v>273</v>
      </c>
      <c r="C3217" t="s">
        <v>469</v>
      </c>
    </row>
    <row r="3218" spans="1:6" x14ac:dyDescent="0.25">
      <c r="A3218" t="s">
        <v>3613</v>
      </c>
      <c r="B3218" t="s">
        <v>274</v>
      </c>
      <c r="C3218" t="s">
        <v>275</v>
      </c>
      <c r="D3218" t="str">
        <f>HYPERLINK("http://service.sap.com/sap/support/notes/1665180","1665180")</f>
        <v>1665180</v>
      </c>
      <c r="E3218">
        <v>2</v>
      </c>
      <c r="F3218" t="s">
        <v>3779</v>
      </c>
    </row>
    <row r="3219" spans="1:6" x14ac:dyDescent="0.25">
      <c r="A3219" t="s">
        <v>3613</v>
      </c>
      <c r="B3219" t="s">
        <v>274</v>
      </c>
      <c r="C3219" t="s">
        <v>275</v>
      </c>
      <c r="D3219" t="str">
        <f>HYPERLINK("http://service.sap.com/sap/support/notes/1682053","1682053")</f>
        <v>1682053</v>
      </c>
      <c r="E3219">
        <v>1</v>
      </c>
      <c r="F3219" t="s">
        <v>3780</v>
      </c>
    </row>
    <row r="3220" spans="1:6" x14ac:dyDescent="0.25">
      <c r="A3220" t="s">
        <v>3613</v>
      </c>
      <c r="B3220" t="s">
        <v>276</v>
      </c>
      <c r="C3220" t="s">
        <v>277</v>
      </c>
      <c r="D3220" t="str">
        <f>HYPERLINK("http://service.sap.com/sap/support/notes/1654381","1654381")</f>
        <v>1654381</v>
      </c>
      <c r="E3220">
        <v>1</v>
      </c>
      <c r="F3220" t="s">
        <v>1357</v>
      </c>
    </row>
    <row r="3221" spans="1:6" x14ac:dyDescent="0.25">
      <c r="A3221" t="s">
        <v>3613</v>
      </c>
      <c r="B3221" t="s">
        <v>276</v>
      </c>
      <c r="C3221" t="s">
        <v>277</v>
      </c>
      <c r="D3221" t="str">
        <f>HYPERLINK("http://service.sap.com/sap/support/notes/1672962","1672962")</f>
        <v>1672962</v>
      </c>
      <c r="E3221">
        <v>26</v>
      </c>
      <c r="F3221" t="s">
        <v>3781</v>
      </c>
    </row>
    <row r="3222" spans="1:6" x14ac:dyDescent="0.25">
      <c r="A3222" t="s">
        <v>3613</v>
      </c>
      <c r="B3222" t="s">
        <v>276</v>
      </c>
      <c r="C3222" t="s">
        <v>277</v>
      </c>
      <c r="D3222" t="str">
        <f>HYPERLINK("http://service.sap.com/sap/support/notes/1673281","1673281")</f>
        <v>1673281</v>
      </c>
      <c r="E3222">
        <v>3</v>
      </c>
      <c r="F3222" t="s">
        <v>3782</v>
      </c>
    </row>
    <row r="3223" spans="1:6" x14ac:dyDescent="0.25">
      <c r="A3223" t="s">
        <v>3613</v>
      </c>
      <c r="B3223" t="s">
        <v>276</v>
      </c>
      <c r="C3223" t="s">
        <v>277</v>
      </c>
      <c r="D3223" t="str">
        <f>HYPERLINK("http://service.sap.com/sap/support/notes/1676904","1676904")</f>
        <v>1676904</v>
      </c>
      <c r="E3223">
        <v>7</v>
      </c>
      <c r="F3223" t="s">
        <v>3783</v>
      </c>
    </row>
    <row r="3224" spans="1:6" x14ac:dyDescent="0.25">
      <c r="A3224" t="s">
        <v>3613</v>
      </c>
      <c r="B3224" t="s">
        <v>276</v>
      </c>
      <c r="C3224" t="s">
        <v>277</v>
      </c>
      <c r="D3224" t="str">
        <f>HYPERLINK("http://service.sap.com/sap/support/notes/1706859","1706859")</f>
        <v>1706859</v>
      </c>
      <c r="E3224">
        <v>2</v>
      </c>
      <c r="F3224" t="s">
        <v>3784</v>
      </c>
    </row>
    <row r="3225" spans="1:6" x14ac:dyDescent="0.25">
      <c r="A3225" t="s">
        <v>3613</v>
      </c>
      <c r="B3225" t="s">
        <v>279</v>
      </c>
      <c r="C3225" t="s">
        <v>280</v>
      </c>
      <c r="D3225" t="str">
        <f>HYPERLINK("http://service.sap.com/sap/support/notes/719348","719348")</f>
        <v>719348</v>
      </c>
      <c r="E3225">
        <v>2</v>
      </c>
      <c r="F3225" t="s">
        <v>3785</v>
      </c>
    </row>
    <row r="3226" spans="1:6" x14ac:dyDescent="0.25">
      <c r="A3226" t="s">
        <v>3613</v>
      </c>
      <c r="B3226" t="s">
        <v>279</v>
      </c>
      <c r="C3226" t="s">
        <v>280</v>
      </c>
      <c r="D3226" t="str">
        <f>HYPERLINK("http://service.sap.com/sap/support/notes/1405156","1405156")</f>
        <v>1405156</v>
      </c>
      <c r="E3226">
        <v>1</v>
      </c>
      <c r="F3226" t="s">
        <v>3786</v>
      </c>
    </row>
    <row r="3227" spans="1:6" x14ac:dyDescent="0.25">
      <c r="A3227" t="s">
        <v>3613</v>
      </c>
      <c r="B3227" t="s">
        <v>279</v>
      </c>
      <c r="C3227" t="s">
        <v>280</v>
      </c>
      <c r="D3227" t="str">
        <f>HYPERLINK("http://service.sap.com/sap/support/notes/1536478","1536478")</f>
        <v>1536478</v>
      </c>
      <c r="E3227">
        <v>8</v>
      </c>
      <c r="F3227" t="s">
        <v>3787</v>
      </c>
    </row>
    <row r="3228" spans="1:6" x14ac:dyDescent="0.25">
      <c r="A3228" t="s">
        <v>3613</v>
      </c>
      <c r="B3228" t="s">
        <v>279</v>
      </c>
      <c r="C3228" t="s">
        <v>280</v>
      </c>
      <c r="D3228" t="str">
        <f>HYPERLINK("http://service.sap.com/sap/support/notes/1630664","1630664")</f>
        <v>1630664</v>
      </c>
      <c r="E3228">
        <v>2</v>
      </c>
      <c r="F3228" t="s">
        <v>3788</v>
      </c>
    </row>
    <row r="3229" spans="1:6" x14ac:dyDescent="0.25">
      <c r="A3229" t="s">
        <v>3613</v>
      </c>
      <c r="B3229" t="s">
        <v>279</v>
      </c>
      <c r="C3229" t="s">
        <v>280</v>
      </c>
      <c r="D3229" t="str">
        <f>HYPERLINK("http://service.sap.com/sap/support/notes/1667222","1667222")</f>
        <v>1667222</v>
      </c>
      <c r="E3229">
        <v>2</v>
      </c>
      <c r="F3229" t="s">
        <v>3789</v>
      </c>
    </row>
    <row r="3230" spans="1:6" x14ac:dyDescent="0.25">
      <c r="A3230" t="s">
        <v>3613</v>
      </c>
      <c r="B3230" t="s">
        <v>279</v>
      </c>
      <c r="C3230" t="s">
        <v>280</v>
      </c>
      <c r="D3230" t="str">
        <f>HYPERLINK("http://service.sap.com/sap/support/notes/1673110","1673110")</f>
        <v>1673110</v>
      </c>
      <c r="E3230">
        <v>1</v>
      </c>
      <c r="F3230" t="s">
        <v>3790</v>
      </c>
    </row>
    <row r="3231" spans="1:6" x14ac:dyDescent="0.25">
      <c r="A3231" t="s">
        <v>3613</v>
      </c>
      <c r="B3231" t="s">
        <v>279</v>
      </c>
      <c r="C3231" t="s">
        <v>280</v>
      </c>
      <c r="D3231" t="str">
        <f>HYPERLINK("http://service.sap.com/sap/support/notes/1710048","1710048")</f>
        <v>1710048</v>
      </c>
      <c r="E3231">
        <v>3</v>
      </c>
      <c r="F3231" t="s">
        <v>3791</v>
      </c>
    </row>
    <row r="3232" spans="1:6" x14ac:dyDescent="0.25">
      <c r="A3232" t="s">
        <v>3613</v>
      </c>
      <c r="B3232" t="s">
        <v>72</v>
      </c>
      <c r="C3232" t="s">
        <v>73</v>
      </c>
    </row>
    <row r="3233" spans="1:6" x14ac:dyDescent="0.25">
      <c r="A3233" t="s">
        <v>3613</v>
      </c>
      <c r="B3233" t="s">
        <v>364</v>
      </c>
      <c r="C3233" t="s">
        <v>422</v>
      </c>
      <c r="D3233" t="str">
        <f>HYPERLINK("http://service.sap.com/sap/support/notes/1704097","1704097")</f>
        <v>1704097</v>
      </c>
      <c r="E3233">
        <v>2</v>
      </c>
      <c r="F3233" t="s">
        <v>3792</v>
      </c>
    </row>
    <row r="3234" spans="1:6" x14ac:dyDescent="0.25">
      <c r="A3234" t="s">
        <v>3613</v>
      </c>
      <c r="B3234" t="s">
        <v>364</v>
      </c>
      <c r="C3234" t="s">
        <v>422</v>
      </c>
      <c r="D3234" t="str">
        <f>HYPERLINK("http://service.sap.com/sap/support/notes/1717130","1717130")</f>
        <v>1717130</v>
      </c>
      <c r="E3234">
        <v>1</v>
      </c>
      <c r="F3234" t="s">
        <v>633</v>
      </c>
    </row>
    <row r="3235" spans="1:6" x14ac:dyDescent="0.25">
      <c r="A3235" t="s">
        <v>3613</v>
      </c>
      <c r="B3235" t="s">
        <v>281</v>
      </c>
      <c r="C3235" t="s">
        <v>368</v>
      </c>
    </row>
    <row r="3236" spans="1:6" x14ac:dyDescent="0.25">
      <c r="A3236" t="s">
        <v>3613</v>
      </c>
      <c r="B3236" t="s">
        <v>282</v>
      </c>
      <c r="C3236" t="s">
        <v>369</v>
      </c>
    </row>
    <row r="3237" spans="1:6" x14ac:dyDescent="0.25">
      <c r="A3237" t="s">
        <v>3613</v>
      </c>
      <c r="B3237" t="s">
        <v>580</v>
      </c>
      <c r="C3237" t="s">
        <v>581</v>
      </c>
      <c r="D3237" t="str">
        <f>HYPERLINK("http://service.sap.com/sap/support/notes/1422919","1422919")</f>
        <v>1422919</v>
      </c>
      <c r="E3237">
        <v>1</v>
      </c>
      <c r="F3237" t="s">
        <v>3793</v>
      </c>
    </row>
    <row r="3238" spans="1:6" x14ac:dyDescent="0.25">
      <c r="A3238" t="s">
        <v>3613</v>
      </c>
      <c r="B3238" t="s">
        <v>284</v>
      </c>
      <c r="C3238" t="s">
        <v>393</v>
      </c>
    </row>
    <row r="3239" spans="1:6" x14ac:dyDescent="0.25">
      <c r="A3239" t="s">
        <v>3613</v>
      </c>
      <c r="B3239" t="s">
        <v>285</v>
      </c>
      <c r="C3239" t="s">
        <v>286</v>
      </c>
      <c r="D3239" t="str">
        <f>HYPERLINK("http://service.sap.com/sap/support/notes/1674797","1674797")</f>
        <v>1674797</v>
      </c>
      <c r="E3239">
        <v>1</v>
      </c>
      <c r="F3239" t="s">
        <v>3794</v>
      </c>
    </row>
    <row r="3240" spans="1:6" x14ac:dyDescent="0.25">
      <c r="A3240" t="s">
        <v>3613</v>
      </c>
      <c r="B3240" t="s">
        <v>287</v>
      </c>
      <c r="C3240" t="s">
        <v>288</v>
      </c>
      <c r="D3240" t="str">
        <f>HYPERLINK("http://service.sap.com/sap/support/notes/1662406","1662406")</f>
        <v>1662406</v>
      </c>
      <c r="E3240">
        <v>1</v>
      </c>
      <c r="F3240" t="s">
        <v>3795</v>
      </c>
    </row>
    <row r="3241" spans="1:6" x14ac:dyDescent="0.25">
      <c r="A3241" t="s">
        <v>3613</v>
      </c>
      <c r="B3241" t="s">
        <v>291</v>
      </c>
      <c r="C3241" t="s">
        <v>292</v>
      </c>
      <c r="D3241" t="str">
        <f>HYPERLINK("http://service.sap.com/sap/support/notes/1656833","1656833")</f>
        <v>1656833</v>
      </c>
      <c r="E3241">
        <v>2</v>
      </c>
      <c r="F3241" t="s">
        <v>3796</v>
      </c>
    </row>
    <row r="3242" spans="1:6" x14ac:dyDescent="0.25">
      <c r="A3242" t="s">
        <v>3613</v>
      </c>
      <c r="B3242" t="s">
        <v>291</v>
      </c>
      <c r="C3242" t="s">
        <v>292</v>
      </c>
      <c r="D3242" t="str">
        <f>HYPERLINK("http://service.sap.com/sap/support/notes/1672332","1672332")</f>
        <v>1672332</v>
      </c>
      <c r="E3242">
        <v>2</v>
      </c>
      <c r="F3242" t="s">
        <v>3797</v>
      </c>
    </row>
    <row r="3243" spans="1:6" x14ac:dyDescent="0.25">
      <c r="A3243" t="s">
        <v>3613</v>
      </c>
      <c r="B3243" t="s">
        <v>293</v>
      </c>
      <c r="C3243" t="s">
        <v>294</v>
      </c>
      <c r="D3243" t="str">
        <f>HYPERLINK("http://service.sap.com/sap/support/notes/1567152","1567152")</f>
        <v>1567152</v>
      </c>
      <c r="E3243">
        <v>4</v>
      </c>
      <c r="F3243" t="s">
        <v>423</v>
      </c>
    </row>
    <row r="3244" spans="1:6" x14ac:dyDescent="0.25">
      <c r="A3244" t="s">
        <v>3613</v>
      </c>
      <c r="B3244" t="s">
        <v>293</v>
      </c>
      <c r="C3244" t="s">
        <v>294</v>
      </c>
      <c r="D3244" t="str">
        <f>HYPERLINK("http://service.sap.com/sap/support/notes/1607732","1607732")</f>
        <v>1607732</v>
      </c>
      <c r="E3244">
        <v>4</v>
      </c>
      <c r="F3244" t="s">
        <v>3798</v>
      </c>
    </row>
    <row r="3245" spans="1:6" x14ac:dyDescent="0.25">
      <c r="A3245" t="s">
        <v>3613</v>
      </c>
      <c r="B3245" t="s">
        <v>293</v>
      </c>
      <c r="C3245" t="s">
        <v>294</v>
      </c>
      <c r="D3245" t="str">
        <f>HYPERLINK("http://service.sap.com/sap/support/notes/1657394","1657394")</f>
        <v>1657394</v>
      </c>
      <c r="E3245">
        <v>2</v>
      </c>
      <c r="F3245" t="s">
        <v>3799</v>
      </c>
    </row>
    <row r="3246" spans="1:6" x14ac:dyDescent="0.25">
      <c r="A3246" t="s">
        <v>3613</v>
      </c>
      <c r="B3246" t="s">
        <v>293</v>
      </c>
      <c r="C3246" t="s">
        <v>294</v>
      </c>
      <c r="D3246" t="str">
        <f>HYPERLINK("http://service.sap.com/sap/support/notes/1661664","1661664")</f>
        <v>1661664</v>
      </c>
      <c r="E3246">
        <v>4</v>
      </c>
      <c r="F3246" t="s">
        <v>295</v>
      </c>
    </row>
    <row r="3247" spans="1:6" x14ac:dyDescent="0.25">
      <c r="A3247" t="s">
        <v>3613</v>
      </c>
      <c r="B3247" t="s">
        <v>293</v>
      </c>
      <c r="C3247" t="s">
        <v>294</v>
      </c>
      <c r="D3247" t="str">
        <f>HYPERLINK("http://service.sap.com/sap/support/notes/1665298","1665298")</f>
        <v>1665298</v>
      </c>
      <c r="E3247">
        <v>1</v>
      </c>
      <c r="F3247" t="s">
        <v>3800</v>
      </c>
    </row>
    <row r="3248" spans="1:6" x14ac:dyDescent="0.25">
      <c r="A3248" t="s">
        <v>3613</v>
      </c>
      <c r="B3248" t="s">
        <v>293</v>
      </c>
      <c r="C3248" t="s">
        <v>294</v>
      </c>
      <c r="D3248" t="str">
        <f>HYPERLINK("http://service.sap.com/sap/support/notes/1670622","1670622")</f>
        <v>1670622</v>
      </c>
      <c r="E3248">
        <v>1</v>
      </c>
      <c r="F3248" t="s">
        <v>3801</v>
      </c>
    </row>
    <row r="3249" spans="1:6" x14ac:dyDescent="0.25">
      <c r="A3249" t="s">
        <v>3613</v>
      </c>
      <c r="B3249" t="s">
        <v>293</v>
      </c>
      <c r="C3249" t="s">
        <v>294</v>
      </c>
      <c r="D3249" t="str">
        <f>HYPERLINK("http://service.sap.com/sap/support/notes/1671728","1671728")</f>
        <v>1671728</v>
      </c>
      <c r="E3249">
        <v>1</v>
      </c>
      <c r="F3249" t="s">
        <v>3802</v>
      </c>
    </row>
    <row r="3250" spans="1:6" x14ac:dyDescent="0.25">
      <c r="A3250" t="s">
        <v>3613</v>
      </c>
      <c r="B3250" t="s">
        <v>293</v>
      </c>
      <c r="C3250" t="s">
        <v>294</v>
      </c>
      <c r="D3250" t="str">
        <f>HYPERLINK("http://service.sap.com/sap/support/notes/1686091","1686091")</f>
        <v>1686091</v>
      </c>
      <c r="E3250">
        <v>1</v>
      </c>
      <c r="F3250" t="s">
        <v>3803</v>
      </c>
    </row>
    <row r="3251" spans="1:6" x14ac:dyDescent="0.25">
      <c r="A3251" t="s">
        <v>3613</v>
      </c>
      <c r="B3251" t="s">
        <v>293</v>
      </c>
      <c r="C3251" t="s">
        <v>294</v>
      </c>
      <c r="D3251" t="str">
        <f>HYPERLINK("http://service.sap.com/sap/support/notes/1701226","1701226")</f>
        <v>1701226</v>
      </c>
      <c r="E3251">
        <v>1</v>
      </c>
      <c r="F3251" t="s">
        <v>3804</v>
      </c>
    </row>
    <row r="3252" spans="1:6" x14ac:dyDescent="0.25">
      <c r="A3252" t="s">
        <v>3613</v>
      </c>
      <c r="B3252" t="s">
        <v>293</v>
      </c>
      <c r="C3252" t="s">
        <v>294</v>
      </c>
      <c r="D3252" t="str">
        <f>HYPERLINK("http://service.sap.com/sap/support/notes/1701612","1701612")</f>
        <v>1701612</v>
      </c>
      <c r="E3252">
        <v>2</v>
      </c>
      <c r="F3252" t="s">
        <v>3805</v>
      </c>
    </row>
    <row r="3253" spans="1:6" x14ac:dyDescent="0.25">
      <c r="A3253" t="s">
        <v>3613</v>
      </c>
      <c r="B3253" t="s">
        <v>293</v>
      </c>
      <c r="C3253" t="s">
        <v>294</v>
      </c>
      <c r="D3253" t="str">
        <f>HYPERLINK("http://service.sap.com/sap/support/notes/1710933","1710933")</f>
        <v>1710933</v>
      </c>
      <c r="E3253">
        <v>1</v>
      </c>
      <c r="F3253" t="s">
        <v>3806</v>
      </c>
    </row>
    <row r="3254" spans="1:6" x14ac:dyDescent="0.25">
      <c r="A3254" t="s">
        <v>3613</v>
      </c>
      <c r="B3254" t="s">
        <v>293</v>
      </c>
      <c r="C3254" t="s">
        <v>294</v>
      </c>
      <c r="D3254" t="str">
        <f>HYPERLINK("http://service.sap.com/sap/support/notes/1713180","1713180")</f>
        <v>1713180</v>
      </c>
      <c r="E3254">
        <v>2</v>
      </c>
      <c r="F3254" t="s">
        <v>3807</v>
      </c>
    </row>
    <row r="3255" spans="1:6" x14ac:dyDescent="0.25">
      <c r="A3255" t="s">
        <v>3613</v>
      </c>
      <c r="B3255" t="s">
        <v>3808</v>
      </c>
      <c r="C3255" t="s">
        <v>3809</v>
      </c>
      <c r="D3255" t="str">
        <f>HYPERLINK("http://service.sap.com/sap/support/notes/1675367","1675367")</f>
        <v>1675367</v>
      </c>
      <c r="E3255">
        <v>2</v>
      </c>
      <c r="F3255" t="s">
        <v>3810</v>
      </c>
    </row>
    <row r="3256" spans="1:6" x14ac:dyDescent="0.25">
      <c r="A3256" t="s">
        <v>3613</v>
      </c>
      <c r="B3256" t="s">
        <v>298</v>
      </c>
      <c r="C3256" t="s">
        <v>588</v>
      </c>
    </row>
    <row r="3257" spans="1:6" x14ac:dyDescent="0.25">
      <c r="A3257" t="s">
        <v>3613</v>
      </c>
      <c r="B3257" t="s">
        <v>299</v>
      </c>
      <c r="C3257" t="s">
        <v>300</v>
      </c>
      <c r="D3257" t="str">
        <f>HYPERLINK("http://service.sap.com/sap/support/notes/1665767","1665767")</f>
        <v>1665767</v>
      </c>
      <c r="E3257">
        <v>1</v>
      </c>
      <c r="F3257" t="s">
        <v>3811</v>
      </c>
    </row>
    <row r="3258" spans="1:6" x14ac:dyDescent="0.25">
      <c r="A3258" t="s">
        <v>3613</v>
      </c>
      <c r="B3258" t="s">
        <v>299</v>
      </c>
      <c r="C3258" t="s">
        <v>300</v>
      </c>
      <c r="D3258" t="str">
        <f>HYPERLINK("http://service.sap.com/sap/support/notes/1683081","1683081")</f>
        <v>1683081</v>
      </c>
      <c r="E3258">
        <v>1</v>
      </c>
      <c r="F3258" t="s">
        <v>3812</v>
      </c>
    </row>
    <row r="3259" spans="1:6" x14ac:dyDescent="0.25">
      <c r="A3259" t="s">
        <v>3613</v>
      </c>
      <c r="B3259" t="s">
        <v>299</v>
      </c>
      <c r="C3259" t="s">
        <v>300</v>
      </c>
      <c r="D3259" t="str">
        <f>HYPERLINK("http://service.sap.com/sap/support/notes/1686959","1686959")</f>
        <v>1686959</v>
      </c>
      <c r="E3259">
        <v>3</v>
      </c>
      <c r="F3259" t="s">
        <v>3813</v>
      </c>
    </row>
    <row r="3260" spans="1:6" x14ac:dyDescent="0.25">
      <c r="A3260" t="s">
        <v>3613</v>
      </c>
      <c r="B3260" t="s">
        <v>299</v>
      </c>
      <c r="C3260" t="s">
        <v>300</v>
      </c>
      <c r="D3260" t="str">
        <f>HYPERLINK("http://service.sap.com/sap/support/notes/1702071","1702071")</f>
        <v>1702071</v>
      </c>
      <c r="E3260">
        <v>1</v>
      </c>
      <c r="F3260" t="s">
        <v>3814</v>
      </c>
    </row>
    <row r="3261" spans="1:6" x14ac:dyDescent="0.25">
      <c r="A3261" t="s">
        <v>3613</v>
      </c>
      <c r="B3261" t="s">
        <v>299</v>
      </c>
      <c r="C3261" t="s">
        <v>300</v>
      </c>
      <c r="D3261" t="str">
        <f>HYPERLINK("http://service.sap.com/sap/support/notes/1712082","1712082")</f>
        <v>1712082</v>
      </c>
      <c r="E3261">
        <v>1</v>
      </c>
      <c r="F3261" t="s">
        <v>3815</v>
      </c>
    </row>
    <row r="3262" spans="1:6" x14ac:dyDescent="0.25">
      <c r="A3262" t="s">
        <v>3613</v>
      </c>
      <c r="B3262" t="s">
        <v>589</v>
      </c>
      <c r="C3262" t="s">
        <v>3816</v>
      </c>
      <c r="D3262" t="str">
        <f>HYPERLINK("http://service.sap.com/sap/support/notes/1683929","1683929")</f>
        <v>1683929</v>
      </c>
      <c r="E3262">
        <v>1</v>
      </c>
      <c r="F3262" t="s">
        <v>3817</v>
      </c>
    </row>
    <row r="3263" spans="1:6" x14ac:dyDescent="0.25">
      <c r="A3263" t="s">
        <v>3613</v>
      </c>
      <c r="B3263" t="s">
        <v>303</v>
      </c>
      <c r="C3263" t="s">
        <v>304</v>
      </c>
      <c r="D3263" t="str">
        <f>HYPERLINK("http://service.sap.com/sap/support/notes/1659014","1659014")</f>
        <v>1659014</v>
      </c>
      <c r="E3263">
        <v>1</v>
      </c>
      <c r="F3263" t="s">
        <v>3818</v>
      </c>
    </row>
    <row r="3264" spans="1:6" x14ac:dyDescent="0.25">
      <c r="A3264" t="s">
        <v>3613</v>
      </c>
      <c r="B3264" t="s">
        <v>76</v>
      </c>
      <c r="C3264" t="s">
        <v>77</v>
      </c>
    </row>
    <row r="3265" spans="1:6" x14ac:dyDescent="0.25">
      <c r="A3265" t="s">
        <v>3613</v>
      </c>
      <c r="B3265" t="s">
        <v>78</v>
      </c>
      <c r="C3265" t="s">
        <v>79</v>
      </c>
      <c r="D3265" t="str">
        <f>HYPERLINK("http://service.sap.com/sap/support/notes/1578290","1578290")</f>
        <v>1578290</v>
      </c>
      <c r="E3265">
        <v>19</v>
      </c>
      <c r="F3265" t="s">
        <v>3819</v>
      </c>
    </row>
    <row r="3266" spans="1:6" x14ac:dyDescent="0.25">
      <c r="A3266" t="s">
        <v>3613</v>
      </c>
      <c r="B3266" t="s">
        <v>78</v>
      </c>
      <c r="C3266" t="s">
        <v>79</v>
      </c>
      <c r="D3266" t="str">
        <f>HYPERLINK("http://service.sap.com/sap/support/notes/1710964","1710964")</f>
        <v>1710964</v>
      </c>
      <c r="E3266">
        <v>1</v>
      </c>
      <c r="F3266" t="s">
        <v>3820</v>
      </c>
    </row>
    <row r="3267" spans="1:6" x14ac:dyDescent="0.25">
      <c r="A3267" t="s">
        <v>3613</v>
      </c>
      <c r="B3267" t="s">
        <v>80</v>
      </c>
      <c r="C3267" t="s">
        <v>32</v>
      </c>
      <c r="D3267" t="str">
        <f>HYPERLINK("http://service.sap.com/sap/support/notes/1529938","1529938")</f>
        <v>1529938</v>
      </c>
      <c r="E3267">
        <v>1</v>
      </c>
      <c r="F3267" t="s">
        <v>3821</v>
      </c>
    </row>
    <row r="3268" spans="1:6" x14ac:dyDescent="0.25">
      <c r="A3268" t="s">
        <v>3613</v>
      </c>
      <c r="B3268" t="s">
        <v>80</v>
      </c>
      <c r="C3268" t="s">
        <v>32</v>
      </c>
      <c r="D3268" t="str">
        <f>HYPERLINK("http://service.sap.com/sap/support/notes/1692429","1692429")</f>
        <v>1692429</v>
      </c>
      <c r="E3268">
        <v>7</v>
      </c>
      <c r="F3268" t="s">
        <v>3271</v>
      </c>
    </row>
    <row r="3269" spans="1:6" x14ac:dyDescent="0.25">
      <c r="A3269" t="s">
        <v>3613</v>
      </c>
      <c r="B3269" t="s">
        <v>80</v>
      </c>
      <c r="C3269" t="s">
        <v>32</v>
      </c>
      <c r="D3269" t="str">
        <f>HYPERLINK("http://service.sap.com/sap/support/notes/1695682","1695682")</f>
        <v>1695682</v>
      </c>
      <c r="E3269">
        <v>1</v>
      </c>
      <c r="F3269" t="s">
        <v>3822</v>
      </c>
    </row>
    <row r="3270" spans="1:6" x14ac:dyDescent="0.25">
      <c r="A3270" t="s">
        <v>3613</v>
      </c>
      <c r="B3270" t="s">
        <v>80</v>
      </c>
      <c r="C3270" t="s">
        <v>32</v>
      </c>
      <c r="D3270" t="str">
        <f>HYPERLINK("http://service.sap.com/sap/support/notes/1697064","1697064")</f>
        <v>1697064</v>
      </c>
      <c r="E3270">
        <v>1</v>
      </c>
      <c r="F3270" t="s">
        <v>3823</v>
      </c>
    </row>
    <row r="3271" spans="1:6" x14ac:dyDescent="0.25">
      <c r="A3271" t="s">
        <v>3613</v>
      </c>
      <c r="B3271" t="s">
        <v>80</v>
      </c>
      <c r="C3271" t="s">
        <v>32</v>
      </c>
      <c r="D3271" t="str">
        <f>HYPERLINK("http://service.sap.com/sap/support/notes/1700128","1700128")</f>
        <v>1700128</v>
      </c>
      <c r="E3271">
        <v>2</v>
      </c>
      <c r="F3271" t="s">
        <v>3273</v>
      </c>
    </row>
    <row r="3272" spans="1:6" x14ac:dyDescent="0.25">
      <c r="A3272" t="s">
        <v>3613</v>
      </c>
      <c r="B3272" t="s">
        <v>80</v>
      </c>
      <c r="C3272" t="s">
        <v>32</v>
      </c>
      <c r="D3272" t="str">
        <f>HYPERLINK("http://service.sap.com/sap/support/notes/1700613","1700613")</f>
        <v>1700613</v>
      </c>
      <c r="E3272">
        <v>4</v>
      </c>
      <c r="F3272" t="s">
        <v>3824</v>
      </c>
    </row>
    <row r="3273" spans="1:6" x14ac:dyDescent="0.25">
      <c r="A3273" t="s">
        <v>3613</v>
      </c>
      <c r="B3273" t="s">
        <v>80</v>
      </c>
      <c r="C3273" t="s">
        <v>32</v>
      </c>
      <c r="D3273" t="str">
        <f>HYPERLINK("http://service.sap.com/sap/support/notes/1701583","1701583")</f>
        <v>1701583</v>
      </c>
      <c r="E3273">
        <v>1</v>
      </c>
      <c r="F3273" t="s">
        <v>3825</v>
      </c>
    </row>
    <row r="3274" spans="1:6" x14ac:dyDescent="0.25">
      <c r="A3274" t="s">
        <v>3613</v>
      </c>
      <c r="B3274" t="s">
        <v>80</v>
      </c>
      <c r="C3274" t="s">
        <v>32</v>
      </c>
      <c r="D3274" t="str">
        <f>HYPERLINK("http://service.sap.com/sap/support/notes/1702522","1702522")</f>
        <v>1702522</v>
      </c>
      <c r="E3274">
        <v>4</v>
      </c>
      <c r="F3274" t="s">
        <v>3826</v>
      </c>
    </row>
    <row r="3275" spans="1:6" x14ac:dyDescent="0.25">
      <c r="A3275" t="s">
        <v>3613</v>
      </c>
      <c r="B3275" t="s">
        <v>80</v>
      </c>
      <c r="C3275" t="s">
        <v>32</v>
      </c>
      <c r="D3275" t="str">
        <f>HYPERLINK("http://service.sap.com/sap/support/notes/1703256","1703256")</f>
        <v>1703256</v>
      </c>
      <c r="E3275">
        <v>1</v>
      </c>
      <c r="F3275" t="s">
        <v>3274</v>
      </c>
    </row>
    <row r="3276" spans="1:6" x14ac:dyDescent="0.25">
      <c r="A3276" t="s">
        <v>3613</v>
      </c>
      <c r="B3276" t="s">
        <v>80</v>
      </c>
      <c r="C3276" t="s">
        <v>32</v>
      </c>
      <c r="D3276" t="str">
        <f>HYPERLINK("http://service.sap.com/sap/support/notes/1707840","1707840")</f>
        <v>1707840</v>
      </c>
      <c r="E3276">
        <v>2</v>
      </c>
      <c r="F3276" t="s">
        <v>3827</v>
      </c>
    </row>
    <row r="3277" spans="1:6" x14ac:dyDescent="0.25">
      <c r="A3277" t="s">
        <v>3613</v>
      </c>
      <c r="B3277" t="s">
        <v>80</v>
      </c>
      <c r="C3277" t="s">
        <v>32</v>
      </c>
      <c r="D3277" t="str">
        <f>HYPERLINK("http://service.sap.com/sap/support/notes/1708674","1708674")</f>
        <v>1708674</v>
      </c>
      <c r="E3277">
        <v>3</v>
      </c>
      <c r="F3277" t="s">
        <v>3828</v>
      </c>
    </row>
    <row r="3278" spans="1:6" x14ac:dyDescent="0.25">
      <c r="A3278" t="s">
        <v>3613</v>
      </c>
      <c r="B3278" t="s">
        <v>80</v>
      </c>
      <c r="C3278" t="s">
        <v>32</v>
      </c>
      <c r="D3278" t="str">
        <f>HYPERLINK("http://service.sap.com/sap/support/notes/1713374","1713374")</f>
        <v>1713374</v>
      </c>
      <c r="E3278">
        <v>2</v>
      </c>
      <c r="F3278" t="s">
        <v>3829</v>
      </c>
    </row>
    <row r="3279" spans="1:6" x14ac:dyDescent="0.25">
      <c r="A3279" t="s">
        <v>3613</v>
      </c>
      <c r="B3279" t="s">
        <v>80</v>
      </c>
      <c r="C3279" t="s">
        <v>32</v>
      </c>
      <c r="D3279" t="str">
        <f>HYPERLINK("http://service.sap.com/sap/support/notes/1713505","1713505")</f>
        <v>1713505</v>
      </c>
      <c r="E3279">
        <v>3</v>
      </c>
      <c r="F3279" t="s">
        <v>3830</v>
      </c>
    </row>
    <row r="3280" spans="1:6" x14ac:dyDescent="0.25">
      <c r="A3280" t="s">
        <v>3613</v>
      </c>
      <c r="B3280" t="s">
        <v>80</v>
      </c>
      <c r="C3280" t="s">
        <v>32</v>
      </c>
      <c r="D3280" t="str">
        <f>HYPERLINK("http://service.sap.com/sap/support/notes/1714077","1714077")</f>
        <v>1714077</v>
      </c>
      <c r="E3280">
        <v>1</v>
      </c>
      <c r="F3280" t="s">
        <v>3831</v>
      </c>
    </row>
    <row r="3281" spans="1:6" x14ac:dyDescent="0.25">
      <c r="A3281" t="s">
        <v>3613</v>
      </c>
      <c r="B3281" t="s">
        <v>80</v>
      </c>
      <c r="C3281" t="s">
        <v>32</v>
      </c>
      <c r="D3281" t="str">
        <f>HYPERLINK("http://service.sap.com/sap/support/notes/1716730","1716730")</f>
        <v>1716730</v>
      </c>
      <c r="E3281">
        <v>2</v>
      </c>
      <c r="F3281" t="s">
        <v>3832</v>
      </c>
    </row>
    <row r="3282" spans="1:6" x14ac:dyDescent="0.25">
      <c r="A3282" t="s">
        <v>3613</v>
      </c>
      <c r="B3282" t="s">
        <v>80</v>
      </c>
      <c r="C3282" t="s">
        <v>32</v>
      </c>
      <c r="D3282" t="str">
        <f>HYPERLINK("http://service.sap.com/sap/support/notes/1717435","1717435")</f>
        <v>1717435</v>
      </c>
      <c r="E3282">
        <v>1</v>
      </c>
      <c r="F3282" t="s">
        <v>3833</v>
      </c>
    </row>
    <row r="3283" spans="1:6" x14ac:dyDescent="0.25">
      <c r="A3283" t="s">
        <v>3613</v>
      </c>
      <c r="B3283" t="s">
        <v>80</v>
      </c>
      <c r="C3283" t="s">
        <v>32</v>
      </c>
      <c r="D3283" t="str">
        <f>HYPERLINK("http://service.sap.com/sap/support/notes/1719817","1719817")</f>
        <v>1719817</v>
      </c>
      <c r="E3283">
        <v>2</v>
      </c>
      <c r="F3283" t="s">
        <v>3834</v>
      </c>
    </row>
    <row r="3284" spans="1:6" x14ac:dyDescent="0.25">
      <c r="A3284" t="s">
        <v>3613</v>
      </c>
      <c r="B3284" t="s">
        <v>81</v>
      </c>
      <c r="C3284" t="s">
        <v>82</v>
      </c>
      <c r="D3284" t="str">
        <f>HYPERLINK("http://service.sap.com/sap/support/notes/1644116","1644116")</f>
        <v>1644116</v>
      </c>
      <c r="E3284">
        <v>6</v>
      </c>
      <c r="F3284" t="s">
        <v>3835</v>
      </c>
    </row>
    <row r="3285" spans="1:6" x14ac:dyDescent="0.25">
      <c r="A3285" t="s">
        <v>3613</v>
      </c>
      <c r="B3285" t="s">
        <v>81</v>
      </c>
      <c r="C3285" t="s">
        <v>82</v>
      </c>
      <c r="D3285" t="str">
        <f>HYPERLINK("http://service.sap.com/sap/support/notes/1664416","1664416")</f>
        <v>1664416</v>
      </c>
      <c r="E3285">
        <v>4</v>
      </c>
      <c r="F3285" t="s">
        <v>3836</v>
      </c>
    </row>
    <row r="3286" spans="1:6" x14ac:dyDescent="0.25">
      <c r="A3286" t="s">
        <v>3613</v>
      </c>
      <c r="B3286" t="s">
        <v>83</v>
      </c>
      <c r="C3286" t="s">
        <v>84</v>
      </c>
      <c r="D3286" t="str">
        <f>HYPERLINK("http://service.sap.com/sap/support/notes/815445","815445")</f>
        <v>815445</v>
      </c>
      <c r="E3286">
        <v>1</v>
      </c>
      <c r="F3286" t="s">
        <v>85</v>
      </c>
    </row>
    <row r="3287" spans="1:6" x14ac:dyDescent="0.25">
      <c r="A3287" t="s">
        <v>3613</v>
      </c>
      <c r="B3287" t="s">
        <v>83</v>
      </c>
      <c r="C3287" t="s">
        <v>84</v>
      </c>
      <c r="D3287" t="str">
        <f>HYPERLINK("http://service.sap.com/sap/support/notes/1660259","1660259")</f>
        <v>1660259</v>
      </c>
      <c r="E3287">
        <v>3</v>
      </c>
      <c r="F3287" t="s">
        <v>3837</v>
      </c>
    </row>
    <row r="3288" spans="1:6" x14ac:dyDescent="0.25">
      <c r="A3288" t="s">
        <v>3613</v>
      </c>
      <c r="B3288" t="s">
        <v>83</v>
      </c>
      <c r="C3288" t="s">
        <v>84</v>
      </c>
      <c r="D3288" t="str">
        <f>HYPERLINK("http://service.sap.com/sap/support/notes/1689727","1689727")</f>
        <v>1689727</v>
      </c>
      <c r="E3288">
        <v>3</v>
      </c>
      <c r="F3288" t="s">
        <v>2897</v>
      </c>
    </row>
    <row r="3289" spans="1:6" x14ac:dyDescent="0.25">
      <c r="A3289" t="s">
        <v>3613</v>
      </c>
      <c r="B3289" t="s">
        <v>83</v>
      </c>
      <c r="C3289" t="s">
        <v>84</v>
      </c>
      <c r="D3289" t="str">
        <f>HYPERLINK("http://service.sap.com/sap/support/notes/1706945","1706945")</f>
        <v>1706945</v>
      </c>
      <c r="E3289">
        <v>2</v>
      </c>
      <c r="F3289" t="s">
        <v>3838</v>
      </c>
    </row>
    <row r="3290" spans="1:6" x14ac:dyDescent="0.25">
      <c r="A3290" t="s">
        <v>3613</v>
      </c>
      <c r="B3290" t="s">
        <v>83</v>
      </c>
      <c r="C3290" t="s">
        <v>84</v>
      </c>
      <c r="D3290" t="str">
        <f>HYPERLINK("http://service.sap.com/sap/support/notes/1708738","1708738")</f>
        <v>1708738</v>
      </c>
      <c r="E3290">
        <v>1</v>
      </c>
      <c r="F3290" t="s">
        <v>3839</v>
      </c>
    </row>
    <row r="3291" spans="1:6" x14ac:dyDescent="0.25">
      <c r="A3291" t="s">
        <v>3613</v>
      </c>
      <c r="B3291" t="s">
        <v>83</v>
      </c>
      <c r="C3291" t="s">
        <v>84</v>
      </c>
      <c r="D3291" t="str">
        <f>HYPERLINK("http://service.sap.com/sap/support/notes/1709109","1709109")</f>
        <v>1709109</v>
      </c>
      <c r="E3291">
        <v>1</v>
      </c>
      <c r="F3291" t="s">
        <v>3840</v>
      </c>
    </row>
    <row r="3292" spans="1:6" x14ac:dyDescent="0.25">
      <c r="A3292" t="s">
        <v>3613</v>
      </c>
      <c r="B3292" t="s">
        <v>83</v>
      </c>
      <c r="C3292" t="s">
        <v>84</v>
      </c>
      <c r="D3292" t="str">
        <f>HYPERLINK("http://service.sap.com/sap/support/notes/1710096","1710096")</f>
        <v>1710096</v>
      </c>
      <c r="E3292">
        <v>1</v>
      </c>
      <c r="F3292" t="s">
        <v>3841</v>
      </c>
    </row>
    <row r="3293" spans="1:6" x14ac:dyDescent="0.25">
      <c r="A3293" t="s">
        <v>3613</v>
      </c>
      <c r="B3293" t="s">
        <v>83</v>
      </c>
      <c r="C3293" t="s">
        <v>84</v>
      </c>
      <c r="D3293" t="str">
        <f>HYPERLINK("http://service.sap.com/sap/support/notes/1710319","1710319")</f>
        <v>1710319</v>
      </c>
      <c r="E3293">
        <v>2</v>
      </c>
      <c r="F3293" t="s">
        <v>3842</v>
      </c>
    </row>
    <row r="3294" spans="1:6" x14ac:dyDescent="0.25">
      <c r="A3294" t="s">
        <v>3613</v>
      </c>
      <c r="B3294" t="s">
        <v>83</v>
      </c>
      <c r="C3294" t="s">
        <v>84</v>
      </c>
      <c r="D3294" t="str">
        <f>HYPERLINK("http://service.sap.com/sap/support/notes/1710793","1710793")</f>
        <v>1710793</v>
      </c>
      <c r="E3294">
        <v>1</v>
      </c>
      <c r="F3294" t="s">
        <v>3843</v>
      </c>
    </row>
    <row r="3295" spans="1:6" x14ac:dyDescent="0.25">
      <c r="A3295" t="s">
        <v>3613</v>
      </c>
      <c r="B3295" t="s">
        <v>83</v>
      </c>
      <c r="C3295" t="s">
        <v>84</v>
      </c>
      <c r="D3295" t="str">
        <f>HYPERLINK("http://service.sap.com/sap/support/notes/1713298","1713298")</f>
        <v>1713298</v>
      </c>
      <c r="E3295">
        <v>1</v>
      </c>
      <c r="F3295" t="s">
        <v>3844</v>
      </c>
    </row>
    <row r="3296" spans="1:6" x14ac:dyDescent="0.25">
      <c r="A3296" t="s">
        <v>3613</v>
      </c>
      <c r="B3296" t="s">
        <v>83</v>
      </c>
      <c r="C3296" t="s">
        <v>84</v>
      </c>
      <c r="D3296" t="str">
        <f>HYPERLINK("http://service.sap.com/sap/support/notes/1714378","1714378")</f>
        <v>1714378</v>
      </c>
      <c r="E3296">
        <v>1</v>
      </c>
      <c r="F3296" t="s">
        <v>3845</v>
      </c>
    </row>
    <row r="3297" spans="1:6" x14ac:dyDescent="0.25">
      <c r="A3297" t="s">
        <v>3613</v>
      </c>
      <c r="B3297" t="s">
        <v>83</v>
      </c>
      <c r="C3297" t="s">
        <v>84</v>
      </c>
      <c r="D3297" t="str">
        <f>HYPERLINK("http://service.sap.com/sap/support/notes/1714963","1714963")</f>
        <v>1714963</v>
      </c>
      <c r="E3297">
        <v>1</v>
      </c>
      <c r="F3297" t="s">
        <v>3846</v>
      </c>
    </row>
    <row r="3298" spans="1:6" x14ac:dyDescent="0.25">
      <c r="A3298" t="s">
        <v>3613</v>
      </c>
      <c r="B3298" t="s">
        <v>83</v>
      </c>
      <c r="C3298" t="s">
        <v>84</v>
      </c>
      <c r="D3298" t="str">
        <f>HYPERLINK("http://service.sap.com/sap/support/notes/1715446","1715446")</f>
        <v>1715446</v>
      </c>
      <c r="E3298">
        <v>1</v>
      </c>
      <c r="F3298" t="s">
        <v>3847</v>
      </c>
    </row>
    <row r="3299" spans="1:6" x14ac:dyDescent="0.25">
      <c r="A3299" t="s">
        <v>3613</v>
      </c>
      <c r="B3299" t="s">
        <v>83</v>
      </c>
      <c r="C3299" t="s">
        <v>84</v>
      </c>
      <c r="D3299" t="str">
        <f>HYPERLINK("http://service.sap.com/sap/support/notes/1715559","1715559")</f>
        <v>1715559</v>
      </c>
      <c r="E3299">
        <v>1</v>
      </c>
      <c r="F3299" t="s">
        <v>3848</v>
      </c>
    </row>
    <row r="3300" spans="1:6" x14ac:dyDescent="0.25">
      <c r="A3300" t="s">
        <v>3613</v>
      </c>
      <c r="B3300" t="s">
        <v>83</v>
      </c>
      <c r="C3300" t="s">
        <v>84</v>
      </c>
      <c r="D3300" t="str">
        <f>HYPERLINK("http://service.sap.com/sap/support/notes/1716740","1716740")</f>
        <v>1716740</v>
      </c>
      <c r="E3300">
        <v>1</v>
      </c>
      <c r="F3300" t="s">
        <v>3849</v>
      </c>
    </row>
    <row r="3301" spans="1:6" x14ac:dyDescent="0.25">
      <c r="A3301" t="s">
        <v>3613</v>
      </c>
      <c r="B3301" t="s">
        <v>83</v>
      </c>
      <c r="C3301" t="s">
        <v>84</v>
      </c>
      <c r="D3301" t="str">
        <f>HYPERLINK("http://service.sap.com/sap/support/notes/1719596","1719596")</f>
        <v>1719596</v>
      </c>
      <c r="E3301">
        <v>2</v>
      </c>
      <c r="F3301" t="s">
        <v>3850</v>
      </c>
    </row>
    <row r="3302" spans="1:6" x14ac:dyDescent="0.25">
      <c r="A3302" t="s">
        <v>3613</v>
      </c>
      <c r="B3302" t="s">
        <v>83</v>
      </c>
      <c r="C3302" t="s">
        <v>84</v>
      </c>
      <c r="D3302" t="str">
        <f>HYPERLINK("http://service.sap.com/sap/support/notes/1719681","1719681")</f>
        <v>1719681</v>
      </c>
      <c r="E3302">
        <v>1</v>
      </c>
      <c r="F3302" t="s">
        <v>3851</v>
      </c>
    </row>
    <row r="3303" spans="1:6" x14ac:dyDescent="0.25">
      <c r="A3303" t="s">
        <v>3613</v>
      </c>
      <c r="B3303" t="s">
        <v>86</v>
      </c>
      <c r="C3303" t="s">
        <v>305</v>
      </c>
      <c r="D3303" t="str">
        <f>HYPERLINK("http://service.sap.com/sap/support/notes/1711283","1711283")</f>
        <v>1711283</v>
      </c>
      <c r="E3303">
        <v>1</v>
      </c>
      <c r="F3303" t="s">
        <v>3852</v>
      </c>
    </row>
    <row r="3304" spans="1:6" x14ac:dyDescent="0.25">
      <c r="A3304" t="s">
        <v>3613</v>
      </c>
      <c r="B3304" t="s">
        <v>86</v>
      </c>
      <c r="C3304" t="s">
        <v>305</v>
      </c>
      <c r="D3304" t="str">
        <f>HYPERLINK("http://service.sap.com/sap/support/notes/1716686","1716686")</f>
        <v>1716686</v>
      </c>
      <c r="E3304">
        <v>1</v>
      </c>
      <c r="F3304" t="s">
        <v>3853</v>
      </c>
    </row>
    <row r="3305" spans="1:6" x14ac:dyDescent="0.25">
      <c r="A3305" t="s">
        <v>3613</v>
      </c>
      <c r="B3305" t="s">
        <v>86</v>
      </c>
      <c r="C3305" t="s">
        <v>305</v>
      </c>
      <c r="D3305" t="str">
        <f>HYPERLINK("http://service.sap.com/sap/support/notes/1716845","1716845")</f>
        <v>1716845</v>
      </c>
      <c r="E3305">
        <v>1</v>
      </c>
      <c r="F3305" t="s">
        <v>3854</v>
      </c>
    </row>
    <row r="3306" spans="1:6" x14ac:dyDescent="0.25">
      <c r="A3306" t="s">
        <v>3613</v>
      </c>
      <c r="B3306" t="s">
        <v>88</v>
      </c>
      <c r="C3306" t="s">
        <v>82</v>
      </c>
      <c r="D3306" t="str">
        <f>HYPERLINK("http://service.sap.com/sap/support/notes/1709034","1709034")</f>
        <v>1709034</v>
      </c>
      <c r="E3306">
        <v>1</v>
      </c>
      <c r="F3306" t="s">
        <v>3855</v>
      </c>
    </row>
    <row r="3307" spans="1:6" x14ac:dyDescent="0.25">
      <c r="A3307" t="s">
        <v>3613</v>
      </c>
      <c r="B3307" t="s">
        <v>88</v>
      </c>
      <c r="C3307" t="s">
        <v>82</v>
      </c>
      <c r="D3307" t="str">
        <f>HYPERLINK("http://service.sap.com/sap/support/notes/1711351","1711351")</f>
        <v>1711351</v>
      </c>
      <c r="E3307">
        <v>1</v>
      </c>
      <c r="F3307" t="s">
        <v>3856</v>
      </c>
    </row>
    <row r="3308" spans="1:6" x14ac:dyDescent="0.25">
      <c r="A3308" t="s">
        <v>3613</v>
      </c>
      <c r="B3308" t="s">
        <v>89</v>
      </c>
      <c r="C3308" t="s">
        <v>34</v>
      </c>
      <c r="D3308" t="str">
        <f>HYPERLINK("http://service.sap.com/sap/support/notes/1404545","1404545")</f>
        <v>1404545</v>
      </c>
      <c r="E3308">
        <v>1</v>
      </c>
      <c r="F3308" t="s">
        <v>3857</v>
      </c>
    </row>
    <row r="3309" spans="1:6" x14ac:dyDescent="0.25">
      <c r="A3309" t="s">
        <v>3613</v>
      </c>
      <c r="B3309" t="s">
        <v>89</v>
      </c>
      <c r="C3309" t="s">
        <v>34</v>
      </c>
      <c r="D3309" t="str">
        <f>HYPERLINK("http://service.sap.com/sap/support/notes/1665686","1665686")</f>
        <v>1665686</v>
      </c>
      <c r="E3309">
        <v>2</v>
      </c>
      <c r="F3309" t="s">
        <v>3858</v>
      </c>
    </row>
    <row r="3310" spans="1:6" x14ac:dyDescent="0.25">
      <c r="A3310" t="s">
        <v>3613</v>
      </c>
      <c r="B3310" t="s">
        <v>89</v>
      </c>
      <c r="C3310" t="s">
        <v>34</v>
      </c>
      <c r="D3310" t="str">
        <f>HYPERLINK("http://service.sap.com/sap/support/notes/1695608","1695608")</f>
        <v>1695608</v>
      </c>
      <c r="E3310">
        <v>3</v>
      </c>
      <c r="F3310" t="s">
        <v>3859</v>
      </c>
    </row>
    <row r="3311" spans="1:6" x14ac:dyDescent="0.25">
      <c r="A3311" t="s">
        <v>3613</v>
      </c>
      <c r="B3311" t="s">
        <v>89</v>
      </c>
      <c r="C3311" t="s">
        <v>34</v>
      </c>
      <c r="D3311" t="str">
        <f>HYPERLINK("http://service.sap.com/sap/support/notes/1702111","1702111")</f>
        <v>1702111</v>
      </c>
      <c r="E3311">
        <v>2</v>
      </c>
      <c r="F3311" t="s">
        <v>3860</v>
      </c>
    </row>
    <row r="3312" spans="1:6" x14ac:dyDescent="0.25">
      <c r="A3312" t="s">
        <v>3613</v>
      </c>
      <c r="B3312" t="s">
        <v>89</v>
      </c>
      <c r="C3312" t="s">
        <v>34</v>
      </c>
      <c r="D3312" t="str">
        <f>HYPERLINK("http://service.sap.com/sap/support/notes/1710417","1710417")</f>
        <v>1710417</v>
      </c>
      <c r="E3312">
        <v>2</v>
      </c>
      <c r="F3312" t="s">
        <v>3861</v>
      </c>
    </row>
    <row r="3313" spans="1:6" x14ac:dyDescent="0.25">
      <c r="A3313" t="s">
        <v>3613</v>
      </c>
      <c r="B3313" t="s">
        <v>89</v>
      </c>
      <c r="C3313" t="s">
        <v>34</v>
      </c>
      <c r="D3313" t="str">
        <f>HYPERLINK("http://service.sap.com/sap/support/notes/1710845","1710845")</f>
        <v>1710845</v>
      </c>
      <c r="E3313">
        <v>1</v>
      </c>
      <c r="F3313" t="s">
        <v>3862</v>
      </c>
    </row>
    <row r="3314" spans="1:6" x14ac:dyDescent="0.25">
      <c r="A3314" t="s">
        <v>3613</v>
      </c>
      <c r="B3314" t="s">
        <v>89</v>
      </c>
      <c r="C3314" t="s">
        <v>34</v>
      </c>
      <c r="D3314" t="str">
        <f>HYPERLINK("http://service.sap.com/sap/support/notes/1710953","1710953")</f>
        <v>1710953</v>
      </c>
      <c r="E3314">
        <v>1</v>
      </c>
      <c r="F3314" t="s">
        <v>3863</v>
      </c>
    </row>
    <row r="3315" spans="1:6" x14ac:dyDescent="0.25">
      <c r="A3315" t="s">
        <v>3613</v>
      </c>
      <c r="B3315" t="s">
        <v>89</v>
      </c>
      <c r="C3315" t="s">
        <v>34</v>
      </c>
      <c r="D3315" t="str">
        <f>HYPERLINK("http://service.sap.com/sap/support/notes/1711437","1711437")</f>
        <v>1711437</v>
      </c>
      <c r="E3315">
        <v>1</v>
      </c>
      <c r="F3315" t="s">
        <v>3864</v>
      </c>
    </row>
    <row r="3316" spans="1:6" x14ac:dyDescent="0.25">
      <c r="A3316" t="s">
        <v>3613</v>
      </c>
      <c r="B3316" t="s">
        <v>89</v>
      </c>
      <c r="C3316" t="s">
        <v>34</v>
      </c>
      <c r="D3316" t="str">
        <f>HYPERLINK("http://service.sap.com/sap/support/notes/1711783","1711783")</f>
        <v>1711783</v>
      </c>
      <c r="E3316">
        <v>2</v>
      </c>
      <c r="F3316" t="s">
        <v>3865</v>
      </c>
    </row>
    <row r="3317" spans="1:6" x14ac:dyDescent="0.25">
      <c r="A3317" t="s">
        <v>3613</v>
      </c>
      <c r="B3317" t="s">
        <v>89</v>
      </c>
      <c r="C3317" t="s">
        <v>34</v>
      </c>
      <c r="D3317" t="str">
        <f>HYPERLINK("http://service.sap.com/sap/support/notes/1711942","1711942")</f>
        <v>1711942</v>
      </c>
      <c r="E3317">
        <v>2</v>
      </c>
      <c r="F3317" t="s">
        <v>3866</v>
      </c>
    </row>
    <row r="3318" spans="1:6" x14ac:dyDescent="0.25">
      <c r="A3318" t="s">
        <v>3613</v>
      </c>
      <c r="B3318" t="s">
        <v>89</v>
      </c>
      <c r="C3318" t="s">
        <v>34</v>
      </c>
      <c r="D3318" t="str">
        <f>HYPERLINK("http://service.sap.com/sap/support/notes/1712519","1712519")</f>
        <v>1712519</v>
      </c>
      <c r="E3318">
        <v>1</v>
      </c>
      <c r="F3318" t="s">
        <v>3867</v>
      </c>
    </row>
    <row r="3319" spans="1:6" x14ac:dyDescent="0.25">
      <c r="A3319" t="s">
        <v>3613</v>
      </c>
      <c r="B3319" t="s">
        <v>89</v>
      </c>
      <c r="C3319" t="s">
        <v>34</v>
      </c>
      <c r="D3319" t="str">
        <f>HYPERLINK("http://service.sap.com/sap/support/notes/1712772","1712772")</f>
        <v>1712772</v>
      </c>
      <c r="E3319">
        <v>1</v>
      </c>
      <c r="F3319" t="s">
        <v>3868</v>
      </c>
    </row>
    <row r="3320" spans="1:6" x14ac:dyDescent="0.25">
      <c r="A3320" t="s">
        <v>3613</v>
      </c>
      <c r="B3320" t="s">
        <v>89</v>
      </c>
      <c r="C3320" t="s">
        <v>34</v>
      </c>
      <c r="D3320" t="str">
        <f>HYPERLINK("http://service.sap.com/sap/support/notes/1712914","1712914")</f>
        <v>1712914</v>
      </c>
      <c r="E3320">
        <v>1</v>
      </c>
      <c r="F3320" t="s">
        <v>3869</v>
      </c>
    </row>
    <row r="3321" spans="1:6" x14ac:dyDescent="0.25">
      <c r="A3321" t="s">
        <v>3613</v>
      </c>
      <c r="B3321" t="s">
        <v>89</v>
      </c>
      <c r="C3321" t="s">
        <v>34</v>
      </c>
      <c r="D3321" t="str">
        <f>HYPERLINK("http://service.sap.com/sap/support/notes/1713484","1713484")</f>
        <v>1713484</v>
      </c>
      <c r="E3321">
        <v>2</v>
      </c>
      <c r="F3321" t="s">
        <v>3870</v>
      </c>
    </row>
    <row r="3322" spans="1:6" x14ac:dyDescent="0.25">
      <c r="A3322" t="s">
        <v>3613</v>
      </c>
      <c r="B3322" t="s">
        <v>89</v>
      </c>
      <c r="C3322" t="s">
        <v>34</v>
      </c>
      <c r="D3322" t="str">
        <f>HYPERLINK("http://service.sap.com/sap/support/notes/1714553","1714553")</f>
        <v>1714553</v>
      </c>
      <c r="E3322">
        <v>5</v>
      </c>
      <c r="F3322" t="s">
        <v>3871</v>
      </c>
    </row>
    <row r="3323" spans="1:6" x14ac:dyDescent="0.25">
      <c r="A3323" t="s">
        <v>3613</v>
      </c>
      <c r="B3323" t="s">
        <v>89</v>
      </c>
      <c r="C3323" t="s">
        <v>34</v>
      </c>
      <c r="D3323" t="str">
        <f>HYPERLINK("http://service.sap.com/sap/support/notes/1715598","1715598")</f>
        <v>1715598</v>
      </c>
      <c r="E3323">
        <v>3</v>
      </c>
      <c r="F3323" t="s">
        <v>3872</v>
      </c>
    </row>
    <row r="3324" spans="1:6" x14ac:dyDescent="0.25">
      <c r="A3324" t="s">
        <v>3613</v>
      </c>
      <c r="B3324" t="s">
        <v>89</v>
      </c>
      <c r="C3324" t="s">
        <v>34</v>
      </c>
      <c r="D3324" t="str">
        <f>HYPERLINK("http://service.sap.com/sap/support/notes/1715753","1715753")</f>
        <v>1715753</v>
      </c>
      <c r="E3324">
        <v>1</v>
      </c>
      <c r="F3324" t="s">
        <v>3873</v>
      </c>
    </row>
    <row r="3325" spans="1:6" x14ac:dyDescent="0.25">
      <c r="A3325" t="s">
        <v>3613</v>
      </c>
      <c r="B3325" t="s">
        <v>89</v>
      </c>
      <c r="C3325" t="s">
        <v>34</v>
      </c>
      <c r="D3325" t="str">
        <f>HYPERLINK("http://service.sap.com/sap/support/notes/1715764","1715764")</f>
        <v>1715764</v>
      </c>
      <c r="E3325">
        <v>1</v>
      </c>
      <c r="F3325" t="s">
        <v>3874</v>
      </c>
    </row>
    <row r="3326" spans="1:6" x14ac:dyDescent="0.25">
      <c r="A3326" t="s">
        <v>3613</v>
      </c>
      <c r="B3326" t="s">
        <v>89</v>
      </c>
      <c r="C3326" t="s">
        <v>34</v>
      </c>
      <c r="D3326" t="str">
        <f>HYPERLINK("http://service.sap.com/sap/support/notes/1716934","1716934")</f>
        <v>1716934</v>
      </c>
      <c r="E3326">
        <v>2</v>
      </c>
      <c r="F3326" t="s">
        <v>3875</v>
      </c>
    </row>
    <row r="3327" spans="1:6" x14ac:dyDescent="0.25">
      <c r="A3327" t="s">
        <v>3613</v>
      </c>
      <c r="B3327" t="s">
        <v>89</v>
      </c>
      <c r="C3327" t="s">
        <v>34</v>
      </c>
      <c r="D3327" t="str">
        <f>HYPERLINK("http://service.sap.com/sap/support/notes/1719589","1719589")</f>
        <v>1719589</v>
      </c>
      <c r="E3327">
        <v>1</v>
      </c>
      <c r="F3327" t="s">
        <v>3876</v>
      </c>
    </row>
    <row r="3328" spans="1:6" x14ac:dyDescent="0.25">
      <c r="A3328" t="s">
        <v>3613</v>
      </c>
      <c r="B3328" t="s">
        <v>89</v>
      </c>
      <c r="C3328" t="s">
        <v>34</v>
      </c>
      <c r="D3328" t="str">
        <f>HYPERLINK("http://service.sap.com/sap/support/notes/1719806","1719806")</f>
        <v>1719806</v>
      </c>
      <c r="E3328">
        <v>1</v>
      </c>
      <c r="F3328" t="s">
        <v>3877</v>
      </c>
    </row>
    <row r="3329" spans="1:6" x14ac:dyDescent="0.25">
      <c r="A3329" t="s">
        <v>3613</v>
      </c>
      <c r="B3329" t="s">
        <v>89</v>
      </c>
      <c r="C3329" t="s">
        <v>34</v>
      </c>
      <c r="D3329" t="str">
        <f>HYPERLINK("http://service.sap.com/sap/support/notes/1724880","1724880")</f>
        <v>1724880</v>
      </c>
      <c r="F3329" t="s">
        <v>3878</v>
      </c>
    </row>
    <row r="3330" spans="1:6" x14ac:dyDescent="0.25">
      <c r="A3330" t="s">
        <v>3613</v>
      </c>
      <c r="B3330" t="s">
        <v>91</v>
      </c>
      <c r="C3330" t="s">
        <v>92</v>
      </c>
      <c r="D3330" t="str">
        <f>HYPERLINK("http://service.sap.com/sap/support/notes/1605244","1605244")</f>
        <v>1605244</v>
      </c>
      <c r="E3330">
        <v>3</v>
      </c>
      <c r="F3330" t="s">
        <v>3879</v>
      </c>
    </row>
    <row r="3331" spans="1:6" x14ac:dyDescent="0.25">
      <c r="A3331" t="s">
        <v>3613</v>
      </c>
      <c r="B3331" t="s">
        <v>91</v>
      </c>
      <c r="C3331" t="s">
        <v>92</v>
      </c>
      <c r="D3331" t="str">
        <f>HYPERLINK("http://service.sap.com/sap/support/notes/1633348","1633348")</f>
        <v>1633348</v>
      </c>
      <c r="E3331">
        <v>3</v>
      </c>
      <c r="F3331" t="s">
        <v>3880</v>
      </c>
    </row>
    <row r="3332" spans="1:6" x14ac:dyDescent="0.25">
      <c r="A3332" t="s">
        <v>3613</v>
      </c>
      <c r="B3332" t="s">
        <v>91</v>
      </c>
      <c r="C3332" t="s">
        <v>92</v>
      </c>
      <c r="D3332" t="str">
        <f>HYPERLINK("http://service.sap.com/sap/support/notes/1658940","1658940")</f>
        <v>1658940</v>
      </c>
      <c r="E3332">
        <v>2</v>
      </c>
      <c r="F3332" t="s">
        <v>3881</v>
      </c>
    </row>
    <row r="3333" spans="1:6" x14ac:dyDescent="0.25">
      <c r="A3333" t="s">
        <v>3613</v>
      </c>
      <c r="B3333" t="s">
        <v>91</v>
      </c>
      <c r="C3333" t="s">
        <v>92</v>
      </c>
      <c r="D3333" t="str">
        <f>HYPERLINK("http://service.sap.com/sap/support/notes/1672319","1672319")</f>
        <v>1672319</v>
      </c>
      <c r="E3333">
        <v>3</v>
      </c>
      <c r="F3333" t="s">
        <v>3882</v>
      </c>
    </row>
    <row r="3334" spans="1:6" x14ac:dyDescent="0.25">
      <c r="A3334" t="s">
        <v>3613</v>
      </c>
      <c r="B3334" t="s">
        <v>91</v>
      </c>
      <c r="C3334" t="s">
        <v>92</v>
      </c>
      <c r="D3334" t="str">
        <f>HYPERLINK("http://service.sap.com/sap/support/notes/1712156","1712156")</f>
        <v>1712156</v>
      </c>
      <c r="E3334">
        <v>1</v>
      </c>
      <c r="F3334" t="s">
        <v>3883</v>
      </c>
    </row>
    <row r="3335" spans="1:6" x14ac:dyDescent="0.25">
      <c r="A3335" t="s">
        <v>3613</v>
      </c>
      <c r="B3335" t="s">
        <v>94</v>
      </c>
      <c r="C3335" t="s">
        <v>95</v>
      </c>
      <c r="D3335" t="str">
        <f>HYPERLINK("http://service.sap.com/sap/support/notes/1673682","1673682")</f>
        <v>1673682</v>
      </c>
      <c r="E3335">
        <v>2</v>
      </c>
      <c r="F3335" t="s">
        <v>3884</v>
      </c>
    </row>
    <row r="3336" spans="1:6" x14ac:dyDescent="0.25">
      <c r="A3336" t="s">
        <v>3613</v>
      </c>
      <c r="B3336" t="s">
        <v>94</v>
      </c>
      <c r="C3336" t="s">
        <v>95</v>
      </c>
      <c r="D3336" t="str">
        <f>HYPERLINK("http://service.sap.com/sap/support/notes/1678069","1678069")</f>
        <v>1678069</v>
      </c>
      <c r="E3336">
        <v>3</v>
      </c>
      <c r="F3336" t="s">
        <v>3885</v>
      </c>
    </row>
    <row r="3337" spans="1:6" x14ac:dyDescent="0.25">
      <c r="A3337" t="s">
        <v>3613</v>
      </c>
      <c r="B3337" t="s">
        <v>94</v>
      </c>
      <c r="C3337" t="s">
        <v>95</v>
      </c>
      <c r="D3337" t="str">
        <f>HYPERLINK("http://service.sap.com/sap/support/notes/1702000","1702000")</f>
        <v>1702000</v>
      </c>
      <c r="E3337">
        <v>2</v>
      </c>
      <c r="F3337" t="s">
        <v>3886</v>
      </c>
    </row>
    <row r="3338" spans="1:6" x14ac:dyDescent="0.25">
      <c r="A3338" t="s">
        <v>3613</v>
      </c>
      <c r="B3338" t="s">
        <v>94</v>
      </c>
      <c r="C3338" t="s">
        <v>95</v>
      </c>
      <c r="D3338" t="str">
        <f>HYPERLINK("http://service.sap.com/sap/support/notes/1705747","1705747")</f>
        <v>1705747</v>
      </c>
      <c r="E3338">
        <v>1</v>
      </c>
      <c r="F3338" t="s">
        <v>3887</v>
      </c>
    </row>
    <row r="3339" spans="1:6" x14ac:dyDescent="0.25">
      <c r="A3339" t="s">
        <v>3613</v>
      </c>
      <c r="B3339" t="s">
        <v>94</v>
      </c>
      <c r="C3339" t="s">
        <v>95</v>
      </c>
      <c r="D3339" t="str">
        <f>HYPERLINK("http://service.sap.com/sap/support/notes/1715508","1715508")</f>
        <v>1715508</v>
      </c>
      <c r="E3339">
        <v>2</v>
      </c>
      <c r="F3339" t="s">
        <v>3888</v>
      </c>
    </row>
    <row r="3340" spans="1:6" x14ac:dyDescent="0.25">
      <c r="A3340" t="s">
        <v>3613</v>
      </c>
      <c r="B3340" t="s">
        <v>306</v>
      </c>
      <c r="C3340" t="s">
        <v>132</v>
      </c>
      <c r="D3340" t="str">
        <f>HYPERLINK("http://service.sap.com/sap/support/notes/1598003","1598003")</f>
        <v>1598003</v>
      </c>
      <c r="E3340">
        <v>3</v>
      </c>
      <c r="F3340" t="s">
        <v>3889</v>
      </c>
    </row>
    <row r="3341" spans="1:6" x14ac:dyDescent="0.25">
      <c r="A3341" t="s">
        <v>3613</v>
      </c>
      <c r="B3341" t="s">
        <v>306</v>
      </c>
      <c r="C3341" t="s">
        <v>132</v>
      </c>
      <c r="D3341" t="str">
        <f>HYPERLINK("http://service.sap.com/sap/support/notes/1641448","1641448")</f>
        <v>1641448</v>
      </c>
      <c r="E3341">
        <v>4</v>
      </c>
      <c r="F3341" t="s">
        <v>3890</v>
      </c>
    </row>
    <row r="3342" spans="1:6" x14ac:dyDescent="0.25">
      <c r="A3342" t="s">
        <v>3613</v>
      </c>
      <c r="B3342" t="s">
        <v>96</v>
      </c>
      <c r="C3342" t="s">
        <v>97</v>
      </c>
      <c r="D3342" t="str">
        <f>HYPERLINK("http://service.sap.com/sap/support/notes/1709878","1709878")</f>
        <v>1709878</v>
      </c>
      <c r="E3342">
        <v>1</v>
      </c>
      <c r="F3342" t="s">
        <v>3891</v>
      </c>
    </row>
    <row r="3343" spans="1:6" x14ac:dyDescent="0.25">
      <c r="A3343" t="s">
        <v>3613</v>
      </c>
      <c r="B3343" t="s">
        <v>96</v>
      </c>
      <c r="C3343" t="s">
        <v>97</v>
      </c>
      <c r="D3343" t="str">
        <f>HYPERLINK("http://service.sap.com/sap/support/notes/1712894","1712894")</f>
        <v>1712894</v>
      </c>
      <c r="E3343">
        <v>1</v>
      </c>
      <c r="F3343" t="s">
        <v>3892</v>
      </c>
    </row>
    <row r="3344" spans="1:6" x14ac:dyDescent="0.25">
      <c r="A3344" t="s">
        <v>3613</v>
      </c>
      <c r="B3344" t="s">
        <v>96</v>
      </c>
      <c r="C3344" t="s">
        <v>97</v>
      </c>
      <c r="D3344" t="str">
        <f>HYPERLINK("http://service.sap.com/sap/support/notes/1716118","1716118")</f>
        <v>1716118</v>
      </c>
      <c r="E3344">
        <v>2</v>
      </c>
      <c r="F3344" t="s">
        <v>3893</v>
      </c>
    </row>
    <row r="3345" spans="1:6" x14ac:dyDescent="0.25">
      <c r="A3345" t="s">
        <v>3613</v>
      </c>
      <c r="B3345" t="s">
        <v>96</v>
      </c>
      <c r="C3345" t="s">
        <v>97</v>
      </c>
      <c r="D3345" t="str">
        <f>HYPERLINK("http://service.sap.com/sap/support/notes/1719462","1719462")</f>
        <v>1719462</v>
      </c>
      <c r="E3345">
        <v>2</v>
      </c>
      <c r="F3345" t="s">
        <v>3894</v>
      </c>
    </row>
    <row r="3346" spans="1:6" x14ac:dyDescent="0.25">
      <c r="A3346" t="s">
        <v>3613</v>
      </c>
      <c r="B3346" t="s">
        <v>98</v>
      </c>
      <c r="C3346" t="s">
        <v>99</v>
      </c>
      <c r="D3346" t="str">
        <f>HYPERLINK("http://service.sap.com/sap/support/notes/1485608","1485608")</f>
        <v>1485608</v>
      </c>
      <c r="E3346">
        <v>1</v>
      </c>
      <c r="F3346" t="s">
        <v>309</v>
      </c>
    </row>
    <row r="3347" spans="1:6" x14ac:dyDescent="0.25">
      <c r="A3347" t="s">
        <v>3613</v>
      </c>
      <c r="B3347" t="s">
        <v>98</v>
      </c>
      <c r="C3347" t="s">
        <v>99</v>
      </c>
      <c r="D3347" t="str">
        <f>HYPERLINK("http://service.sap.com/sap/support/notes/1671877","1671877")</f>
        <v>1671877</v>
      </c>
      <c r="E3347">
        <v>3</v>
      </c>
      <c r="F3347" t="s">
        <v>3895</v>
      </c>
    </row>
    <row r="3348" spans="1:6" x14ac:dyDescent="0.25">
      <c r="A3348" t="s">
        <v>3613</v>
      </c>
      <c r="B3348" t="s">
        <v>98</v>
      </c>
      <c r="C3348" t="s">
        <v>99</v>
      </c>
      <c r="D3348" t="str">
        <f>HYPERLINK("http://service.sap.com/sap/support/notes/1688497","1688497")</f>
        <v>1688497</v>
      </c>
      <c r="E3348">
        <v>2</v>
      </c>
      <c r="F3348" t="s">
        <v>3896</v>
      </c>
    </row>
    <row r="3349" spans="1:6" x14ac:dyDescent="0.25">
      <c r="A3349" t="s">
        <v>3613</v>
      </c>
      <c r="B3349" t="s">
        <v>98</v>
      </c>
      <c r="C3349" t="s">
        <v>99</v>
      </c>
      <c r="D3349" t="str">
        <f>HYPERLINK("http://service.sap.com/sap/support/notes/1697594","1697594")</f>
        <v>1697594</v>
      </c>
      <c r="E3349">
        <v>3</v>
      </c>
      <c r="F3349" t="s">
        <v>3897</v>
      </c>
    </row>
    <row r="3350" spans="1:6" x14ac:dyDescent="0.25">
      <c r="A3350" t="s">
        <v>3613</v>
      </c>
      <c r="B3350" t="s">
        <v>98</v>
      </c>
      <c r="C3350" t="s">
        <v>99</v>
      </c>
      <c r="D3350" t="str">
        <f>HYPERLINK("http://service.sap.com/sap/support/notes/1705041","1705041")</f>
        <v>1705041</v>
      </c>
      <c r="E3350">
        <v>5</v>
      </c>
      <c r="F3350" t="s">
        <v>3898</v>
      </c>
    </row>
    <row r="3351" spans="1:6" x14ac:dyDescent="0.25">
      <c r="A3351" t="s">
        <v>3613</v>
      </c>
      <c r="B3351" t="s">
        <v>98</v>
      </c>
      <c r="C3351" t="s">
        <v>99</v>
      </c>
      <c r="D3351" t="str">
        <f>HYPERLINK("http://service.sap.com/sap/support/notes/1710025","1710025")</f>
        <v>1710025</v>
      </c>
      <c r="E3351">
        <v>1</v>
      </c>
      <c r="F3351" t="s">
        <v>3899</v>
      </c>
    </row>
    <row r="3352" spans="1:6" x14ac:dyDescent="0.25">
      <c r="A3352" t="s">
        <v>3613</v>
      </c>
      <c r="B3352" t="s">
        <v>98</v>
      </c>
      <c r="C3352" t="s">
        <v>99</v>
      </c>
      <c r="D3352" t="str">
        <f>HYPERLINK("http://service.sap.com/sap/support/notes/1714273","1714273")</f>
        <v>1714273</v>
      </c>
      <c r="E3352">
        <v>1</v>
      </c>
      <c r="F3352" t="s">
        <v>3900</v>
      </c>
    </row>
    <row r="3353" spans="1:6" x14ac:dyDescent="0.25">
      <c r="A3353" t="s">
        <v>3613</v>
      </c>
      <c r="B3353" t="s">
        <v>98</v>
      </c>
      <c r="C3353" t="s">
        <v>99</v>
      </c>
      <c r="D3353" t="str">
        <f>HYPERLINK("http://service.sap.com/sap/support/notes/1718722","1718722")</f>
        <v>1718722</v>
      </c>
      <c r="E3353">
        <v>2</v>
      </c>
      <c r="F3353" t="s">
        <v>3901</v>
      </c>
    </row>
    <row r="3354" spans="1:6" x14ac:dyDescent="0.25">
      <c r="A3354" t="s">
        <v>3613</v>
      </c>
      <c r="B3354" t="s">
        <v>98</v>
      </c>
      <c r="C3354" t="s">
        <v>99</v>
      </c>
      <c r="D3354" t="str">
        <f>HYPERLINK("http://service.sap.com/sap/support/notes/1719994","1719994")</f>
        <v>1719994</v>
      </c>
      <c r="E3354">
        <v>3</v>
      </c>
      <c r="F3354" t="s">
        <v>3902</v>
      </c>
    </row>
    <row r="3355" spans="1:6" x14ac:dyDescent="0.25">
      <c r="A3355" t="s">
        <v>3613</v>
      </c>
      <c r="B3355" t="s">
        <v>98</v>
      </c>
      <c r="C3355" t="s">
        <v>99</v>
      </c>
      <c r="D3355" t="str">
        <f>HYPERLINK("http://service.sap.com/sap/support/notes/1720208","1720208")</f>
        <v>1720208</v>
      </c>
      <c r="E3355">
        <v>1</v>
      </c>
      <c r="F3355" t="s">
        <v>3903</v>
      </c>
    </row>
    <row r="3356" spans="1:6" x14ac:dyDescent="0.25">
      <c r="A3356" t="s">
        <v>3613</v>
      </c>
      <c r="B3356" t="s">
        <v>100</v>
      </c>
      <c r="C3356" t="s">
        <v>36</v>
      </c>
      <c r="D3356" t="str">
        <f>HYPERLINK("http://service.sap.com/sap/support/notes/1620350","1620350")</f>
        <v>1620350</v>
      </c>
      <c r="E3356">
        <v>1</v>
      </c>
      <c r="F3356" t="s">
        <v>3904</v>
      </c>
    </row>
    <row r="3357" spans="1:6" x14ac:dyDescent="0.25">
      <c r="A3357" t="s">
        <v>3613</v>
      </c>
      <c r="B3357" t="s">
        <v>100</v>
      </c>
      <c r="C3357" t="s">
        <v>36</v>
      </c>
      <c r="D3357" t="str">
        <f>HYPERLINK("http://service.sap.com/sap/support/notes/1703438","1703438")</f>
        <v>1703438</v>
      </c>
      <c r="E3357">
        <v>1</v>
      </c>
      <c r="F3357" t="s">
        <v>3905</v>
      </c>
    </row>
    <row r="3358" spans="1:6" x14ac:dyDescent="0.25">
      <c r="A3358" t="s">
        <v>3613</v>
      </c>
      <c r="B3358" t="s">
        <v>100</v>
      </c>
      <c r="C3358" t="s">
        <v>36</v>
      </c>
      <c r="D3358" t="str">
        <f>HYPERLINK("http://service.sap.com/sap/support/notes/1710778","1710778")</f>
        <v>1710778</v>
      </c>
      <c r="E3358">
        <v>2</v>
      </c>
      <c r="F3358" t="s">
        <v>3906</v>
      </c>
    </row>
    <row r="3359" spans="1:6" x14ac:dyDescent="0.25">
      <c r="A3359" t="s">
        <v>3613</v>
      </c>
      <c r="B3359" t="s">
        <v>100</v>
      </c>
      <c r="C3359" t="s">
        <v>36</v>
      </c>
      <c r="D3359" t="str">
        <f>HYPERLINK("http://service.sap.com/sap/support/notes/1714436","1714436")</f>
        <v>1714436</v>
      </c>
      <c r="E3359">
        <v>1</v>
      </c>
      <c r="F3359" t="s">
        <v>3907</v>
      </c>
    </row>
    <row r="3360" spans="1:6" x14ac:dyDescent="0.25">
      <c r="A3360" t="s">
        <v>3613</v>
      </c>
      <c r="B3360" t="s">
        <v>100</v>
      </c>
      <c r="C3360" t="s">
        <v>36</v>
      </c>
      <c r="D3360" t="str">
        <f>HYPERLINK("http://service.sap.com/sap/support/notes/1715497","1715497")</f>
        <v>1715497</v>
      </c>
      <c r="E3360">
        <v>2</v>
      </c>
      <c r="F3360" t="s">
        <v>3908</v>
      </c>
    </row>
    <row r="3361" spans="1:6" x14ac:dyDescent="0.25">
      <c r="A3361" t="s">
        <v>3613</v>
      </c>
      <c r="B3361" t="s">
        <v>101</v>
      </c>
      <c r="C3361" t="s">
        <v>38</v>
      </c>
      <c r="D3361" t="str">
        <f>HYPERLINK("http://service.sap.com/sap/support/notes/1714589","1714589")</f>
        <v>1714589</v>
      </c>
      <c r="E3361">
        <v>3</v>
      </c>
      <c r="F3361" t="s">
        <v>3909</v>
      </c>
    </row>
    <row r="3362" spans="1:6" x14ac:dyDescent="0.25">
      <c r="A3362" t="s">
        <v>3613</v>
      </c>
      <c r="B3362" t="s">
        <v>101</v>
      </c>
      <c r="C3362" t="s">
        <v>38</v>
      </c>
      <c r="D3362" t="str">
        <f>HYPERLINK("http://service.sap.com/sap/support/notes/1719151","1719151")</f>
        <v>1719151</v>
      </c>
      <c r="E3362">
        <v>1</v>
      </c>
      <c r="F3362" t="s">
        <v>3910</v>
      </c>
    </row>
    <row r="3363" spans="1:6" x14ac:dyDescent="0.25">
      <c r="A3363" t="s">
        <v>3613</v>
      </c>
      <c r="B3363" t="s">
        <v>102</v>
      </c>
      <c r="C3363" t="s">
        <v>310</v>
      </c>
      <c r="D3363" t="str">
        <f>HYPERLINK("http://service.sap.com/sap/support/notes/1679221","1679221")</f>
        <v>1679221</v>
      </c>
      <c r="E3363">
        <v>2</v>
      </c>
      <c r="F3363" t="s">
        <v>3911</v>
      </c>
    </row>
    <row r="3364" spans="1:6" x14ac:dyDescent="0.25">
      <c r="A3364" t="s">
        <v>3613</v>
      </c>
      <c r="B3364" t="s">
        <v>102</v>
      </c>
      <c r="C3364" t="s">
        <v>310</v>
      </c>
      <c r="D3364" t="str">
        <f>HYPERLINK("http://service.sap.com/sap/support/notes/1685644","1685644")</f>
        <v>1685644</v>
      </c>
      <c r="E3364">
        <v>1</v>
      </c>
      <c r="F3364" t="s">
        <v>3912</v>
      </c>
    </row>
    <row r="3365" spans="1:6" x14ac:dyDescent="0.25">
      <c r="A3365" t="s">
        <v>3613</v>
      </c>
      <c r="B3365" t="s">
        <v>104</v>
      </c>
      <c r="C3365" t="s">
        <v>426</v>
      </c>
      <c r="D3365" t="str">
        <f>HYPERLINK("http://service.sap.com/sap/support/notes/1711006","1711006")</f>
        <v>1711006</v>
      </c>
      <c r="E3365">
        <v>1</v>
      </c>
      <c r="F3365" t="s">
        <v>3913</v>
      </c>
    </row>
    <row r="3366" spans="1:6" x14ac:dyDescent="0.25">
      <c r="A3366" t="s">
        <v>3613</v>
      </c>
      <c r="B3366" t="s">
        <v>104</v>
      </c>
      <c r="C3366" t="s">
        <v>426</v>
      </c>
      <c r="D3366" t="str">
        <f>HYPERLINK("http://service.sap.com/sap/support/notes/1711793","1711793")</f>
        <v>1711793</v>
      </c>
      <c r="E3366">
        <v>2</v>
      </c>
      <c r="F3366" t="s">
        <v>3914</v>
      </c>
    </row>
    <row r="3367" spans="1:6" x14ac:dyDescent="0.25">
      <c r="A3367" t="s">
        <v>3613</v>
      </c>
      <c r="B3367" t="s">
        <v>104</v>
      </c>
      <c r="C3367" t="s">
        <v>426</v>
      </c>
      <c r="D3367" t="str">
        <f>HYPERLINK("http://service.sap.com/sap/support/notes/1716060","1716060")</f>
        <v>1716060</v>
      </c>
      <c r="E3367">
        <v>1</v>
      </c>
      <c r="F3367" t="s">
        <v>3915</v>
      </c>
    </row>
    <row r="3368" spans="1:6" x14ac:dyDescent="0.25">
      <c r="A3368" t="s">
        <v>3613</v>
      </c>
      <c r="B3368" t="s">
        <v>106</v>
      </c>
      <c r="C3368" t="s">
        <v>107</v>
      </c>
    </row>
    <row r="3369" spans="1:6" x14ac:dyDescent="0.25">
      <c r="A3369" t="s">
        <v>3613</v>
      </c>
      <c r="B3369" t="s">
        <v>108</v>
      </c>
      <c r="C3369" t="s">
        <v>109</v>
      </c>
      <c r="D3369" t="str">
        <f>HYPERLINK("http://service.sap.com/sap/support/notes/1707043","1707043")</f>
        <v>1707043</v>
      </c>
      <c r="E3369">
        <v>2</v>
      </c>
      <c r="F3369" t="s">
        <v>3916</v>
      </c>
    </row>
    <row r="3370" spans="1:6" x14ac:dyDescent="0.25">
      <c r="A3370" t="s">
        <v>3613</v>
      </c>
      <c r="B3370" t="s">
        <v>108</v>
      </c>
      <c r="C3370" t="s">
        <v>109</v>
      </c>
      <c r="D3370" t="str">
        <f>HYPERLINK("http://service.sap.com/sap/support/notes/1710854","1710854")</f>
        <v>1710854</v>
      </c>
      <c r="E3370">
        <v>2</v>
      </c>
      <c r="F3370" t="s">
        <v>3917</v>
      </c>
    </row>
    <row r="3371" spans="1:6" x14ac:dyDescent="0.25">
      <c r="A3371" t="s">
        <v>3613</v>
      </c>
      <c r="B3371" t="s">
        <v>108</v>
      </c>
      <c r="C3371" t="s">
        <v>109</v>
      </c>
      <c r="D3371" t="str">
        <f>HYPERLINK("http://service.sap.com/sap/support/notes/1719882","1719882")</f>
        <v>1719882</v>
      </c>
      <c r="E3371">
        <v>1</v>
      </c>
      <c r="F3371" t="s">
        <v>3918</v>
      </c>
    </row>
    <row r="3372" spans="1:6" x14ac:dyDescent="0.25">
      <c r="A3372" t="s">
        <v>3613</v>
      </c>
      <c r="B3372" t="s">
        <v>110</v>
      </c>
      <c r="C3372" t="s">
        <v>111</v>
      </c>
      <c r="D3372" t="str">
        <f>HYPERLINK("http://service.sap.com/sap/support/notes/1718343","1718343")</f>
        <v>1718343</v>
      </c>
      <c r="E3372">
        <v>1</v>
      </c>
      <c r="F3372" t="s">
        <v>3919</v>
      </c>
    </row>
    <row r="3373" spans="1:6" x14ac:dyDescent="0.25">
      <c r="A3373" t="s">
        <v>3613</v>
      </c>
      <c r="B3373" t="s">
        <v>609</v>
      </c>
      <c r="C3373" t="s">
        <v>610</v>
      </c>
      <c r="D3373" t="str">
        <f>HYPERLINK("http://service.sap.com/sap/support/notes/1691245","1691245")</f>
        <v>1691245</v>
      </c>
      <c r="E3373">
        <v>3</v>
      </c>
      <c r="F3373" t="s">
        <v>3920</v>
      </c>
    </row>
    <row r="3374" spans="1:6" x14ac:dyDescent="0.25">
      <c r="A3374" t="s">
        <v>3613</v>
      </c>
      <c r="B3374" t="s">
        <v>609</v>
      </c>
      <c r="C3374" t="s">
        <v>610</v>
      </c>
      <c r="D3374" t="str">
        <f>HYPERLINK("http://service.sap.com/sap/support/notes/1694309","1694309")</f>
        <v>1694309</v>
      </c>
      <c r="E3374">
        <v>1</v>
      </c>
      <c r="F3374" t="s">
        <v>3921</v>
      </c>
    </row>
    <row r="3375" spans="1:6" x14ac:dyDescent="0.25">
      <c r="A3375" t="s">
        <v>3613</v>
      </c>
      <c r="B3375" t="s">
        <v>609</v>
      </c>
      <c r="C3375" t="s">
        <v>610</v>
      </c>
      <c r="D3375" t="str">
        <f>HYPERLINK("http://service.sap.com/sap/support/notes/1699395","1699395")</f>
        <v>1699395</v>
      </c>
      <c r="E3375">
        <v>2</v>
      </c>
      <c r="F3375" t="s">
        <v>3922</v>
      </c>
    </row>
    <row r="3376" spans="1:6" x14ac:dyDescent="0.25">
      <c r="A3376" t="s">
        <v>3613</v>
      </c>
      <c r="B3376" t="s">
        <v>609</v>
      </c>
      <c r="C3376" t="s">
        <v>610</v>
      </c>
      <c r="D3376" t="str">
        <f>HYPERLINK("http://service.sap.com/sap/support/notes/1700927","1700927")</f>
        <v>1700927</v>
      </c>
      <c r="E3376">
        <v>1</v>
      </c>
      <c r="F3376" t="s">
        <v>3923</v>
      </c>
    </row>
    <row r="3377" spans="1:6" x14ac:dyDescent="0.25">
      <c r="A3377" t="s">
        <v>3613</v>
      </c>
      <c r="B3377" t="s">
        <v>609</v>
      </c>
      <c r="C3377" t="s">
        <v>610</v>
      </c>
      <c r="D3377" t="str">
        <f>HYPERLINK("http://service.sap.com/sap/support/notes/1703881","1703881")</f>
        <v>1703881</v>
      </c>
      <c r="E3377">
        <v>3</v>
      </c>
      <c r="F3377" t="s">
        <v>3924</v>
      </c>
    </row>
    <row r="3378" spans="1:6" x14ac:dyDescent="0.25">
      <c r="A3378" t="s">
        <v>3613</v>
      </c>
      <c r="B3378" t="s">
        <v>609</v>
      </c>
      <c r="C3378" t="s">
        <v>610</v>
      </c>
      <c r="D3378" t="str">
        <f>HYPERLINK("http://service.sap.com/sap/support/notes/1714583","1714583")</f>
        <v>1714583</v>
      </c>
      <c r="E3378">
        <v>3</v>
      </c>
      <c r="F3378" t="s">
        <v>3925</v>
      </c>
    </row>
    <row r="3379" spans="1:6" x14ac:dyDescent="0.25">
      <c r="A3379" t="s">
        <v>3613</v>
      </c>
      <c r="B3379" t="s">
        <v>609</v>
      </c>
      <c r="C3379" t="s">
        <v>610</v>
      </c>
      <c r="D3379" t="str">
        <f>HYPERLINK("http://service.sap.com/sap/support/notes/1714739","1714739")</f>
        <v>1714739</v>
      </c>
      <c r="E3379">
        <v>1</v>
      </c>
      <c r="F3379" t="s">
        <v>3926</v>
      </c>
    </row>
    <row r="3380" spans="1:6" x14ac:dyDescent="0.25">
      <c r="A3380" t="s">
        <v>3613</v>
      </c>
      <c r="B3380" t="s">
        <v>609</v>
      </c>
      <c r="C3380" t="s">
        <v>610</v>
      </c>
      <c r="D3380" t="str">
        <f>HYPERLINK("http://service.sap.com/sap/support/notes/1715920","1715920")</f>
        <v>1715920</v>
      </c>
      <c r="E3380">
        <v>2</v>
      </c>
      <c r="F3380" t="s">
        <v>3927</v>
      </c>
    </row>
    <row r="3381" spans="1:6" x14ac:dyDescent="0.25">
      <c r="A3381" t="s">
        <v>3613</v>
      </c>
      <c r="B3381" t="s">
        <v>312</v>
      </c>
      <c r="C3381" t="s">
        <v>313</v>
      </c>
      <c r="D3381" t="str">
        <f>HYPERLINK("http://service.sap.com/sap/support/notes/1708889","1708889")</f>
        <v>1708889</v>
      </c>
      <c r="E3381">
        <v>1</v>
      </c>
      <c r="F3381" t="s">
        <v>3928</v>
      </c>
    </row>
    <row r="3382" spans="1:6" x14ac:dyDescent="0.25">
      <c r="A3382" t="s">
        <v>3613</v>
      </c>
      <c r="B3382" t="s">
        <v>114</v>
      </c>
      <c r="C3382" t="s">
        <v>115</v>
      </c>
    </row>
    <row r="3383" spans="1:6" x14ac:dyDescent="0.25">
      <c r="A3383" t="s">
        <v>3613</v>
      </c>
      <c r="B3383" t="s">
        <v>116</v>
      </c>
      <c r="C3383" t="s">
        <v>117</v>
      </c>
      <c r="D3383" t="str">
        <f>HYPERLINK("http://service.sap.com/sap/support/notes/1704765","1704765")</f>
        <v>1704765</v>
      </c>
      <c r="E3383">
        <v>2</v>
      </c>
      <c r="F3383" t="s">
        <v>3929</v>
      </c>
    </row>
    <row r="3384" spans="1:6" x14ac:dyDescent="0.25">
      <c r="A3384" t="s">
        <v>3613</v>
      </c>
      <c r="B3384" t="s">
        <v>120</v>
      </c>
      <c r="C3384" t="s">
        <v>121</v>
      </c>
      <c r="D3384" t="str">
        <f>HYPERLINK("http://service.sap.com/sap/support/notes/1689488","1689488")</f>
        <v>1689488</v>
      </c>
      <c r="E3384">
        <v>4</v>
      </c>
      <c r="F3384" t="s">
        <v>3930</v>
      </c>
    </row>
    <row r="3385" spans="1:6" x14ac:dyDescent="0.25">
      <c r="A3385" t="s">
        <v>3613</v>
      </c>
      <c r="B3385" t="s">
        <v>120</v>
      </c>
      <c r="C3385" t="s">
        <v>121</v>
      </c>
      <c r="D3385" t="str">
        <f>HYPERLINK("http://service.sap.com/sap/support/notes/1715069","1715069")</f>
        <v>1715069</v>
      </c>
      <c r="E3385">
        <v>1</v>
      </c>
      <c r="F3385" t="s">
        <v>3931</v>
      </c>
    </row>
    <row r="3386" spans="1:6" x14ac:dyDescent="0.25">
      <c r="A3386" t="s">
        <v>3613</v>
      </c>
      <c r="B3386" t="s">
        <v>120</v>
      </c>
      <c r="C3386" t="s">
        <v>121</v>
      </c>
      <c r="D3386" t="str">
        <f>HYPERLINK("http://service.sap.com/sap/support/notes/1715238","1715238")</f>
        <v>1715238</v>
      </c>
      <c r="E3386">
        <v>1</v>
      </c>
      <c r="F3386" t="s">
        <v>3932</v>
      </c>
    </row>
    <row r="3387" spans="1:6" x14ac:dyDescent="0.25">
      <c r="A3387" t="s">
        <v>3613</v>
      </c>
      <c r="B3387" t="s">
        <v>314</v>
      </c>
      <c r="C3387" t="s">
        <v>315</v>
      </c>
      <c r="D3387" t="str">
        <f>HYPERLINK("http://service.sap.com/sap/support/notes/1710811","1710811")</f>
        <v>1710811</v>
      </c>
      <c r="E3387">
        <v>2</v>
      </c>
      <c r="F3387" t="s">
        <v>3933</v>
      </c>
    </row>
    <row r="3388" spans="1:6" x14ac:dyDescent="0.25">
      <c r="A3388" t="s">
        <v>3613</v>
      </c>
      <c r="B3388" t="s">
        <v>314</v>
      </c>
      <c r="C3388" t="s">
        <v>315</v>
      </c>
      <c r="D3388" t="str">
        <f>HYPERLINK("http://service.sap.com/sap/support/notes/1713490","1713490")</f>
        <v>1713490</v>
      </c>
      <c r="E3388">
        <v>2</v>
      </c>
      <c r="F3388" t="s">
        <v>3934</v>
      </c>
    </row>
    <row r="3389" spans="1:6" x14ac:dyDescent="0.25">
      <c r="A3389" t="s">
        <v>3613</v>
      </c>
      <c r="B3389" t="s">
        <v>314</v>
      </c>
      <c r="C3389" t="s">
        <v>315</v>
      </c>
      <c r="D3389" t="str">
        <f>HYPERLINK("http://service.sap.com/sap/support/notes/1715587","1715587")</f>
        <v>1715587</v>
      </c>
      <c r="E3389">
        <v>2</v>
      </c>
      <c r="F3389" t="s">
        <v>3935</v>
      </c>
    </row>
    <row r="3390" spans="1:6" x14ac:dyDescent="0.25">
      <c r="A3390" t="s">
        <v>3613</v>
      </c>
      <c r="B3390" t="s">
        <v>122</v>
      </c>
      <c r="C3390" t="s">
        <v>123</v>
      </c>
      <c r="D3390" t="str">
        <f>HYPERLINK("http://service.sap.com/sap/support/notes/1674665","1674665")</f>
        <v>1674665</v>
      </c>
      <c r="E3390">
        <v>1</v>
      </c>
      <c r="F3390" t="s">
        <v>3936</v>
      </c>
    </row>
    <row r="3391" spans="1:6" x14ac:dyDescent="0.25">
      <c r="A3391" t="s">
        <v>3613</v>
      </c>
      <c r="B3391" t="s">
        <v>122</v>
      </c>
      <c r="C3391" t="s">
        <v>123</v>
      </c>
      <c r="D3391" t="str">
        <f>HYPERLINK("http://service.sap.com/sap/support/notes/1677688","1677688")</f>
        <v>1677688</v>
      </c>
      <c r="E3391">
        <v>1</v>
      </c>
      <c r="F3391" t="s">
        <v>3937</v>
      </c>
    </row>
    <row r="3392" spans="1:6" x14ac:dyDescent="0.25">
      <c r="A3392" t="s">
        <v>3613</v>
      </c>
      <c r="B3392" t="s">
        <v>122</v>
      </c>
      <c r="C3392" t="s">
        <v>123</v>
      </c>
      <c r="D3392" t="str">
        <f>HYPERLINK("http://service.sap.com/sap/support/notes/1711795","1711795")</f>
        <v>1711795</v>
      </c>
      <c r="E3392">
        <v>2</v>
      </c>
      <c r="F3392" t="s">
        <v>3938</v>
      </c>
    </row>
    <row r="3393" spans="1:6" x14ac:dyDescent="0.25">
      <c r="A3393" t="s">
        <v>3613</v>
      </c>
      <c r="B3393" t="s">
        <v>124</v>
      </c>
      <c r="C3393" t="s">
        <v>82</v>
      </c>
      <c r="D3393" t="str">
        <f>HYPERLINK("http://service.sap.com/sap/support/notes/1693812","1693812")</f>
        <v>1693812</v>
      </c>
      <c r="E3393">
        <v>2</v>
      </c>
      <c r="F3393" t="s">
        <v>3939</v>
      </c>
    </row>
    <row r="3394" spans="1:6" x14ac:dyDescent="0.25">
      <c r="A3394" t="s">
        <v>3613</v>
      </c>
      <c r="B3394" t="s">
        <v>124</v>
      </c>
      <c r="C3394" t="s">
        <v>82</v>
      </c>
      <c r="D3394" t="str">
        <f>HYPERLINK("http://service.sap.com/sap/support/notes/1700423","1700423")</f>
        <v>1700423</v>
      </c>
      <c r="E3394">
        <v>1</v>
      </c>
      <c r="F3394" t="s">
        <v>3940</v>
      </c>
    </row>
    <row r="3395" spans="1:6" x14ac:dyDescent="0.25">
      <c r="A3395" t="s">
        <v>3613</v>
      </c>
      <c r="B3395" t="s">
        <v>124</v>
      </c>
      <c r="C3395" t="s">
        <v>82</v>
      </c>
      <c r="D3395" t="str">
        <f>HYPERLINK("http://service.sap.com/sap/support/notes/1706807","1706807")</f>
        <v>1706807</v>
      </c>
      <c r="E3395">
        <v>1</v>
      </c>
      <c r="F3395" t="s">
        <v>3941</v>
      </c>
    </row>
    <row r="3396" spans="1:6" x14ac:dyDescent="0.25">
      <c r="A3396" t="s">
        <v>3613</v>
      </c>
      <c r="B3396" t="s">
        <v>124</v>
      </c>
      <c r="C3396" t="s">
        <v>82</v>
      </c>
      <c r="D3396" t="str">
        <f>HYPERLINK("http://service.sap.com/sap/support/notes/1715539","1715539")</f>
        <v>1715539</v>
      </c>
      <c r="E3396">
        <v>1</v>
      </c>
      <c r="F3396" t="s">
        <v>3942</v>
      </c>
    </row>
    <row r="3397" spans="1:6" x14ac:dyDescent="0.25">
      <c r="A3397" t="s">
        <v>3613</v>
      </c>
      <c r="B3397" t="s">
        <v>124</v>
      </c>
      <c r="C3397" t="s">
        <v>82</v>
      </c>
      <c r="D3397" t="str">
        <f>HYPERLINK("http://service.sap.com/sap/support/notes/1715547","1715547")</f>
        <v>1715547</v>
      </c>
      <c r="E3397">
        <v>1</v>
      </c>
      <c r="F3397" t="s">
        <v>3943</v>
      </c>
    </row>
    <row r="3398" spans="1:6" x14ac:dyDescent="0.25">
      <c r="A3398" t="s">
        <v>3613</v>
      </c>
      <c r="B3398" t="s">
        <v>124</v>
      </c>
      <c r="C3398" t="s">
        <v>82</v>
      </c>
      <c r="D3398" t="str">
        <f>HYPERLINK("http://service.sap.com/sap/support/notes/1718589","1718589")</f>
        <v>1718589</v>
      </c>
      <c r="E3398">
        <v>1</v>
      </c>
      <c r="F3398" t="s">
        <v>3944</v>
      </c>
    </row>
    <row r="3399" spans="1:6" x14ac:dyDescent="0.25">
      <c r="A3399" t="s">
        <v>3613</v>
      </c>
      <c r="B3399" t="s">
        <v>124</v>
      </c>
      <c r="C3399" t="s">
        <v>82</v>
      </c>
      <c r="D3399" t="str">
        <f>HYPERLINK("http://service.sap.com/sap/support/notes/1718964","1718964")</f>
        <v>1718964</v>
      </c>
      <c r="E3399">
        <v>2</v>
      </c>
      <c r="F3399" t="s">
        <v>3945</v>
      </c>
    </row>
    <row r="3400" spans="1:6" x14ac:dyDescent="0.25">
      <c r="A3400" t="s">
        <v>3613</v>
      </c>
      <c r="B3400" t="s">
        <v>124</v>
      </c>
      <c r="C3400" t="s">
        <v>82</v>
      </c>
      <c r="D3400" t="str">
        <f>HYPERLINK("http://service.sap.com/sap/support/notes/1719236","1719236")</f>
        <v>1719236</v>
      </c>
      <c r="E3400">
        <v>1</v>
      </c>
      <c r="F3400" t="s">
        <v>3946</v>
      </c>
    </row>
    <row r="3401" spans="1:6" x14ac:dyDescent="0.25">
      <c r="A3401" t="s">
        <v>3613</v>
      </c>
      <c r="B3401" t="s">
        <v>125</v>
      </c>
      <c r="C3401" t="s">
        <v>1527</v>
      </c>
      <c r="D3401" t="str">
        <f>HYPERLINK("http://service.sap.com/sap/support/notes/1718402","1718402")</f>
        <v>1718402</v>
      </c>
      <c r="E3401">
        <v>1</v>
      </c>
      <c r="F3401" t="s">
        <v>3947</v>
      </c>
    </row>
    <row r="3402" spans="1:6" x14ac:dyDescent="0.25">
      <c r="A3402" t="s">
        <v>3613</v>
      </c>
      <c r="B3402" t="s">
        <v>127</v>
      </c>
      <c r="C3402" t="s">
        <v>319</v>
      </c>
      <c r="D3402" t="str">
        <f>HYPERLINK("http://service.sap.com/sap/support/notes/1699519","1699519")</f>
        <v>1699519</v>
      </c>
      <c r="E3402">
        <v>3</v>
      </c>
      <c r="F3402" t="s">
        <v>3948</v>
      </c>
    </row>
    <row r="3403" spans="1:6" x14ac:dyDescent="0.25">
      <c r="A3403" t="s">
        <v>3613</v>
      </c>
      <c r="B3403" t="s">
        <v>127</v>
      </c>
      <c r="C3403" t="s">
        <v>319</v>
      </c>
      <c r="D3403" t="str">
        <f>HYPERLINK("http://service.sap.com/sap/support/notes/1700401","1700401")</f>
        <v>1700401</v>
      </c>
      <c r="E3403">
        <v>2</v>
      </c>
      <c r="F3403" t="s">
        <v>3949</v>
      </c>
    </row>
    <row r="3404" spans="1:6" x14ac:dyDescent="0.25">
      <c r="A3404" t="s">
        <v>3613</v>
      </c>
      <c r="B3404" t="s">
        <v>127</v>
      </c>
      <c r="C3404" t="s">
        <v>319</v>
      </c>
      <c r="D3404" t="str">
        <f>HYPERLINK("http://service.sap.com/sap/support/notes/1700988","1700988")</f>
        <v>1700988</v>
      </c>
      <c r="E3404">
        <v>1</v>
      </c>
      <c r="F3404" t="s">
        <v>3950</v>
      </c>
    </row>
    <row r="3405" spans="1:6" x14ac:dyDescent="0.25">
      <c r="A3405" t="s">
        <v>3613</v>
      </c>
      <c r="B3405" t="s">
        <v>127</v>
      </c>
      <c r="C3405" t="s">
        <v>319</v>
      </c>
      <c r="D3405" t="str">
        <f>HYPERLINK("http://service.sap.com/sap/support/notes/1707176","1707176")</f>
        <v>1707176</v>
      </c>
      <c r="E3405">
        <v>2</v>
      </c>
      <c r="F3405" t="s">
        <v>3951</v>
      </c>
    </row>
    <row r="3406" spans="1:6" x14ac:dyDescent="0.25">
      <c r="A3406" t="s">
        <v>3613</v>
      </c>
      <c r="B3406" t="s">
        <v>127</v>
      </c>
      <c r="C3406" t="s">
        <v>319</v>
      </c>
      <c r="D3406" t="str">
        <f>HYPERLINK("http://service.sap.com/sap/support/notes/1709994","1709994")</f>
        <v>1709994</v>
      </c>
      <c r="E3406">
        <v>2</v>
      </c>
      <c r="F3406" t="s">
        <v>3952</v>
      </c>
    </row>
    <row r="3407" spans="1:6" x14ac:dyDescent="0.25">
      <c r="A3407" t="s">
        <v>3613</v>
      </c>
      <c r="B3407" t="s">
        <v>127</v>
      </c>
      <c r="C3407" t="s">
        <v>319</v>
      </c>
      <c r="D3407" t="str">
        <f>HYPERLINK("http://service.sap.com/sap/support/notes/1717213","1717213")</f>
        <v>1717213</v>
      </c>
      <c r="E3407">
        <v>1</v>
      </c>
      <c r="F3407" t="s">
        <v>3953</v>
      </c>
    </row>
    <row r="3408" spans="1:6" x14ac:dyDescent="0.25">
      <c r="A3408" t="s">
        <v>3613</v>
      </c>
      <c r="B3408" t="s">
        <v>127</v>
      </c>
      <c r="C3408" t="s">
        <v>319</v>
      </c>
      <c r="D3408" t="str">
        <f>HYPERLINK("http://service.sap.com/sap/support/notes/1717310","1717310")</f>
        <v>1717310</v>
      </c>
      <c r="E3408">
        <v>2</v>
      </c>
      <c r="F3408" t="s">
        <v>3954</v>
      </c>
    </row>
    <row r="3409" spans="1:6" x14ac:dyDescent="0.25">
      <c r="A3409" t="s">
        <v>3613</v>
      </c>
      <c r="B3409" t="s">
        <v>127</v>
      </c>
      <c r="C3409" t="s">
        <v>319</v>
      </c>
      <c r="D3409" t="str">
        <f>HYPERLINK("http://service.sap.com/sap/support/notes/1717813","1717813")</f>
        <v>1717813</v>
      </c>
      <c r="E3409">
        <v>2</v>
      </c>
      <c r="F3409" t="s">
        <v>3955</v>
      </c>
    </row>
    <row r="3410" spans="1:6" x14ac:dyDescent="0.25">
      <c r="A3410" t="s">
        <v>3613</v>
      </c>
      <c r="B3410" t="s">
        <v>127</v>
      </c>
      <c r="C3410" t="s">
        <v>319</v>
      </c>
      <c r="D3410" t="str">
        <f>HYPERLINK("http://service.sap.com/sap/support/notes/1718483","1718483")</f>
        <v>1718483</v>
      </c>
      <c r="E3410">
        <v>1</v>
      </c>
      <c r="F3410" t="s">
        <v>3956</v>
      </c>
    </row>
    <row r="3411" spans="1:6" x14ac:dyDescent="0.25">
      <c r="A3411" t="s">
        <v>3613</v>
      </c>
      <c r="B3411" t="s">
        <v>135</v>
      </c>
      <c r="C3411" t="s">
        <v>136</v>
      </c>
      <c r="D3411" t="str">
        <f>HYPERLINK("http://service.sap.com/sap/support/notes/1591117","1591117")</f>
        <v>1591117</v>
      </c>
      <c r="E3411">
        <v>12</v>
      </c>
      <c r="F3411" t="s">
        <v>3957</v>
      </c>
    </row>
    <row r="3412" spans="1:6" x14ac:dyDescent="0.25">
      <c r="A3412" t="s">
        <v>3613</v>
      </c>
      <c r="B3412" t="s">
        <v>135</v>
      </c>
      <c r="C3412" t="s">
        <v>136</v>
      </c>
      <c r="D3412" t="str">
        <f>HYPERLINK("http://service.sap.com/sap/support/notes/1620702","1620702")</f>
        <v>1620702</v>
      </c>
      <c r="E3412">
        <v>5</v>
      </c>
      <c r="F3412" t="s">
        <v>3958</v>
      </c>
    </row>
    <row r="3413" spans="1:6" x14ac:dyDescent="0.25">
      <c r="A3413" t="s">
        <v>3613</v>
      </c>
      <c r="B3413" t="s">
        <v>135</v>
      </c>
      <c r="C3413" t="s">
        <v>136</v>
      </c>
      <c r="D3413" t="str">
        <f>HYPERLINK("http://service.sap.com/sap/support/notes/1686279","1686279")</f>
        <v>1686279</v>
      </c>
      <c r="E3413">
        <v>4</v>
      </c>
      <c r="F3413" t="s">
        <v>3959</v>
      </c>
    </row>
    <row r="3414" spans="1:6" x14ac:dyDescent="0.25">
      <c r="A3414" t="s">
        <v>3613</v>
      </c>
      <c r="B3414" t="s">
        <v>135</v>
      </c>
      <c r="C3414" t="s">
        <v>136</v>
      </c>
      <c r="D3414" t="str">
        <f>HYPERLINK("http://service.sap.com/sap/support/notes/1689716","1689716")</f>
        <v>1689716</v>
      </c>
      <c r="E3414">
        <v>2</v>
      </c>
      <c r="F3414" t="s">
        <v>3960</v>
      </c>
    </row>
    <row r="3415" spans="1:6" x14ac:dyDescent="0.25">
      <c r="A3415" t="s">
        <v>3613</v>
      </c>
      <c r="B3415" t="s">
        <v>135</v>
      </c>
      <c r="C3415" t="s">
        <v>136</v>
      </c>
      <c r="D3415" t="str">
        <f>HYPERLINK("http://service.sap.com/sap/support/notes/1691515","1691515")</f>
        <v>1691515</v>
      </c>
      <c r="E3415">
        <v>6</v>
      </c>
      <c r="F3415" t="s">
        <v>3961</v>
      </c>
    </row>
    <row r="3416" spans="1:6" x14ac:dyDescent="0.25">
      <c r="A3416" t="s">
        <v>3613</v>
      </c>
      <c r="B3416" t="s">
        <v>135</v>
      </c>
      <c r="C3416" t="s">
        <v>136</v>
      </c>
      <c r="D3416" t="str">
        <f>HYPERLINK("http://service.sap.com/sap/support/notes/1695868","1695868")</f>
        <v>1695868</v>
      </c>
      <c r="E3416">
        <v>8</v>
      </c>
      <c r="F3416" t="s">
        <v>3962</v>
      </c>
    </row>
    <row r="3417" spans="1:6" x14ac:dyDescent="0.25">
      <c r="A3417" t="s">
        <v>3613</v>
      </c>
      <c r="B3417" t="s">
        <v>135</v>
      </c>
      <c r="C3417" t="s">
        <v>136</v>
      </c>
      <c r="D3417" t="str">
        <f>HYPERLINK("http://service.sap.com/sap/support/notes/1702396","1702396")</f>
        <v>1702396</v>
      </c>
      <c r="E3417">
        <v>2</v>
      </c>
      <c r="F3417" t="s">
        <v>3963</v>
      </c>
    </row>
    <row r="3418" spans="1:6" x14ac:dyDescent="0.25">
      <c r="A3418" t="s">
        <v>3613</v>
      </c>
      <c r="B3418" t="s">
        <v>135</v>
      </c>
      <c r="C3418" t="s">
        <v>136</v>
      </c>
      <c r="D3418" t="str">
        <f>HYPERLINK("http://service.sap.com/sap/support/notes/1703383","1703383")</f>
        <v>1703383</v>
      </c>
      <c r="E3418">
        <v>2</v>
      </c>
      <c r="F3418" t="s">
        <v>3964</v>
      </c>
    </row>
    <row r="3419" spans="1:6" x14ac:dyDescent="0.25">
      <c r="A3419" t="s">
        <v>3613</v>
      </c>
      <c r="B3419" t="s">
        <v>135</v>
      </c>
      <c r="C3419" t="s">
        <v>136</v>
      </c>
      <c r="D3419" t="str">
        <f>HYPERLINK("http://service.sap.com/sap/support/notes/1703424","1703424")</f>
        <v>1703424</v>
      </c>
      <c r="E3419">
        <v>2</v>
      </c>
      <c r="F3419" t="s">
        <v>3965</v>
      </c>
    </row>
    <row r="3420" spans="1:6" x14ac:dyDescent="0.25">
      <c r="A3420" t="s">
        <v>3613</v>
      </c>
      <c r="B3420" t="s">
        <v>135</v>
      </c>
      <c r="C3420" t="s">
        <v>136</v>
      </c>
      <c r="D3420" t="str">
        <f>HYPERLINK("http://service.sap.com/sap/support/notes/1703487","1703487")</f>
        <v>1703487</v>
      </c>
      <c r="E3420">
        <v>2</v>
      </c>
      <c r="F3420" t="s">
        <v>3966</v>
      </c>
    </row>
    <row r="3421" spans="1:6" x14ac:dyDescent="0.25">
      <c r="A3421" t="s">
        <v>3613</v>
      </c>
      <c r="B3421" t="s">
        <v>135</v>
      </c>
      <c r="C3421" t="s">
        <v>136</v>
      </c>
      <c r="D3421" t="str">
        <f>HYPERLINK("http://service.sap.com/sap/support/notes/1706468","1706468")</f>
        <v>1706468</v>
      </c>
      <c r="E3421">
        <v>2</v>
      </c>
      <c r="F3421" t="s">
        <v>3967</v>
      </c>
    </row>
    <row r="3422" spans="1:6" x14ac:dyDescent="0.25">
      <c r="A3422" t="s">
        <v>3613</v>
      </c>
      <c r="B3422" t="s">
        <v>135</v>
      </c>
      <c r="C3422" t="s">
        <v>136</v>
      </c>
      <c r="D3422" t="str">
        <f>HYPERLINK("http://service.sap.com/sap/support/notes/1707215","1707215")</f>
        <v>1707215</v>
      </c>
      <c r="E3422">
        <v>3</v>
      </c>
      <c r="F3422" t="s">
        <v>3968</v>
      </c>
    </row>
    <row r="3423" spans="1:6" x14ac:dyDescent="0.25">
      <c r="A3423" t="s">
        <v>3613</v>
      </c>
      <c r="B3423" t="s">
        <v>135</v>
      </c>
      <c r="C3423" t="s">
        <v>136</v>
      </c>
      <c r="D3423" t="str">
        <f>HYPERLINK("http://service.sap.com/sap/support/notes/1707630","1707630")</f>
        <v>1707630</v>
      </c>
      <c r="E3423">
        <v>2</v>
      </c>
      <c r="F3423" t="s">
        <v>3969</v>
      </c>
    </row>
    <row r="3424" spans="1:6" x14ac:dyDescent="0.25">
      <c r="A3424" t="s">
        <v>3613</v>
      </c>
      <c r="B3424" t="s">
        <v>135</v>
      </c>
      <c r="C3424" t="s">
        <v>136</v>
      </c>
      <c r="D3424" t="str">
        <f>HYPERLINK("http://service.sap.com/sap/support/notes/1709987","1709987")</f>
        <v>1709987</v>
      </c>
      <c r="E3424">
        <v>2</v>
      </c>
      <c r="F3424" t="s">
        <v>3970</v>
      </c>
    </row>
    <row r="3425" spans="1:6" x14ac:dyDescent="0.25">
      <c r="A3425" t="s">
        <v>3613</v>
      </c>
      <c r="B3425" t="s">
        <v>135</v>
      </c>
      <c r="C3425" t="s">
        <v>136</v>
      </c>
      <c r="D3425" t="str">
        <f>HYPERLINK("http://service.sap.com/sap/support/notes/1711520","1711520")</f>
        <v>1711520</v>
      </c>
      <c r="E3425">
        <v>2</v>
      </c>
      <c r="F3425" t="s">
        <v>3971</v>
      </c>
    </row>
    <row r="3426" spans="1:6" x14ac:dyDescent="0.25">
      <c r="A3426" t="s">
        <v>3613</v>
      </c>
      <c r="B3426" t="s">
        <v>135</v>
      </c>
      <c r="C3426" t="s">
        <v>136</v>
      </c>
      <c r="D3426" t="str">
        <f>HYPERLINK("http://service.sap.com/sap/support/notes/1711625","1711625")</f>
        <v>1711625</v>
      </c>
      <c r="E3426">
        <v>3</v>
      </c>
      <c r="F3426" t="s">
        <v>3972</v>
      </c>
    </row>
    <row r="3427" spans="1:6" x14ac:dyDescent="0.25">
      <c r="A3427" t="s">
        <v>3613</v>
      </c>
      <c r="B3427" t="s">
        <v>135</v>
      </c>
      <c r="C3427" t="s">
        <v>136</v>
      </c>
      <c r="D3427" t="str">
        <f>HYPERLINK("http://service.sap.com/sap/support/notes/1713644","1713644")</f>
        <v>1713644</v>
      </c>
      <c r="E3427">
        <v>2</v>
      </c>
      <c r="F3427" t="s">
        <v>3973</v>
      </c>
    </row>
    <row r="3428" spans="1:6" x14ac:dyDescent="0.25">
      <c r="A3428" t="s">
        <v>3613</v>
      </c>
      <c r="B3428" t="s">
        <v>135</v>
      </c>
      <c r="C3428" t="s">
        <v>136</v>
      </c>
      <c r="D3428" t="str">
        <f>HYPERLINK("http://service.sap.com/sap/support/notes/1715319","1715319")</f>
        <v>1715319</v>
      </c>
      <c r="E3428">
        <v>2</v>
      </c>
      <c r="F3428" t="s">
        <v>3974</v>
      </c>
    </row>
    <row r="3429" spans="1:6" x14ac:dyDescent="0.25">
      <c r="A3429" t="s">
        <v>3613</v>
      </c>
      <c r="B3429" t="s">
        <v>135</v>
      </c>
      <c r="C3429" t="s">
        <v>136</v>
      </c>
      <c r="D3429" t="str">
        <f>HYPERLINK("http://service.sap.com/sap/support/notes/1716434","1716434")</f>
        <v>1716434</v>
      </c>
      <c r="E3429">
        <v>2</v>
      </c>
      <c r="F3429" t="s">
        <v>3975</v>
      </c>
    </row>
    <row r="3430" spans="1:6" x14ac:dyDescent="0.25">
      <c r="A3430" t="s">
        <v>3613</v>
      </c>
      <c r="B3430" t="s">
        <v>135</v>
      </c>
      <c r="C3430" t="s">
        <v>136</v>
      </c>
      <c r="D3430" t="str">
        <f>HYPERLINK("http://service.sap.com/sap/support/notes/1716503","1716503")</f>
        <v>1716503</v>
      </c>
      <c r="E3430">
        <v>2</v>
      </c>
      <c r="F3430" t="s">
        <v>3976</v>
      </c>
    </row>
    <row r="3431" spans="1:6" x14ac:dyDescent="0.25">
      <c r="A3431" t="s">
        <v>3613</v>
      </c>
      <c r="B3431" t="s">
        <v>135</v>
      </c>
      <c r="C3431" t="s">
        <v>136</v>
      </c>
      <c r="D3431" t="str">
        <f>HYPERLINK("http://service.sap.com/sap/support/notes/1716929","1716929")</f>
        <v>1716929</v>
      </c>
      <c r="E3431">
        <v>2</v>
      </c>
      <c r="F3431" t="s">
        <v>3977</v>
      </c>
    </row>
    <row r="3432" spans="1:6" x14ac:dyDescent="0.25">
      <c r="A3432" t="s">
        <v>3613</v>
      </c>
      <c r="B3432" t="s">
        <v>135</v>
      </c>
      <c r="C3432" t="s">
        <v>136</v>
      </c>
      <c r="D3432" t="str">
        <f>HYPERLINK("http://service.sap.com/sap/support/notes/1716971","1716971")</f>
        <v>1716971</v>
      </c>
      <c r="E3432">
        <v>2</v>
      </c>
      <c r="F3432" t="s">
        <v>3978</v>
      </c>
    </row>
    <row r="3433" spans="1:6" x14ac:dyDescent="0.25">
      <c r="A3433" t="s">
        <v>3613</v>
      </c>
      <c r="B3433" t="s">
        <v>135</v>
      </c>
      <c r="C3433" t="s">
        <v>136</v>
      </c>
      <c r="D3433" t="str">
        <f>HYPERLINK("http://service.sap.com/sap/support/notes/1719230","1719230")</f>
        <v>1719230</v>
      </c>
      <c r="E3433">
        <v>2</v>
      </c>
      <c r="F3433" t="s">
        <v>3979</v>
      </c>
    </row>
    <row r="3434" spans="1:6" x14ac:dyDescent="0.25">
      <c r="A3434" t="s">
        <v>3613</v>
      </c>
      <c r="B3434" t="s">
        <v>135</v>
      </c>
      <c r="C3434" t="s">
        <v>136</v>
      </c>
      <c r="D3434" t="str">
        <f>HYPERLINK("http://service.sap.com/sap/support/notes/1719346","1719346")</f>
        <v>1719346</v>
      </c>
      <c r="E3434">
        <v>2</v>
      </c>
      <c r="F3434" t="s">
        <v>3980</v>
      </c>
    </row>
    <row r="3435" spans="1:6" x14ac:dyDescent="0.25">
      <c r="A3435" t="s">
        <v>3613</v>
      </c>
      <c r="B3435" t="s">
        <v>135</v>
      </c>
      <c r="C3435" t="s">
        <v>136</v>
      </c>
      <c r="D3435" t="str">
        <f>HYPERLINK("http://service.sap.com/sap/support/notes/1719351","1719351")</f>
        <v>1719351</v>
      </c>
      <c r="E3435">
        <v>2</v>
      </c>
      <c r="F3435" t="s">
        <v>3981</v>
      </c>
    </row>
    <row r="3436" spans="1:6" x14ac:dyDescent="0.25">
      <c r="A3436" t="s">
        <v>3613</v>
      </c>
      <c r="B3436" t="s">
        <v>137</v>
      </c>
      <c r="C3436" t="s">
        <v>40</v>
      </c>
      <c r="D3436" t="str">
        <f>HYPERLINK("http://service.sap.com/sap/support/notes/1705455","1705455")</f>
        <v>1705455</v>
      </c>
      <c r="E3436">
        <v>1</v>
      </c>
      <c r="F3436" t="s">
        <v>3982</v>
      </c>
    </row>
    <row r="3437" spans="1:6" x14ac:dyDescent="0.25">
      <c r="A3437" t="s">
        <v>3613</v>
      </c>
      <c r="B3437" t="s">
        <v>138</v>
      </c>
      <c r="C3437" t="s">
        <v>42</v>
      </c>
      <c r="D3437" t="str">
        <f>HYPERLINK("http://service.sap.com/sap/support/notes/1528413","1528413")</f>
        <v>1528413</v>
      </c>
      <c r="E3437">
        <v>4</v>
      </c>
      <c r="F3437" t="s">
        <v>373</v>
      </c>
    </row>
    <row r="3438" spans="1:6" x14ac:dyDescent="0.25">
      <c r="A3438" t="s">
        <v>3613</v>
      </c>
      <c r="B3438" t="s">
        <v>138</v>
      </c>
      <c r="C3438" t="s">
        <v>42</v>
      </c>
      <c r="D3438" t="str">
        <f>HYPERLINK("http://service.sap.com/sap/support/notes/1605830","1605830")</f>
        <v>1605830</v>
      </c>
      <c r="E3438">
        <v>2</v>
      </c>
      <c r="F3438" t="s">
        <v>3983</v>
      </c>
    </row>
    <row r="3439" spans="1:6" x14ac:dyDescent="0.25">
      <c r="A3439" t="s">
        <v>3613</v>
      </c>
      <c r="B3439" t="s">
        <v>138</v>
      </c>
      <c r="C3439" t="s">
        <v>42</v>
      </c>
      <c r="D3439" t="str">
        <f>HYPERLINK("http://service.sap.com/sap/support/notes/1689456","1689456")</f>
        <v>1689456</v>
      </c>
      <c r="E3439">
        <v>2</v>
      </c>
      <c r="F3439" t="s">
        <v>3984</v>
      </c>
    </row>
    <row r="3440" spans="1:6" x14ac:dyDescent="0.25">
      <c r="A3440" t="s">
        <v>3613</v>
      </c>
      <c r="B3440" t="s">
        <v>138</v>
      </c>
      <c r="C3440" t="s">
        <v>42</v>
      </c>
      <c r="D3440" t="str">
        <f>HYPERLINK("http://service.sap.com/sap/support/notes/1700172","1700172")</f>
        <v>1700172</v>
      </c>
      <c r="E3440">
        <v>2</v>
      </c>
      <c r="F3440" t="s">
        <v>3985</v>
      </c>
    </row>
    <row r="3441" spans="1:6" x14ac:dyDescent="0.25">
      <c r="A3441" t="s">
        <v>3613</v>
      </c>
      <c r="B3441" t="s">
        <v>138</v>
      </c>
      <c r="C3441" t="s">
        <v>42</v>
      </c>
      <c r="D3441" t="str">
        <f>HYPERLINK("http://service.sap.com/sap/support/notes/1701012","1701012")</f>
        <v>1701012</v>
      </c>
      <c r="E3441">
        <v>2</v>
      </c>
      <c r="F3441" t="s">
        <v>3986</v>
      </c>
    </row>
    <row r="3442" spans="1:6" x14ac:dyDescent="0.25">
      <c r="A3442" t="s">
        <v>3613</v>
      </c>
      <c r="B3442" t="s">
        <v>138</v>
      </c>
      <c r="C3442" t="s">
        <v>42</v>
      </c>
      <c r="D3442" t="str">
        <f>HYPERLINK("http://service.sap.com/sap/support/notes/1701256","1701256")</f>
        <v>1701256</v>
      </c>
      <c r="E3442">
        <v>2</v>
      </c>
      <c r="F3442" t="s">
        <v>3987</v>
      </c>
    </row>
    <row r="3443" spans="1:6" x14ac:dyDescent="0.25">
      <c r="A3443" t="s">
        <v>3613</v>
      </c>
      <c r="B3443" t="s">
        <v>138</v>
      </c>
      <c r="C3443" t="s">
        <v>42</v>
      </c>
      <c r="D3443" t="str">
        <f>HYPERLINK("http://service.sap.com/sap/support/notes/1703459","1703459")</f>
        <v>1703459</v>
      </c>
      <c r="E3443">
        <v>2</v>
      </c>
      <c r="F3443" t="s">
        <v>3988</v>
      </c>
    </row>
    <row r="3444" spans="1:6" x14ac:dyDescent="0.25">
      <c r="A3444" t="s">
        <v>3613</v>
      </c>
      <c r="B3444" t="s">
        <v>138</v>
      </c>
      <c r="C3444" t="s">
        <v>42</v>
      </c>
      <c r="D3444" t="str">
        <f>HYPERLINK("http://service.sap.com/sap/support/notes/1706329","1706329")</f>
        <v>1706329</v>
      </c>
      <c r="E3444">
        <v>1</v>
      </c>
      <c r="F3444" t="s">
        <v>3989</v>
      </c>
    </row>
    <row r="3445" spans="1:6" x14ac:dyDescent="0.25">
      <c r="A3445" t="s">
        <v>3613</v>
      </c>
      <c r="B3445" t="s">
        <v>138</v>
      </c>
      <c r="C3445" t="s">
        <v>42</v>
      </c>
      <c r="D3445" t="str">
        <f>HYPERLINK("http://service.sap.com/sap/support/notes/1707592","1707592")</f>
        <v>1707592</v>
      </c>
      <c r="E3445">
        <v>4</v>
      </c>
      <c r="F3445" t="s">
        <v>3990</v>
      </c>
    </row>
    <row r="3446" spans="1:6" x14ac:dyDescent="0.25">
      <c r="A3446" t="s">
        <v>3613</v>
      </c>
      <c r="B3446" t="s">
        <v>138</v>
      </c>
      <c r="C3446" t="s">
        <v>42</v>
      </c>
      <c r="D3446" t="str">
        <f>HYPERLINK("http://service.sap.com/sap/support/notes/1709245","1709245")</f>
        <v>1709245</v>
      </c>
      <c r="E3446">
        <v>1</v>
      </c>
      <c r="F3446" t="s">
        <v>3991</v>
      </c>
    </row>
    <row r="3447" spans="1:6" x14ac:dyDescent="0.25">
      <c r="A3447" t="s">
        <v>3613</v>
      </c>
      <c r="B3447" t="s">
        <v>138</v>
      </c>
      <c r="C3447" t="s">
        <v>42</v>
      </c>
      <c r="D3447" t="str">
        <f>HYPERLINK("http://service.sap.com/sap/support/notes/1710430","1710430")</f>
        <v>1710430</v>
      </c>
      <c r="E3447">
        <v>1</v>
      </c>
      <c r="F3447" t="s">
        <v>3992</v>
      </c>
    </row>
    <row r="3448" spans="1:6" x14ac:dyDescent="0.25">
      <c r="A3448" t="s">
        <v>3613</v>
      </c>
      <c r="B3448" t="s">
        <v>138</v>
      </c>
      <c r="C3448" t="s">
        <v>42</v>
      </c>
      <c r="D3448" t="str">
        <f>HYPERLINK("http://service.sap.com/sap/support/notes/1711200","1711200")</f>
        <v>1711200</v>
      </c>
      <c r="E3448">
        <v>1</v>
      </c>
      <c r="F3448" t="s">
        <v>3993</v>
      </c>
    </row>
    <row r="3449" spans="1:6" x14ac:dyDescent="0.25">
      <c r="A3449" t="s">
        <v>3613</v>
      </c>
      <c r="B3449" t="s">
        <v>138</v>
      </c>
      <c r="C3449" t="s">
        <v>42</v>
      </c>
      <c r="D3449" t="str">
        <f>HYPERLINK("http://service.sap.com/sap/support/notes/1713191","1713191")</f>
        <v>1713191</v>
      </c>
      <c r="E3449">
        <v>1</v>
      </c>
      <c r="F3449" t="s">
        <v>3994</v>
      </c>
    </row>
    <row r="3450" spans="1:6" x14ac:dyDescent="0.25">
      <c r="A3450" t="s">
        <v>3613</v>
      </c>
      <c r="B3450" t="s">
        <v>138</v>
      </c>
      <c r="C3450" t="s">
        <v>42</v>
      </c>
      <c r="D3450" t="str">
        <f>HYPERLINK("http://service.sap.com/sap/support/notes/1714675","1714675")</f>
        <v>1714675</v>
      </c>
      <c r="E3450">
        <v>1</v>
      </c>
      <c r="F3450" t="s">
        <v>3995</v>
      </c>
    </row>
    <row r="3451" spans="1:6" x14ac:dyDescent="0.25">
      <c r="A3451" t="s">
        <v>3613</v>
      </c>
      <c r="B3451" t="s">
        <v>138</v>
      </c>
      <c r="C3451" t="s">
        <v>42</v>
      </c>
      <c r="D3451" t="str">
        <f>HYPERLINK("http://service.sap.com/sap/support/notes/1717002","1717002")</f>
        <v>1717002</v>
      </c>
      <c r="E3451">
        <v>1</v>
      </c>
      <c r="F3451" t="s">
        <v>3996</v>
      </c>
    </row>
    <row r="3452" spans="1:6" x14ac:dyDescent="0.25">
      <c r="A3452" t="s">
        <v>3613</v>
      </c>
      <c r="B3452" t="s">
        <v>138</v>
      </c>
      <c r="C3452" t="s">
        <v>42</v>
      </c>
      <c r="D3452" t="str">
        <f>HYPERLINK("http://service.sap.com/sap/support/notes/1717464","1717464")</f>
        <v>1717464</v>
      </c>
      <c r="E3452">
        <v>5</v>
      </c>
      <c r="F3452" t="s">
        <v>3997</v>
      </c>
    </row>
    <row r="3453" spans="1:6" x14ac:dyDescent="0.25">
      <c r="A3453" t="s">
        <v>3613</v>
      </c>
      <c r="B3453" t="s">
        <v>383</v>
      </c>
      <c r="C3453" t="s">
        <v>82</v>
      </c>
      <c r="D3453" t="str">
        <f>HYPERLINK("http://service.sap.com/sap/support/notes/1696969","1696969")</f>
        <v>1696969</v>
      </c>
      <c r="E3453">
        <v>3</v>
      </c>
      <c r="F3453" t="s">
        <v>3998</v>
      </c>
    </row>
    <row r="3454" spans="1:6" x14ac:dyDescent="0.25">
      <c r="A3454" t="s">
        <v>3613</v>
      </c>
      <c r="B3454" t="s">
        <v>139</v>
      </c>
      <c r="C3454" t="s">
        <v>140</v>
      </c>
      <c r="D3454" t="str">
        <f>HYPERLINK("http://service.sap.com/sap/support/notes/1129168","1129168")</f>
        <v>1129168</v>
      </c>
      <c r="E3454">
        <v>1</v>
      </c>
      <c r="F3454" t="s">
        <v>141</v>
      </c>
    </row>
    <row r="3455" spans="1:6" x14ac:dyDescent="0.25">
      <c r="A3455" t="s">
        <v>3613</v>
      </c>
      <c r="B3455" t="s">
        <v>139</v>
      </c>
      <c r="C3455" t="s">
        <v>140</v>
      </c>
      <c r="D3455" t="str">
        <f>HYPERLINK("http://service.sap.com/sap/support/notes/1699683","1699683")</f>
        <v>1699683</v>
      </c>
      <c r="E3455">
        <v>5</v>
      </c>
      <c r="F3455" t="s">
        <v>3999</v>
      </c>
    </row>
    <row r="3456" spans="1:6" x14ac:dyDescent="0.25">
      <c r="A3456" t="s">
        <v>3613</v>
      </c>
      <c r="B3456" t="s">
        <v>142</v>
      </c>
      <c r="C3456" t="s">
        <v>82</v>
      </c>
      <c r="D3456" t="str">
        <f>HYPERLINK("http://service.sap.com/sap/support/notes/1685228","1685228")</f>
        <v>1685228</v>
      </c>
      <c r="E3456">
        <v>3</v>
      </c>
      <c r="F3456" t="s">
        <v>4000</v>
      </c>
    </row>
    <row r="3457" spans="1:6" x14ac:dyDescent="0.25">
      <c r="A3457" t="s">
        <v>3613</v>
      </c>
      <c r="B3457" t="s">
        <v>142</v>
      </c>
      <c r="C3457" t="s">
        <v>82</v>
      </c>
      <c r="D3457" t="str">
        <f>HYPERLINK("http://service.sap.com/sap/support/notes/1711369","1711369")</f>
        <v>1711369</v>
      </c>
      <c r="E3457">
        <v>2</v>
      </c>
      <c r="F3457" t="s">
        <v>4001</v>
      </c>
    </row>
    <row r="3458" spans="1:6" x14ac:dyDescent="0.25">
      <c r="A3458" t="s">
        <v>3613</v>
      </c>
      <c r="B3458" t="s">
        <v>143</v>
      </c>
      <c r="C3458" t="s">
        <v>132</v>
      </c>
    </row>
    <row r="3459" spans="1:6" x14ac:dyDescent="0.25">
      <c r="A3459" t="s">
        <v>3613</v>
      </c>
      <c r="B3459" t="s">
        <v>144</v>
      </c>
      <c r="C3459" t="s">
        <v>145</v>
      </c>
      <c r="D3459" t="str">
        <f>HYPERLINK("http://service.sap.com/sap/support/notes/1703733","1703733")</f>
        <v>1703733</v>
      </c>
      <c r="E3459">
        <v>2</v>
      </c>
      <c r="F3459" t="s">
        <v>4002</v>
      </c>
    </row>
    <row r="3460" spans="1:6" x14ac:dyDescent="0.25">
      <c r="A3460" t="s">
        <v>3613</v>
      </c>
      <c r="B3460" t="s">
        <v>144</v>
      </c>
      <c r="C3460" t="s">
        <v>145</v>
      </c>
      <c r="D3460" t="str">
        <f>HYPERLINK("http://service.sap.com/sap/support/notes/1706619","1706619")</f>
        <v>1706619</v>
      </c>
      <c r="E3460">
        <v>1</v>
      </c>
      <c r="F3460" t="s">
        <v>4003</v>
      </c>
    </row>
    <row r="3461" spans="1:6" x14ac:dyDescent="0.25">
      <c r="A3461" t="s">
        <v>3613</v>
      </c>
      <c r="B3461" t="s">
        <v>146</v>
      </c>
      <c r="C3461" t="s">
        <v>147</v>
      </c>
      <c r="D3461" t="str">
        <f>HYPERLINK("http://service.sap.com/sap/support/notes/1679554","1679554")</f>
        <v>1679554</v>
      </c>
      <c r="E3461">
        <v>3</v>
      </c>
      <c r="F3461" t="s">
        <v>2689</v>
      </c>
    </row>
    <row r="3462" spans="1:6" x14ac:dyDescent="0.25">
      <c r="A3462" t="s">
        <v>3613</v>
      </c>
      <c r="B3462" t="s">
        <v>146</v>
      </c>
      <c r="C3462" t="s">
        <v>147</v>
      </c>
      <c r="D3462" t="str">
        <f>HYPERLINK("http://service.sap.com/sap/support/notes/1705695","1705695")</f>
        <v>1705695</v>
      </c>
      <c r="E3462">
        <v>1</v>
      </c>
      <c r="F3462" t="s">
        <v>3451</v>
      </c>
    </row>
    <row r="3463" spans="1:6" x14ac:dyDescent="0.25">
      <c r="A3463" t="s">
        <v>3613</v>
      </c>
      <c r="B3463" t="s">
        <v>146</v>
      </c>
      <c r="C3463" t="s">
        <v>147</v>
      </c>
      <c r="D3463" t="str">
        <f>HYPERLINK("http://service.sap.com/sap/support/notes/1712233","1712233")</f>
        <v>1712233</v>
      </c>
      <c r="E3463">
        <v>1</v>
      </c>
      <c r="F3463" t="s">
        <v>4004</v>
      </c>
    </row>
    <row r="3464" spans="1:6" x14ac:dyDescent="0.25">
      <c r="A3464" t="s">
        <v>3613</v>
      </c>
      <c r="B3464" t="s">
        <v>146</v>
      </c>
      <c r="C3464" t="s">
        <v>147</v>
      </c>
      <c r="D3464" t="str">
        <f>HYPERLINK("http://service.sap.com/sap/support/notes/1714355","1714355")</f>
        <v>1714355</v>
      </c>
      <c r="E3464">
        <v>1</v>
      </c>
      <c r="F3464" t="s">
        <v>4005</v>
      </c>
    </row>
    <row r="3465" spans="1:6" x14ac:dyDescent="0.25">
      <c r="A3465" t="s">
        <v>3613</v>
      </c>
      <c r="B3465" t="s">
        <v>146</v>
      </c>
      <c r="C3465" t="s">
        <v>147</v>
      </c>
      <c r="D3465" t="str">
        <f>HYPERLINK("http://service.sap.com/sap/support/notes/1714372","1714372")</f>
        <v>1714372</v>
      </c>
      <c r="E3465">
        <v>1</v>
      </c>
      <c r="F3465" t="s">
        <v>4006</v>
      </c>
    </row>
    <row r="3466" spans="1:6" x14ac:dyDescent="0.25">
      <c r="A3466" t="s">
        <v>3613</v>
      </c>
      <c r="B3466" t="s">
        <v>146</v>
      </c>
      <c r="C3466" t="s">
        <v>147</v>
      </c>
      <c r="D3466" t="str">
        <f>HYPERLINK("http://service.sap.com/sap/support/notes/1718785","1718785")</f>
        <v>1718785</v>
      </c>
      <c r="E3466">
        <v>2</v>
      </c>
      <c r="F3466" t="s">
        <v>4007</v>
      </c>
    </row>
    <row r="3467" spans="1:6" x14ac:dyDescent="0.25">
      <c r="A3467" t="s">
        <v>3613</v>
      </c>
      <c r="B3467" t="s">
        <v>149</v>
      </c>
      <c r="C3467" t="s">
        <v>150</v>
      </c>
      <c r="D3467" t="str">
        <f>HYPERLINK("http://service.sap.com/sap/support/notes/1672851","1672851")</f>
        <v>1672851</v>
      </c>
      <c r="E3467">
        <v>1</v>
      </c>
      <c r="F3467" t="s">
        <v>4008</v>
      </c>
    </row>
    <row r="3468" spans="1:6" x14ac:dyDescent="0.25">
      <c r="A3468" t="s">
        <v>3613</v>
      </c>
      <c r="B3468" t="s">
        <v>149</v>
      </c>
      <c r="C3468" t="s">
        <v>150</v>
      </c>
      <c r="D3468" t="str">
        <f>HYPERLINK("http://service.sap.com/sap/support/notes/1683242","1683242")</f>
        <v>1683242</v>
      </c>
      <c r="E3468">
        <v>1</v>
      </c>
      <c r="F3468" t="s">
        <v>4009</v>
      </c>
    </row>
    <row r="3469" spans="1:6" x14ac:dyDescent="0.25">
      <c r="A3469" t="s">
        <v>3613</v>
      </c>
      <c r="B3469" t="s">
        <v>149</v>
      </c>
      <c r="C3469" t="s">
        <v>150</v>
      </c>
      <c r="D3469" t="str">
        <f>HYPERLINK("http://service.sap.com/sap/support/notes/1708088","1708088")</f>
        <v>1708088</v>
      </c>
      <c r="E3469">
        <v>3</v>
      </c>
      <c r="F3469" t="s">
        <v>4010</v>
      </c>
    </row>
    <row r="3470" spans="1:6" x14ac:dyDescent="0.25">
      <c r="A3470" t="s">
        <v>3613</v>
      </c>
      <c r="B3470" t="s">
        <v>149</v>
      </c>
      <c r="C3470" t="s">
        <v>150</v>
      </c>
      <c r="D3470" t="str">
        <f>HYPERLINK("http://service.sap.com/sap/support/notes/1710618","1710618")</f>
        <v>1710618</v>
      </c>
      <c r="E3470">
        <v>2</v>
      </c>
      <c r="F3470" t="s">
        <v>4011</v>
      </c>
    </row>
    <row r="3471" spans="1:6" x14ac:dyDescent="0.25">
      <c r="A3471" t="s">
        <v>3613</v>
      </c>
      <c r="B3471" t="s">
        <v>149</v>
      </c>
      <c r="C3471" t="s">
        <v>150</v>
      </c>
      <c r="D3471" t="str">
        <f>HYPERLINK("http://service.sap.com/sap/support/notes/1713473","1713473")</f>
        <v>1713473</v>
      </c>
      <c r="E3471">
        <v>3</v>
      </c>
      <c r="F3471" t="s">
        <v>4012</v>
      </c>
    </row>
    <row r="3472" spans="1:6" x14ac:dyDescent="0.25">
      <c r="A3472" t="s">
        <v>3613</v>
      </c>
      <c r="B3472" t="s">
        <v>149</v>
      </c>
      <c r="C3472" t="s">
        <v>150</v>
      </c>
      <c r="D3472" t="str">
        <f>HYPERLINK("http://service.sap.com/sap/support/notes/1713680","1713680")</f>
        <v>1713680</v>
      </c>
      <c r="E3472">
        <v>2</v>
      </c>
      <c r="F3472" t="s">
        <v>4013</v>
      </c>
    </row>
    <row r="3473" spans="1:6" x14ac:dyDescent="0.25">
      <c r="A3473" t="s">
        <v>3613</v>
      </c>
      <c r="B3473" t="s">
        <v>149</v>
      </c>
      <c r="C3473" t="s">
        <v>150</v>
      </c>
      <c r="D3473" t="str">
        <f>HYPERLINK("http://service.sap.com/sap/support/notes/1714629","1714629")</f>
        <v>1714629</v>
      </c>
      <c r="E3473">
        <v>2</v>
      </c>
      <c r="F3473" t="s">
        <v>4014</v>
      </c>
    </row>
    <row r="3474" spans="1:6" x14ac:dyDescent="0.25">
      <c r="A3474" t="s">
        <v>3613</v>
      </c>
      <c r="B3474" t="s">
        <v>149</v>
      </c>
      <c r="C3474" t="s">
        <v>150</v>
      </c>
      <c r="D3474" t="str">
        <f>HYPERLINK("http://service.sap.com/sap/support/notes/1716776","1716776")</f>
        <v>1716776</v>
      </c>
      <c r="E3474">
        <v>2</v>
      </c>
      <c r="F3474" t="s">
        <v>4015</v>
      </c>
    </row>
    <row r="3475" spans="1:6" x14ac:dyDescent="0.25">
      <c r="A3475" t="s">
        <v>3613</v>
      </c>
      <c r="B3475" t="s">
        <v>149</v>
      </c>
      <c r="C3475" t="s">
        <v>150</v>
      </c>
      <c r="D3475" t="str">
        <f>HYPERLINK("http://service.sap.com/sap/support/notes/1716791","1716791")</f>
        <v>1716791</v>
      </c>
      <c r="E3475">
        <v>1</v>
      </c>
      <c r="F3475" t="s">
        <v>4016</v>
      </c>
    </row>
    <row r="3476" spans="1:6" x14ac:dyDescent="0.25">
      <c r="A3476" t="s">
        <v>3613</v>
      </c>
      <c r="B3476" t="s">
        <v>152</v>
      </c>
      <c r="C3476" t="s">
        <v>47</v>
      </c>
      <c r="D3476" t="str">
        <f>HYPERLINK("http://service.sap.com/sap/support/notes/1168955","1168955")</f>
        <v>1168955</v>
      </c>
      <c r="E3476">
        <v>1</v>
      </c>
      <c r="F3476" t="s">
        <v>4017</v>
      </c>
    </row>
    <row r="3477" spans="1:6" x14ac:dyDescent="0.25">
      <c r="A3477" t="s">
        <v>3613</v>
      </c>
      <c r="B3477" t="s">
        <v>152</v>
      </c>
      <c r="C3477" t="s">
        <v>47</v>
      </c>
      <c r="D3477" t="str">
        <f>HYPERLINK("http://service.sap.com/sap/support/notes/1699884","1699884")</f>
        <v>1699884</v>
      </c>
      <c r="E3477">
        <v>3</v>
      </c>
      <c r="F3477" t="s">
        <v>4018</v>
      </c>
    </row>
    <row r="3478" spans="1:6" x14ac:dyDescent="0.25">
      <c r="A3478" t="s">
        <v>3613</v>
      </c>
      <c r="B3478" t="s">
        <v>152</v>
      </c>
      <c r="C3478" t="s">
        <v>47</v>
      </c>
      <c r="D3478" t="str">
        <f>HYPERLINK("http://service.sap.com/sap/support/notes/1702254","1702254")</f>
        <v>1702254</v>
      </c>
      <c r="E3478">
        <v>2</v>
      </c>
      <c r="F3478" t="s">
        <v>4019</v>
      </c>
    </row>
    <row r="3479" spans="1:6" x14ac:dyDescent="0.25">
      <c r="A3479" t="s">
        <v>3613</v>
      </c>
      <c r="B3479" t="s">
        <v>152</v>
      </c>
      <c r="C3479" t="s">
        <v>47</v>
      </c>
      <c r="D3479" t="str">
        <f>HYPERLINK("http://service.sap.com/sap/support/notes/1710061","1710061")</f>
        <v>1710061</v>
      </c>
      <c r="E3479">
        <v>2</v>
      </c>
      <c r="F3479" t="s">
        <v>4020</v>
      </c>
    </row>
    <row r="3480" spans="1:6" x14ac:dyDescent="0.25">
      <c r="A3480" t="s">
        <v>3613</v>
      </c>
      <c r="B3480" t="s">
        <v>152</v>
      </c>
      <c r="C3480" t="s">
        <v>47</v>
      </c>
      <c r="D3480" t="str">
        <f>HYPERLINK("http://service.sap.com/sap/support/notes/1710499","1710499")</f>
        <v>1710499</v>
      </c>
      <c r="E3480">
        <v>8</v>
      </c>
      <c r="F3480" t="s">
        <v>4021</v>
      </c>
    </row>
    <row r="3481" spans="1:6" x14ac:dyDescent="0.25">
      <c r="A3481" t="s">
        <v>3613</v>
      </c>
      <c r="B3481" t="s">
        <v>152</v>
      </c>
      <c r="C3481" t="s">
        <v>47</v>
      </c>
      <c r="D3481" t="str">
        <f>HYPERLINK("http://service.sap.com/sap/support/notes/1712811","1712811")</f>
        <v>1712811</v>
      </c>
      <c r="E3481">
        <v>2</v>
      </c>
      <c r="F3481" t="s">
        <v>4022</v>
      </c>
    </row>
    <row r="3482" spans="1:6" x14ac:dyDescent="0.25">
      <c r="A3482" t="s">
        <v>3613</v>
      </c>
      <c r="B3482" t="s">
        <v>152</v>
      </c>
      <c r="C3482" t="s">
        <v>47</v>
      </c>
      <c r="D3482" t="str">
        <f>HYPERLINK("http://service.sap.com/sap/support/notes/1714398","1714398")</f>
        <v>1714398</v>
      </c>
      <c r="E3482">
        <v>2</v>
      </c>
      <c r="F3482" t="s">
        <v>4023</v>
      </c>
    </row>
    <row r="3483" spans="1:6" x14ac:dyDescent="0.25">
      <c r="A3483" t="s">
        <v>3613</v>
      </c>
      <c r="B3483" t="s">
        <v>152</v>
      </c>
      <c r="C3483" t="s">
        <v>47</v>
      </c>
      <c r="D3483" t="str">
        <f>HYPERLINK("http://service.sap.com/sap/support/notes/1715703","1715703")</f>
        <v>1715703</v>
      </c>
      <c r="E3483">
        <v>1</v>
      </c>
      <c r="F3483" t="s">
        <v>4024</v>
      </c>
    </row>
    <row r="3484" spans="1:6" x14ac:dyDescent="0.25">
      <c r="A3484" t="s">
        <v>3613</v>
      </c>
      <c r="B3484" t="s">
        <v>152</v>
      </c>
      <c r="C3484" t="s">
        <v>47</v>
      </c>
      <c r="D3484" t="str">
        <f>HYPERLINK("http://service.sap.com/sap/support/notes/1716096","1716096")</f>
        <v>1716096</v>
      </c>
      <c r="E3484">
        <v>3</v>
      </c>
      <c r="F3484" t="s">
        <v>4025</v>
      </c>
    </row>
    <row r="3485" spans="1:6" x14ac:dyDescent="0.25">
      <c r="A3485" t="s">
        <v>3613</v>
      </c>
      <c r="B3485" t="s">
        <v>152</v>
      </c>
      <c r="C3485" t="s">
        <v>47</v>
      </c>
      <c r="D3485" t="str">
        <f>HYPERLINK("http://service.sap.com/sap/support/notes/1716393","1716393")</f>
        <v>1716393</v>
      </c>
      <c r="E3485">
        <v>4</v>
      </c>
      <c r="F3485" t="s">
        <v>4026</v>
      </c>
    </row>
    <row r="3486" spans="1:6" x14ac:dyDescent="0.25">
      <c r="A3486" t="s">
        <v>3613</v>
      </c>
      <c r="B3486" t="s">
        <v>152</v>
      </c>
      <c r="C3486" t="s">
        <v>47</v>
      </c>
      <c r="D3486" t="str">
        <f>HYPERLINK("http://service.sap.com/sap/support/notes/1716511","1716511")</f>
        <v>1716511</v>
      </c>
      <c r="E3486">
        <v>3</v>
      </c>
      <c r="F3486" t="s">
        <v>4027</v>
      </c>
    </row>
    <row r="3487" spans="1:6" x14ac:dyDescent="0.25">
      <c r="A3487" t="s">
        <v>3613</v>
      </c>
      <c r="B3487" t="s">
        <v>152</v>
      </c>
      <c r="C3487" t="s">
        <v>47</v>
      </c>
      <c r="D3487" t="str">
        <f>HYPERLINK("http://service.sap.com/sap/support/notes/1718008","1718008")</f>
        <v>1718008</v>
      </c>
      <c r="E3487">
        <v>2</v>
      </c>
      <c r="F3487" t="s">
        <v>4028</v>
      </c>
    </row>
    <row r="3488" spans="1:6" x14ac:dyDescent="0.25">
      <c r="A3488" t="s">
        <v>3613</v>
      </c>
      <c r="B3488" t="s">
        <v>155</v>
      </c>
      <c r="C3488" t="s">
        <v>49</v>
      </c>
      <c r="D3488" t="str">
        <f>HYPERLINK("http://service.sap.com/sap/support/notes/1596910","1596910")</f>
        <v>1596910</v>
      </c>
      <c r="E3488">
        <v>5</v>
      </c>
      <c r="F3488" t="s">
        <v>4029</v>
      </c>
    </row>
    <row r="3489" spans="1:6" x14ac:dyDescent="0.25">
      <c r="A3489" t="s">
        <v>3613</v>
      </c>
      <c r="B3489" t="s">
        <v>155</v>
      </c>
      <c r="C3489" t="s">
        <v>49</v>
      </c>
      <c r="D3489" t="str">
        <f>HYPERLINK("http://service.sap.com/sap/support/notes/1600129","1600129")</f>
        <v>1600129</v>
      </c>
      <c r="E3489">
        <v>2</v>
      </c>
      <c r="F3489" t="s">
        <v>4030</v>
      </c>
    </row>
    <row r="3490" spans="1:6" x14ac:dyDescent="0.25">
      <c r="A3490" t="s">
        <v>3613</v>
      </c>
      <c r="B3490" t="s">
        <v>155</v>
      </c>
      <c r="C3490" t="s">
        <v>49</v>
      </c>
      <c r="D3490" t="str">
        <f>HYPERLINK("http://service.sap.com/sap/support/notes/1615948","1615948")</f>
        <v>1615948</v>
      </c>
      <c r="E3490">
        <v>1</v>
      </c>
      <c r="F3490" t="s">
        <v>4031</v>
      </c>
    </row>
    <row r="3491" spans="1:6" x14ac:dyDescent="0.25">
      <c r="A3491" t="s">
        <v>3613</v>
      </c>
      <c r="B3491" t="s">
        <v>155</v>
      </c>
      <c r="C3491" t="s">
        <v>49</v>
      </c>
      <c r="D3491" t="str">
        <f>HYPERLINK("http://service.sap.com/sap/support/notes/1623968","1623968")</f>
        <v>1623968</v>
      </c>
      <c r="E3491">
        <v>4</v>
      </c>
      <c r="F3491" t="s">
        <v>4032</v>
      </c>
    </row>
    <row r="3492" spans="1:6" x14ac:dyDescent="0.25">
      <c r="A3492" t="s">
        <v>3613</v>
      </c>
      <c r="B3492" t="s">
        <v>155</v>
      </c>
      <c r="C3492" t="s">
        <v>49</v>
      </c>
      <c r="D3492" t="str">
        <f>HYPERLINK("http://service.sap.com/sap/support/notes/1632768","1632768")</f>
        <v>1632768</v>
      </c>
      <c r="E3492">
        <v>3</v>
      </c>
      <c r="F3492" t="s">
        <v>4033</v>
      </c>
    </row>
    <row r="3493" spans="1:6" x14ac:dyDescent="0.25">
      <c r="A3493" t="s">
        <v>3613</v>
      </c>
      <c r="B3493" t="s">
        <v>155</v>
      </c>
      <c r="C3493" t="s">
        <v>49</v>
      </c>
      <c r="D3493" t="str">
        <f>HYPERLINK("http://service.sap.com/sap/support/notes/1658633","1658633")</f>
        <v>1658633</v>
      </c>
      <c r="E3493">
        <v>3</v>
      </c>
      <c r="F3493" t="s">
        <v>4034</v>
      </c>
    </row>
    <row r="3494" spans="1:6" x14ac:dyDescent="0.25">
      <c r="A3494" t="s">
        <v>3613</v>
      </c>
      <c r="B3494" t="s">
        <v>155</v>
      </c>
      <c r="C3494" t="s">
        <v>49</v>
      </c>
      <c r="D3494" t="str">
        <f>HYPERLINK("http://service.sap.com/sap/support/notes/1696026","1696026")</f>
        <v>1696026</v>
      </c>
      <c r="E3494">
        <v>3</v>
      </c>
      <c r="F3494" t="s">
        <v>4035</v>
      </c>
    </row>
    <row r="3495" spans="1:6" x14ac:dyDescent="0.25">
      <c r="A3495" t="s">
        <v>3613</v>
      </c>
      <c r="B3495" t="s">
        <v>155</v>
      </c>
      <c r="C3495" t="s">
        <v>49</v>
      </c>
      <c r="D3495" t="str">
        <f>HYPERLINK("http://service.sap.com/sap/support/notes/1712129","1712129")</f>
        <v>1712129</v>
      </c>
      <c r="E3495">
        <v>1</v>
      </c>
      <c r="F3495" t="s">
        <v>4036</v>
      </c>
    </row>
    <row r="3496" spans="1:6" x14ac:dyDescent="0.25">
      <c r="A3496" t="s">
        <v>3613</v>
      </c>
      <c r="B3496" t="s">
        <v>155</v>
      </c>
      <c r="C3496" t="s">
        <v>49</v>
      </c>
      <c r="D3496" t="str">
        <f>HYPERLINK("http://service.sap.com/sap/support/notes/1715242","1715242")</f>
        <v>1715242</v>
      </c>
      <c r="E3496">
        <v>4</v>
      </c>
      <c r="F3496" t="s">
        <v>4037</v>
      </c>
    </row>
    <row r="3497" spans="1:6" x14ac:dyDescent="0.25">
      <c r="A3497" t="s">
        <v>3613</v>
      </c>
      <c r="B3497" t="s">
        <v>155</v>
      </c>
      <c r="C3497" t="s">
        <v>49</v>
      </c>
      <c r="D3497" t="str">
        <f>HYPERLINK("http://service.sap.com/sap/support/notes/1722433","1722433")</f>
        <v>1722433</v>
      </c>
      <c r="E3497">
        <v>2</v>
      </c>
      <c r="F3497" t="s">
        <v>4038</v>
      </c>
    </row>
    <row r="3498" spans="1:6" x14ac:dyDescent="0.25">
      <c r="A3498" t="s">
        <v>3613</v>
      </c>
      <c r="B3498" t="s">
        <v>156</v>
      </c>
      <c r="C3498" t="s">
        <v>52</v>
      </c>
      <c r="D3498" t="str">
        <f>HYPERLINK("http://service.sap.com/sap/support/notes/1707302","1707302")</f>
        <v>1707302</v>
      </c>
      <c r="E3498">
        <v>1</v>
      </c>
      <c r="F3498" t="s">
        <v>4039</v>
      </c>
    </row>
    <row r="3499" spans="1:6" x14ac:dyDescent="0.25">
      <c r="A3499" t="s">
        <v>3613</v>
      </c>
      <c r="B3499" t="s">
        <v>156</v>
      </c>
      <c r="C3499" t="s">
        <v>52</v>
      </c>
      <c r="D3499" t="str">
        <f>HYPERLINK("http://service.sap.com/sap/support/notes/1709513","1709513")</f>
        <v>1709513</v>
      </c>
      <c r="E3499">
        <v>3</v>
      </c>
      <c r="F3499" t="s">
        <v>4040</v>
      </c>
    </row>
    <row r="3500" spans="1:6" x14ac:dyDescent="0.25">
      <c r="A3500" t="s">
        <v>3613</v>
      </c>
      <c r="B3500" t="s">
        <v>156</v>
      </c>
      <c r="C3500" t="s">
        <v>52</v>
      </c>
      <c r="D3500" t="str">
        <f>HYPERLINK("http://service.sap.com/sap/support/notes/1709541","1709541")</f>
        <v>1709541</v>
      </c>
      <c r="E3500">
        <v>2</v>
      </c>
      <c r="F3500" t="s">
        <v>4041</v>
      </c>
    </row>
    <row r="3501" spans="1:6" x14ac:dyDescent="0.25">
      <c r="A3501" t="s">
        <v>3613</v>
      </c>
      <c r="B3501" t="s">
        <v>156</v>
      </c>
      <c r="C3501" t="s">
        <v>52</v>
      </c>
      <c r="D3501" t="str">
        <f>HYPERLINK("http://service.sap.com/sap/support/notes/1712712","1712712")</f>
        <v>1712712</v>
      </c>
      <c r="E3501">
        <v>3</v>
      </c>
      <c r="F3501" t="s">
        <v>4042</v>
      </c>
    </row>
    <row r="3502" spans="1:6" x14ac:dyDescent="0.25">
      <c r="A3502" t="s">
        <v>3613</v>
      </c>
      <c r="B3502" t="s">
        <v>158</v>
      </c>
      <c r="C3502" t="s">
        <v>54</v>
      </c>
      <c r="D3502" t="str">
        <f>HYPERLINK("http://service.sap.com/sap/support/notes/1624558","1624558")</f>
        <v>1624558</v>
      </c>
      <c r="E3502">
        <v>1</v>
      </c>
      <c r="F3502" t="s">
        <v>4043</v>
      </c>
    </row>
    <row r="3503" spans="1:6" x14ac:dyDescent="0.25">
      <c r="A3503" t="s">
        <v>3613</v>
      </c>
      <c r="B3503" t="s">
        <v>158</v>
      </c>
      <c r="C3503" t="s">
        <v>54</v>
      </c>
      <c r="D3503" t="str">
        <f>HYPERLINK("http://service.sap.com/sap/support/notes/1713857","1713857")</f>
        <v>1713857</v>
      </c>
      <c r="E3503">
        <v>1</v>
      </c>
      <c r="F3503" t="s">
        <v>4044</v>
      </c>
    </row>
    <row r="3504" spans="1:6" x14ac:dyDescent="0.25">
      <c r="A3504" t="s">
        <v>3613</v>
      </c>
      <c r="B3504" t="s">
        <v>158</v>
      </c>
      <c r="C3504" t="s">
        <v>54</v>
      </c>
      <c r="D3504" t="str">
        <f>HYPERLINK("http://service.sap.com/sap/support/notes/1716670","1716670")</f>
        <v>1716670</v>
      </c>
      <c r="E3504">
        <v>3</v>
      </c>
      <c r="F3504" t="s">
        <v>4045</v>
      </c>
    </row>
    <row r="3505" spans="1:6" x14ac:dyDescent="0.25">
      <c r="A3505" t="s">
        <v>3613</v>
      </c>
      <c r="B3505" t="s">
        <v>158</v>
      </c>
      <c r="C3505" t="s">
        <v>54</v>
      </c>
      <c r="D3505" t="str">
        <f>HYPERLINK("http://service.sap.com/sap/support/notes/1717774","1717774")</f>
        <v>1717774</v>
      </c>
      <c r="E3505">
        <v>2</v>
      </c>
      <c r="F3505" t="s">
        <v>4046</v>
      </c>
    </row>
    <row r="3506" spans="1:6" x14ac:dyDescent="0.25">
      <c r="A3506" t="s">
        <v>3613</v>
      </c>
      <c r="B3506" t="s">
        <v>158</v>
      </c>
      <c r="C3506" t="s">
        <v>54</v>
      </c>
      <c r="D3506" t="str">
        <f>HYPERLINK("http://service.sap.com/sap/support/notes/1720437","1720437")</f>
        <v>1720437</v>
      </c>
      <c r="E3506">
        <v>2</v>
      </c>
      <c r="F3506" t="s">
        <v>4047</v>
      </c>
    </row>
    <row r="3507" spans="1:6" x14ac:dyDescent="0.25">
      <c r="A3507" t="s">
        <v>3613</v>
      </c>
      <c r="B3507" t="s">
        <v>159</v>
      </c>
      <c r="C3507" t="s">
        <v>160</v>
      </c>
      <c r="D3507" t="str">
        <f>HYPERLINK("http://service.sap.com/sap/support/notes/1715798","1715798")</f>
        <v>1715798</v>
      </c>
      <c r="E3507">
        <v>1</v>
      </c>
      <c r="F3507" t="s">
        <v>3115</v>
      </c>
    </row>
    <row r="3508" spans="1:6" x14ac:dyDescent="0.25">
      <c r="A3508" t="s">
        <v>3613</v>
      </c>
      <c r="B3508" t="s">
        <v>159</v>
      </c>
      <c r="C3508" t="s">
        <v>160</v>
      </c>
      <c r="D3508" t="str">
        <f>HYPERLINK("http://service.sap.com/sap/support/notes/1716015","1716015")</f>
        <v>1716015</v>
      </c>
      <c r="E3508">
        <v>1</v>
      </c>
      <c r="F3508" t="s">
        <v>4048</v>
      </c>
    </row>
    <row r="3509" spans="1:6" x14ac:dyDescent="0.25">
      <c r="A3509" t="s">
        <v>3613</v>
      </c>
      <c r="B3509" t="s">
        <v>159</v>
      </c>
      <c r="C3509" t="s">
        <v>160</v>
      </c>
      <c r="D3509" t="str">
        <f>HYPERLINK("http://service.sap.com/sap/support/notes/1718691","1718691")</f>
        <v>1718691</v>
      </c>
      <c r="E3509">
        <v>2</v>
      </c>
      <c r="F3509" t="s">
        <v>4049</v>
      </c>
    </row>
    <row r="3510" spans="1:6" x14ac:dyDescent="0.25">
      <c r="A3510" t="s">
        <v>3613</v>
      </c>
      <c r="B3510" t="s">
        <v>159</v>
      </c>
      <c r="C3510" t="s">
        <v>160</v>
      </c>
      <c r="D3510" t="str">
        <f>HYPERLINK("http://service.sap.com/sap/support/notes/1720223","1720223")</f>
        <v>1720223</v>
      </c>
      <c r="E3510">
        <v>1</v>
      </c>
      <c r="F3510" t="s">
        <v>4050</v>
      </c>
    </row>
    <row r="3511" spans="1:6" x14ac:dyDescent="0.25">
      <c r="A3511" t="s">
        <v>3613</v>
      </c>
      <c r="B3511" t="s">
        <v>163</v>
      </c>
      <c r="C3511" t="s">
        <v>56</v>
      </c>
      <c r="D3511" t="str">
        <f>HYPERLINK("http://service.sap.com/sap/support/notes/1687183","1687183")</f>
        <v>1687183</v>
      </c>
      <c r="E3511">
        <v>3</v>
      </c>
      <c r="F3511" t="s">
        <v>3123</v>
      </c>
    </row>
    <row r="3512" spans="1:6" x14ac:dyDescent="0.25">
      <c r="A3512" t="s">
        <v>3613</v>
      </c>
      <c r="B3512" t="s">
        <v>163</v>
      </c>
      <c r="C3512" t="s">
        <v>56</v>
      </c>
      <c r="D3512" t="str">
        <f>HYPERLINK("http://service.sap.com/sap/support/notes/1703522","1703522")</f>
        <v>1703522</v>
      </c>
      <c r="E3512">
        <v>2</v>
      </c>
      <c r="F3512" t="s">
        <v>4051</v>
      </c>
    </row>
    <row r="3513" spans="1:6" x14ac:dyDescent="0.25">
      <c r="A3513" t="s">
        <v>3613</v>
      </c>
      <c r="B3513" t="s">
        <v>163</v>
      </c>
      <c r="C3513" t="s">
        <v>56</v>
      </c>
      <c r="D3513" t="str">
        <f>HYPERLINK("http://service.sap.com/sap/support/notes/1708271","1708271")</f>
        <v>1708271</v>
      </c>
      <c r="E3513">
        <v>2</v>
      </c>
      <c r="F3513" t="s">
        <v>4052</v>
      </c>
    </row>
    <row r="3514" spans="1:6" x14ac:dyDescent="0.25">
      <c r="A3514" t="s">
        <v>3613</v>
      </c>
      <c r="B3514" t="s">
        <v>163</v>
      </c>
      <c r="C3514" t="s">
        <v>56</v>
      </c>
      <c r="D3514" t="str">
        <f>HYPERLINK("http://service.sap.com/sap/support/notes/1710722","1710722")</f>
        <v>1710722</v>
      </c>
      <c r="E3514">
        <v>1</v>
      </c>
      <c r="F3514" t="s">
        <v>4053</v>
      </c>
    </row>
    <row r="3515" spans="1:6" x14ac:dyDescent="0.25">
      <c r="A3515" t="s">
        <v>3613</v>
      </c>
      <c r="B3515" t="s">
        <v>164</v>
      </c>
      <c r="C3515" t="s">
        <v>165</v>
      </c>
      <c r="D3515" t="str">
        <f>HYPERLINK("http://service.sap.com/sap/support/notes/1683940","1683940")</f>
        <v>1683940</v>
      </c>
      <c r="E3515">
        <v>1</v>
      </c>
      <c r="F3515" t="s">
        <v>4054</v>
      </c>
    </row>
    <row r="3516" spans="1:6" x14ac:dyDescent="0.25">
      <c r="A3516" t="s">
        <v>3613</v>
      </c>
      <c r="B3516" t="s">
        <v>164</v>
      </c>
      <c r="C3516" t="s">
        <v>165</v>
      </c>
      <c r="D3516" t="str">
        <f>HYPERLINK("http://service.sap.com/sap/support/notes/1703694","1703694")</f>
        <v>1703694</v>
      </c>
      <c r="E3516">
        <v>1</v>
      </c>
      <c r="F3516" t="s">
        <v>4055</v>
      </c>
    </row>
    <row r="3517" spans="1:6" x14ac:dyDescent="0.25">
      <c r="A3517" t="s">
        <v>3613</v>
      </c>
      <c r="B3517" t="s">
        <v>164</v>
      </c>
      <c r="C3517" t="s">
        <v>165</v>
      </c>
      <c r="D3517" t="str">
        <f>HYPERLINK("http://service.sap.com/sap/support/notes/1711166","1711166")</f>
        <v>1711166</v>
      </c>
      <c r="E3517">
        <v>1</v>
      </c>
      <c r="F3517" t="s">
        <v>4056</v>
      </c>
    </row>
    <row r="3518" spans="1:6" x14ac:dyDescent="0.25">
      <c r="A3518" t="s">
        <v>3613</v>
      </c>
      <c r="B3518" t="s">
        <v>164</v>
      </c>
      <c r="C3518" t="s">
        <v>165</v>
      </c>
      <c r="D3518" t="str">
        <f>HYPERLINK("http://service.sap.com/sap/support/notes/1711168","1711168")</f>
        <v>1711168</v>
      </c>
      <c r="E3518">
        <v>1</v>
      </c>
      <c r="F3518" t="s">
        <v>2740</v>
      </c>
    </row>
    <row r="3519" spans="1:6" x14ac:dyDescent="0.25">
      <c r="A3519" t="s">
        <v>3613</v>
      </c>
      <c r="B3519" t="s">
        <v>164</v>
      </c>
      <c r="C3519" t="s">
        <v>165</v>
      </c>
      <c r="D3519" t="str">
        <f>HYPERLINK("http://service.sap.com/sap/support/notes/1711829","1711829")</f>
        <v>1711829</v>
      </c>
      <c r="E3519">
        <v>1</v>
      </c>
      <c r="F3519" t="s">
        <v>4057</v>
      </c>
    </row>
    <row r="3520" spans="1:6" x14ac:dyDescent="0.25">
      <c r="A3520" t="s">
        <v>3613</v>
      </c>
      <c r="B3520" t="s">
        <v>164</v>
      </c>
      <c r="C3520" t="s">
        <v>165</v>
      </c>
      <c r="D3520" t="str">
        <f>HYPERLINK("http://service.sap.com/sap/support/notes/1711831","1711831")</f>
        <v>1711831</v>
      </c>
      <c r="E3520">
        <v>3</v>
      </c>
      <c r="F3520" t="s">
        <v>4058</v>
      </c>
    </row>
    <row r="3521" spans="1:6" x14ac:dyDescent="0.25">
      <c r="A3521" t="s">
        <v>3613</v>
      </c>
      <c r="B3521" t="s">
        <v>164</v>
      </c>
      <c r="C3521" t="s">
        <v>165</v>
      </c>
      <c r="D3521" t="str">
        <f>HYPERLINK("http://service.sap.com/sap/support/notes/1715096","1715096")</f>
        <v>1715096</v>
      </c>
      <c r="E3521">
        <v>2</v>
      </c>
      <c r="F3521" t="s">
        <v>4059</v>
      </c>
    </row>
    <row r="3522" spans="1:6" x14ac:dyDescent="0.25">
      <c r="A3522" t="s">
        <v>3613</v>
      </c>
      <c r="B3522" t="s">
        <v>164</v>
      </c>
      <c r="C3522" t="s">
        <v>165</v>
      </c>
      <c r="D3522" t="str">
        <f>HYPERLINK("http://service.sap.com/sap/support/notes/1716944","1716944")</f>
        <v>1716944</v>
      </c>
      <c r="E3522">
        <v>1</v>
      </c>
      <c r="F3522" t="s">
        <v>4060</v>
      </c>
    </row>
    <row r="3523" spans="1:6" x14ac:dyDescent="0.25">
      <c r="A3523" t="s">
        <v>3613</v>
      </c>
      <c r="B3523" t="s">
        <v>164</v>
      </c>
      <c r="C3523" t="s">
        <v>165</v>
      </c>
      <c r="D3523" t="str">
        <f>HYPERLINK("http://service.sap.com/sap/support/notes/1720154","1720154")</f>
        <v>1720154</v>
      </c>
      <c r="E3523">
        <v>1</v>
      </c>
      <c r="F3523" t="s">
        <v>4061</v>
      </c>
    </row>
    <row r="3524" spans="1:6" x14ac:dyDescent="0.25">
      <c r="A3524" t="s">
        <v>3613</v>
      </c>
      <c r="B3524" t="s">
        <v>166</v>
      </c>
      <c r="C3524" t="s">
        <v>167</v>
      </c>
      <c r="D3524" t="str">
        <f>HYPERLINK("http://service.sap.com/sap/support/notes/1684160","1684160")</f>
        <v>1684160</v>
      </c>
      <c r="E3524">
        <v>6</v>
      </c>
      <c r="F3524" t="s">
        <v>4062</v>
      </c>
    </row>
    <row r="3525" spans="1:6" x14ac:dyDescent="0.25">
      <c r="A3525" t="s">
        <v>3613</v>
      </c>
      <c r="B3525" t="s">
        <v>166</v>
      </c>
      <c r="C3525" t="s">
        <v>167</v>
      </c>
      <c r="D3525" t="str">
        <f>HYPERLINK("http://service.sap.com/sap/support/notes/1702149","1702149")</f>
        <v>1702149</v>
      </c>
      <c r="E3525">
        <v>2</v>
      </c>
      <c r="F3525" t="s">
        <v>4063</v>
      </c>
    </row>
    <row r="3526" spans="1:6" x14ac:dyDescent="0.25">
      <c r="A3526" t="s">
        <v>3613</v>
      </c>
      <c r="B3526" t="s">
        <v>166</v>
      </c>
      <c r="C3526" t="s">
        <v>167</v>
      </c>
      <c r="D3526" t="str">
        <f>HYPERLINK("http://service.sap.com/sap/support/notes/1703037","1703037")</f>
        <v>1703037</v>
      </c>
      <c r="E3526">
        <v>3</v>
      </c>
      <c r="F3526" t="s">
        <v>4064</v>
      </c>
    </row>
    <row r="3527" spans="1:6" x14ac:dyDescent="0.25">
      <c r="A3527" t="s">
        <v>3613</v>
      </c>
      <c r="B3527" t="s">
        <v>166</v>
      </c>
      <c r="C3527" t="s">
        <v>167</v>
      </c>
      <c r="D3527" t="str">
        <f>HYPERLINK("http://service.sap.com/sap/support/notes/1714359","1714359")</f>
        <v>1714359</v>
      </c>
      <c r="E3527">
        <v>2</v>
      </c>
      <c r="F3527" t="s">
        <v>4065</v>
      </c>
    </row>
    <row r="3528" spans="1:6" x14ac:dyDescent="0.25">
      <c r="A3528" t="s">
        <v>3613</v>
      </c>
      <c r="B3528" t="s">
        <v>166</v>
      </c>
      <c r="C3528" t="s">
        <v>167</v>
      </c>
      <c r="D3528" t="str">
        <f>HYPERLINK("http://service.sap.com/sap/support/notes/1714525","1714525")</f>
        <v>1714525</v>
      </c>
      <c r="E3528">
        <v>6</v>
      </c>
      <c r="F3528" t="s">
        <v>4066</v>
      </c>
    </row>
    <row r="3529" spans="1:6" x14ac:dyDescent="0.25">
      <c r="A3529" t="s">
        <v>3613</v>
      </c>
      <c r="B3529" t="s">
        <v>168</v>
      </c>
      <c r="C3529" t="s">
        <v>328</v>
      </c>
      <c r="D3529" t="str">
        <f>HYPERLINK("http://service.sap.com/sap/support/notes/1714930","1714930")</f>
        <v>1714930</v>
      </c>
      <c r="E3529">
        <v>1</v>
      </c>
      <c r="F3529" t="s">
        <v>4067</v>
      </c>
    </row>
    <row r="3530" spans="1:6" x14ac:dyDescent="0.25">
      <c r="A3530" t="s">
        <v>3613</v>
      </c>
      <c r="B3530" t="s">
        <v>171</v>
      </c>
      <c r="C3530" t="s">
        <v>172</v>
      </c>
      <c r="D3530" t="str">
        <f>HYPERLINK("http://service.sap.com/sap/support/notes/1703608","1703608")</f>
        <v>1703608</v>
      </c>
      <c r="E3530">
        <v>1</v>
      </c>
      <c r="F3530" t="s">
        <v>4068</v>
      </c>
    </row>
    <row r="3531" spans="1:6" x14ac:dyDescent="0.25">
      <c r="A3531" t="s">
        <v>3613</v>
      </c>
      <c r="B3531" t="s">
        <v>171</v>
      </c>
      <c r="C3531" t="s">
        <v>172</v>
      </c>
      <c r="D3531" t="str">
        <f>HYPERLINK("http://service.sap.com/sap/support/notes/1708039","1708039")</f>
        <v>1708039</v>
      </c>
      <c r="E3531">
        <v>1</v>
      </c>
      <c r="F3531" t="s">
        <v>4069</v>
      </c>
    </row>
    <row r="3532" spans="1:6" x14ac:dyDescent="0.25">
      <c r="A3532" t="s">
        <v>3613</v>
      </c>
      <c r="B3532" t="s">
        <v>171</v>
      </c>
      <c r="C3532" t="s">
        <v>172</v>
      </c>
      <c r="D3532" t="str">
        <f>HYPERLINK("http://service.sap.com/sap/support/notes/1710508","1710508")</f>
        <v>1710508</v>
      </c>
      <c r="E3532">
        <v>1</v>
      </c>
      <c r="F3532" t="s">
        <v>4070</v>
      </c>
    </row>
    <row r="3533" spans="1:6" x14ac:dyDescent="0.25">
      <c r="A3533" t="s">
        <v>3613</v>
      </c>
      <c r="B3533" t="s">
        <v>171</v>
      </c>
      <c r="C3533" t="s">
        <v>172</v>
      </c>
      <c r="D3533" t="str">
        <f>HYPERLINK("http://service.sap.com/sap/support/notes/1710509","1710509")</f>
        <v>1710509</v>
      </c>
      <c r="E3533">
        <v>1</v>
      </c>
      <c r="F3533" t="s">
        <v>4071</v>
      </c>
    </row>
    <row r="3534" spans="1:6" x14ac:dyDescent="0.25">
      <c r="A3534" t="s">
        <v>3613</v>
      </c>
      <c r="B3534" t="s">
        <v>171</v>
      </c>
      <c r="C3534" t="s">
        <v>172</v>
      </c>
      <c r="D3534" t="str">
        <f>HYPERLINK("http://service.sap.com/sap/support/notes/1714588","1714588")</f>
        <v>1714588</v>
      </c>
      <c r="E3534">
        <v>1</v>
      </c>
      <c r="F3534" t="s">
        <v>613</v>
      </c>
    </row>
    <row r="3535" spans="1:6" x14ac:dyDescent="0.25">
      <c r="A3535" t="s">
        <v>3613</v>
      </c>
      <c r="B3535" t="s">
        <v>171</v>
      </c>
      <c r="C3535" t="s">
        <v>172</v>
      </c>
      <c r="D3535" t="str">
        <f>HYPERLINK("http://service.sap.com/sap/support/notes/1719345","1719345")</f>
        <v>1719345</v>
      </c>
      <c r="E3535">
        <v>1</v>
      </c>
      <c r="F3535" t="s">
        <v>4072</v>
      </c>
    </row>
    <row r="3536" spans="1:6" x14ac:dyDescent="0.25">
      <c r="A3536" t="s">
        <v>3613</v>
      </c>
      <c r="B3536" t="s">
        <v>173</v>
      </c>
      <c r="C3536" t="s">
        <v>174</v>
      </c>
      <c r="D3536" t="str">
        <f>HYPERLINK("http://service.sap.com/sap/support/notes/1717150","1717150")</f>
        <v>1717150</v>
      </c>
      <c r="E3536">
        <v>1</v>
      </c>
      <c r="F3536" t="s">
        <v>4073</v>
      </c>
    </row>
    <row r="3537" spans="1:6" x14ac:dyDescent="0.25">
      <c r="A3537" t="s">
        <v>3613</v>
      </c>
      <c r="B3537" t="s">
        <v>175</v>
      </c>
      <c r="C3537" t="s">
        <v>176</v>
      </c>
      <c r="D3537" t="str">
        <f>HYPERLINK("http://service.sap.com/sap/support/notes/1060820","1060820")</f>
        <v>1060820</v>
      </c>
      <c r="E3537">
        <v>1</v>
      </c>
      <c r="F3537" t="s">
        <v>377</v>
      </c>
    </row>
    <row r="3538" spans="1:6" x14ac:dyDescent="0.25">
      <c r="A3538" t="s">
        <v>3613</v>
      </c>
      <c r="B3538" t="s">
        <v>175</v>
      </c>
      <c r="C3538" t="s">
        <v>176</v>
      </c>
      <c r="D3538" t="str">
        <f>HYPERLINK("http://service.sap.com/sap/support/notes/1711607","1711607")</f>
        <v>1711607</v>
      </c>
      <c r="E3538">
        <v>3</v>
      </c>
      <c r="F3538" t="s">
        <v>4074</v>
      </c>
    </row>
    <row r="3539" spans="1:6" x14ac:dyDescent="0.25">
      <c r="A3539" t="s">
        <v>3613</v>
      </c>
      <c r="B3539" t="s">
        <v>175</v>
      </c>
      <c r="C3539" t="s">
        <v>176</v>
      </c>
      <c r="D3539" t="str">
        <f>HYPERLINK("http://service.sap.com/sap/support/notes/1712002","1712002")</f>
        <v>1712002</v>
      </c>
      <c r="E3539">
        <v>1</v>
      </c>
      <c r="F3539" t="s">
        <v>4075</v>
      </c>
    </row>
    <row r="3540" spans="1:6" x14ac:dyDescent="0.25">
      <c r="A3540" t="s">
        <v>3613</v>
      </c>
      <c r="B3540" t="s">
        <v>175</v>
      </c>
      <c r="C3540" t="s">
        <v>176</v>
      </c>
      <c r="D3540" t="str">
        <f>HYPERLINK("http://service.sap.com/sap/support/notes/1712633","1712633")</f>
        <v>1712633</v>
      </c>
      <c r="E3540">
        <v>1</v>
      </c>
      <c r="F3540" t="s">
        <v>4076</v>
      </c>
    </row>
    <row r="3541" spans="1:6" x14ac:dyDescent="0.25">
      <c r="A3541" t="s">
        <v>3613</v>
      </c>
      <c r="B3541" t="s">
        <v>175</v>
      </c>
      <c r="C3541" t="s">
        <v>176</v>
      </c>
      <c r="D3541" t="str">
        <f>HYPERLINK("http://service.sap.com/sap/support/notes/1712642","1712642")</f>
        <v>1712642</v>
      </c>
      <c r="E3541">
        <v>3</v>
      </c>
      <c r="F3541" t="s">
        <v>4077</v>
      </c>
    </row>
    <row r="3542" spans="1:6" x14ac:dyDescent="0.25">
      <c r="A3542" t="s">
        <v>3613</v>
      </c>
      <c r="B3542" t="s">
        <v>175</v>
      </c>
      <c r="C3542" t="s">
        <v>176</v>
      </c>
      <c r="D3542" t="str">
        <f>HYPERLINK("http://service.sap.com/sap/support/notes/1714904","1714904")</f>
        <v>1714904</v>
      </c>
      <c r="E3542">
        <v>6</v>
      </c>
      <c r="F3542" t="s">
        <v>4078</v>
      </c>
    </row>
    <row r="3543" spans="1:6" x14ac:dyDescent="0.25">
      <c r="A3543" t="s">
        <v>3613</v>
      </c>
      <c r="B3543" t="s">
        <v>175</v>
      </c>
      <c r="C3543" t="s">
        <v>176</v>
      </c>
      <c r="D3543" t="str">
        <f>HYPERLINK("http://service.sap.com/sap/support/notes/1717536","1717536")</f>
        <v>1717536</v>
      </c>
      <c r="E3543">
        <v>3</v>
      </c>
      <c r="F3543" t="s">
        <v>4079</v>
      </c>
    </row>
    <row r="3544" spans="1:6" x14ac:dyDescent="0.25">
      <c r="A3544" t="s">
        <v>3613</v>
      </c>
      <c r="B3544" t="s">
        <v>175</v>
      </c>
      <c r="C3544" t="s">
        <v>176</v>
      </c>
      <c r="D3544" t="str">
        <f>HYPERLINK("http://service.sap.com/sap/support/notes/1719147","1719147")</f>
        <v>1719147</v>
      </c>
      <c r="E3544">
        <v>5</v>
      </c>
      <c r="F3544" t="s">
        <v>4080</v>
      </c>
    </row>
    <row r="3545" spans="1:6" x14ac:dyDescent="0.25">
      <c r="A3545" t="s">
        <v>3613</v>
      </c>
      <c r="B3545" t="s">
        <v>177</v>
      </c>
      <c r="C3545" t="s">
        <v>330</v>
      </c>
      <c r="D3545" t="str">
        <f>HYPERLINK("http://service.sap.com/sap/support/notes/1662581","1662581")</f>
        <v>1662581</v>
      </c>
      <c r="E3545">
        <v>3</v>
      </c>
      <c r="F3545" t="s">
        <v>4081</v>
      </c>
    </row>
    <row r="3546" spans="1:6" x14ac:dyDescent="0.25">
      <c r="A3546" t="s">
        <v>3613</v>
      </c>
      <c r="B3546" t="s">
        <v>177</v>
      </c>
      <c r="C3546" t="s">
        <v>330</v>
      </c>
      <c r="D3546" t="str">
        <f>HYPERLINK("http://service.sap.com/sap/support/notes/1709398","1709398")</f>
        <v>1709398</v>
      </c>
      <c r="E3546">
        <v>2</v>
      </c>
      <c r="F3546" t="s">
        <v>4082</v>
      </c>
    </row>
    <row r="3547" spans="1:6" x14ac:dyDescent="0.25">
      <c r="A3547" t="s">
        <v>3613</v>
      </c>
      <c r="B3547" t="s">
        <v>177</v>
      </c>
      <c r="C3547" t="s">
        <v>330</v>
      </c>
      <c r="D3547" t="str">
        <f>HYPERLINK("http://service.sap.com/sap/support/notes/1714896","1714896")</f>
        <v>1714896</v>
      </c>
      <c r="E3547">
        <v>3</v>
      </c>
      <c r="F3547" t="s">
        <v>4083</v>
      </c>
    </row>
    <row r="3548" spans="1:6" x14ac:dyDescent="0.25">
      <c r="A3548" t="s">
        <v>3613</v>
      </c>
      <c r="B3548" t="s">
        <v>179</v>
      </c>
      <c r="C3548" t="s">
        <v>331</v>
      </c>
      <c r="D3548" t="str">
        <f>HYPERLINK("http://service.sap.com/sap/support/notes/1651568","1651568")</f>
        <v>1651568</v>
      </c>
      <c r="E3548">
        <v>1</v>
      </c>
      <c r="F3548" t="s">
        <v>2193</v>
      </c>
    </row>
    <row r="3549" spans="1:6" x14ac:dyDescent="0.25">
      <c r="A3549" t="s">
        <v>3613</v>
      </c>
      <c r="B3549" t="s">
        <v>179</v>
      </c>
      <c r="C3549" t="s">
        <v>331</v>
      </c>
      <c r="D3549" t="str">
        <f>HYPERLINK("http://service.sap.com/sap/support/notes/1690409","1690409")</f>
        <v>1690409</v>
      </c>
      <c r="E3549">
        <v>1</v>
      </c>
      <c r="F3549" t="s">
        <v>4084</v>
      </c>
    </row>
    <row r="3550" spans="1:6" x14ac:dyDescent="0.25">
      <c r="A3550" t="s">
        <v>3613</v>
      </c>
      <c r="B3550" t="s">
        <v>179</v>
      </c>
      <c r="C3550" t="s">
        <v>331</v>
      </c>
      <c r="D3550" t="str">
        <f>HYPERLINK("http://service.sap.com/sap/support/notes/1706513","1706513")</f>
        <v>1706513</v>
      </c>
      <c r="E3550">
        <v>2</v>
      </c>
      <c r="F3550" t="s">
        <v>4085</v>
      </c>
    </row>
    <row r="3551" spans="1:6" x14ac:dyDescent="0.25">
      <c r="A3551" t="s">
        <v>3613</v>
      </c>
      <c r="B3551" t="s">
        <v>179</v>
      </c>
      <c r="C3551" t="s">
        <v>331</v>
      </c>
      <c r="D3551" t="str">
        <f>HYPERLINK("http://service.sap.com/sap/support/notes/1707505","1707505")</f>
        <v>1707505</v>
      </c>
      <c r="E3551">
        <v>4</v>
      </c>
      <c r="F3551" t="s">
        <v>4086</v>
      </c>
    </row>
    <row r="3552" spans="1:6" x14ac:dyDescent="0.25">
      <c r="A3552" t="s">
        <v>3613</v>
      </c>
      <c r="B3552" t="s">
        <v>179</v>
      </c>
      <c r="C3552" t="s">
        <v>331</v>
      </c>
      <c r="D3552" t="str">
        <f>HYPERLINK("http://service.sap.com/sap/support/notes/1709764","1709764")</f>
        <v>1709764</v>
      </c>
      <c r="E3552">
        <v>2</v>
      </c>
      <c r="F3552" t="s">
        <v>4087</v>
      </c>
    </row>
    <row r="3553" spans="1:6" x14ac:dyDescent="0.25">
      <c r="A3553" t="s">
        <v>3613</v>
      </c>
      <c r="B3553" t="s">
        <v>179</v>
      </c>
      <c r="C3553" t="s">
        <v>331</v>
      </c>
      <c r="D3553" t="str">
        <f>HYPERLINK("http://service.sap.com/sap/support/notes/1710682","1710682")</f>
        <v>1710682</v>
      </c>
      <c r="E3553">
        <v>1</v>
      </c>
      <c r="F3553" t="s">
        <v>4088</v>
      </c>
    </row>
    <row r="3554" spans="1:6" x14ac:dyDescent="0.25">
      <c r="A3554" t="s">
        <v>3613</v>
      </c>
      <c r="B3554" t="s">
        <v>179</v>
      </c>
      <c r="C3554" t="s">
        <v>331</v>
      </c>
      <c r="D3554" t="str">
        <f>HYPERLINK("http://service.sap.com/sap/support/notes/1712619","1712619")</f>
        <v>1712619</v>
      </c>
      <c r="E3554">
        <v>1</v>
      </c>
      <c r="F3554" t="s">
        <v>4089</v>
      </c>
    </row>
    <row r="3555" spans="1:6" x14ac:dyDescent="0.25">
      <c r="A3555" t="s">
        <v>3613</v>
      </c>
      <c r="B3555" t="s">
        <v>179</v>
      </c>
      <c r="C3555" t="s">
        <v>331</v>
      </c>
      <c r="D3555" t="str">
        <f>HYPERLINK("http://service.sap.com/sap/support/notes/1713643","1713643")</f>
        <v>1713643</v>
      </c>
      <c r="E3555">
        <v>2</v>
      </c>
      <c r="F3555" t="s">
        <v>4090</v>
      </c>
    </row>
    <row r="3556" spans="1:6" x14ac:dyDescent="0.25">
      <c r="A3556" t="s">
        <v>3613</v>
      </c>
      <c r="B3556" t="s">
        <v>179</v>
      </c>
      <c r="C3556" t="s">
        <v>331</v>
      </c>
      <c r="D3556" t="str">
        <f>HYPERLINK("http://service.sap.com/sap/support/notes/1717513","1717513")</f>
        <v>1717513</v>
      </c>
      <c r="E3556">
        <v>3</v>
      </c>
      <c r="F3556" t="s">
        <v>4091</v>
      </c>
    </row>
    <row r="3557" spans="1:6" x14ac:dyDescent="0.25">
      <c r="A3557" t="s">
        <v>3613</v>
      </c>
      <c r="B3557" t="s">
        <v>181</v>
      </c>
      <c r="C3557" t="s">
        <v>182</v>
      </c>
      <c r="D3557" t="str">
        <f>HYPERLINK("http://service.sap.com/sap/support/notes/1701272","1701272")</f>
        <v>1701272</v>
      </c>
      <c r="E3557">
        <v>1</v>
      </c>
      <c r="F3557" t="s">
        <v>4092</v>
      </c>
    </row>
    <row r="3558" spans="1:6" x14ac:dyDescent="0.25">
      <c r="A3558" t="s">
        <v>3613</v>
      </c>
      <c r="B3558" t="s">
        <v>181</v>
      </c>
      <c r="C3558" t="s">
        <v>182</v>
      </c>
      <c r="D3558" t="str">
        <f>HYPERLINK("http://service.sap.com/sap/support/notes/1709171","1709171")</f>
        <v>1709171</v>
      </c>
      <c r="E3558">
        <v>2</v>
      </c>
      <c r="F3558" t="s">
        <v>3585</v>
      </c>
    </row>
    <row r="3559" spans="1:6" x14ac:dyDescent="0.25">
      <c r="A3559" t="s">
        <v>3613</v>
      </c>
      <c r="B3559" t="s">
        <v>181</v>
      </c>
      <c r="C3559" t="s">
        <v>182</v>
      </c>
      <c r="D3559" t="str">
        <f>HYPERLINK("http://service.sap.com/sap/support/notes/1711652","1711652")</f>
        <v>1711652</v>
      </c>
      <c r="E3559">
        <v>1</v>
      </c>
      <c r="F3559" t="s">
        <v>4093</v>
      </c>
    </row>
    <row r="3560" spans="1:6" x14ac:dyDescent="0.25">
      <c r="A3560" t="s">
        <v>3613</v>
      </c>
      <c r="B3560" t="s">
        <v>185</v>
      </c>
      <c r="C3560" t="s">
        <v>186</v>
      </c>
      <c r="D3560" t="str">
        <f>HYPERLINK("http://service.sap.com/sap/support/notes/1637534","1637534")</f>
        <v>1637534</v>
      </c>
      <c r="E3560">
        <v>1</v>
      </c>
      <c r="F3560" t="s">
        <v>4094</v>
      </c>
    </row>
    <row r="3561" spans="1:6" x14ac:dyDescent="0.25">
      <c r="A3561" t="s">
        <v>3613</v>
      </c>
      <c r="B3561" t="s">
        <v>185</v>
      </c>
      <c r="C3561" t="s">
        <v>186</v>
      </c>
      <c r="D3561" t="str">
        <f>HYPERLINK("http://service.sap.com/sap/support/notes/1706243","1706243")</f>
        <v>1706243</v>
      </c>
      <c r="E3561">
        <v>3</v>
      </c>
      <c r="F3561" t="s">
        <v>4095</v>
      </c>
    </row>
    <row r="3562" spans="1:6" x14ac:dyDescent="0.25">
      <c r="A3562" t="s">
        <v>3613</v>
      </c>
      <c r="B3562" t="s">
        <v>185</v>
      </c>
      <c r="C3562" t="s">
        <v>186</v>
      </c>
      <c r="D3562" t="str">
        <f>HYPERLINK("http://service.sap.com/sap/support/notes/1710203","1710203")</f>
        <v>1710203</v>
      </c>
      <c r="E3562">
        <v>1</v>
      </c>
      <c r="F3562" t="s">
        <v>4096</v>
      </c>
    </row>
    <row r="3563" spans="1:6" x14ac:dyDescent="0.25">
      <c r="A3563" t="s">
        <v>3613</v>
      </c>
      <c r="B3563" t="s">
        <v>185</v>
      </c>
      <c r="C3563" t="s">
        <v>186</v>
      </c>
      <c r="D3563" t="str">
        <f>HYPERLINK("http://service.sap.com/sap/support/notes/1711704","1711704")</f>
        <v>1711704</v>
      </c>
      <c r="E3563">
        <v>1</v>
      </c>
      <c r="F3563" t="s">
        <v>4097</v>
      </c>
    </row>
    <row r="3564" spans="1:6" x14ac:dyDescent="0.25">
      <c r="A3564" t="s">
        <v>3613</v>
      </c>
      <c r="B3564" t="s">
        <v>185</v>
      </c>
      <c r="C3564" t="s">
        <v>186</v>
      </c>
      <c r="D3564" t="str">
        <f>HYPERLINK("http://service.sap.com/sap/support/notes/1717454","1717454")</f>
        <v>1717454</v>
      </c>
      <c r="E3564">
        <v>1</v>
      </c>
      <c r="F3564" t="s">
        <v>4098</v>
      </c>
    </row>
    <row r="3565" spans="1:6" x14ac:dyDescent="0.25">
      <c r="A3565" t="s">
        <v>3613</v>
      </c>
      <c r="B3565" t="s">
        <v>185</v>
      </c>
      <c r="C3565" t="s">
        <v>186</v>
      </c>
      <c r="D3565" t="str">
        <f>HYPERLINK("http://service.sap.com/sap/support/notes/1718802","1718802")</f>
        <v>1718802</v>
      </c>
      <c r="E3565">
        <v>1</v>
      </c>
      <c r="F3565" t="s">
        <v>4099</v>
      </c>
    </row>
    <row r="3566" spans="1:6" x14ac:dyDescent="0.25">
      <c r="A3566" t="s">
        <v>3613</v>
      </c>
      <c r="B3566" t="s">
        <v>188</v>
      </c>
      <c r="C3566" t="s">
        <v>60</v>
      </c>
      <c r="D3566" t="str">
        <f>HYPERLINK("http://service.sap.com/sap/support/notes/1688168","1688168")</f>
        <v>1688168</v>
      </c>
      <c r="E3566">
        <v>2</v>
      </c>
      <c r="F3566" t="s">
        <v>4100</v>
      </c>
    </row>
    <row r="3567" spans="1:6" x14ac:dyDescent="0.25">
      <c r="A3567" t="s">
        <v>3613</v>
      </c>
      <c r="B3567" t="s">
        <v>188</v>
      </c>
      <c r="C3567" t="s">
        <v>60</v>
      </c>
      <c r="D3567" t="str">
        <f>HYPERLINK("http://service.sap.com/sap/support/notes/1708818","1708818")</f>
        <v>1708818</v>
      </c>
      <c r="E3567">
        <v>1</v>
      </c>
      <c r="F3567" t="s">
        <v>4101</v>
      </c>
    </row>
    <row r="3568" spans="1:6" x14ac:dyDescent="0.25">
      <c r="A3568" t="s">
        <v>3613</v>
      </c>
      <c r="B3568" t="s">
        <v>188</v>
      </c>
      <c r="C3568" t="s">
        <v>60</v>
      </c>
      <c r="D3568" t="str">
        <f>HYPERLINK("http://service.sap.com/sap/support/notes/1718211","1718211")</f>
        <v>1718211</v>
      </c>
      <c r="E3568">
        <v>1</v>
      </c>
      <c r="F3568" t="s">
        <v>4102</v>
      </c>
    </row>
    <row r="3569" spans="1:6" x14ac:dyDescent="0.25">
      <c r="A3569" t="s">
        <v>3613</v>
      </c>
      <c r="B3569" t="s">
        <v>189</v>
      </c>
      <c r="C3569" t="s">
        <v>190</v>
      </c>
      <c r="D3569" t="str">
        <f>HYPERLINK("http://service.sap.com/sap/support/notes/1715507","1715507")</f>
        <v>1715507</v>
      </c>
      <c r="E3569">
        <v>4</v>
      </c>
      <c r="F3569" t="s">
        <v>4103</v>
      </c>
    </row>
    <row r="3570" spans="1:6" x14ac:dyDescent="0.25">
      <c r="A3570" t="s">
        <v>3613</v>
      </c>
      <c r="B3570" t="s">
        <v>191</v>
      </c>
      <c r="C3570" t="s">
        <v>62</v>
      </c>
      <c r="D3570" t="str">
        <f>HYPERLINK("http://service.sap.com/sap/support/notes/1498792","1498792")</f>
        <v>1498792</v>
      </c>
      <c r="E3570">
        <v>7</v>
      </c>
      <c r="F3570" t="s">
        <v>4104</v>
      </c>
    </row>
    <row r="3571" spans="1:6" x14ac:dyDescent="0.25">
      <c r="A3571" t="s">
        <v>3613</v>
      </c>
      <c r="B3571" t="s">
        <v>191</v>
      </c>
      <c r="C3571" t="s">
        <v>62</v>
      </c>
      <c r="D3571" t="str">
        <f>HYPERLINK("http://service.sap.com/sap/support/notes/1693632","1693632")</f>
        <v>1693632</v>
      </c>
      <c r="E3571">
        <v>1</v>
      </c>
      <c r="F3571" t="s">
        <v>4105</v>
      </c>
    </row>
    <row r="3572" spans="1:6" x14ac:dyDescent="0.25">
      <c r="A3572" t="s">
        <v>3613</v>
      </c>
      <c r="B3572" t="s">
        <v>386</v>
      </c>
      <c r="C3572" t="s">
        <v>115</v>
      </c>
    </row>
    <row r="3573" spans="1:6" x14ac:dyDescent="0.25">
      <c r="A3573" t="s">
        <v>3613</v>
      </c>
      <c r="B3573" t="s">
        <v>1701</v>
      </c>
      <c r="C3573" t="s">
        <v>1702</v>
      </c>
      <c r="D3573" t="str">
        <f>HYPERLINK("http://service.sap.com/sap/support/notes/1622476","1622476")</f>
        <v>1622476</v>
      </c>
      <c r="E3573">
        <v>2</v>
      </c>
      <c r="F3573" t="s">
        <v>4106</v>
      </c>
    </row>
    <row r="3574" spans="1:6" x14ac:dyDescent="0.25">
      <c r="A3574" t="s">
        <v>3613</v>
      </c>
      <c r="B3574" t="s">
        <v>1701</v>
      </c>
      <c r="C3574" t="s">
        <v>1702</v>
      </c>
      <c r="D3574" t="str">
        <f>HYPERLINK("http://service.sap.com/sap/support/notes/1715239","1715239")</f>
        <v>1715239</v>
      </c>
      <c r="E3574">
        <v>1</v>
      </c>
      <c r="F3574" t="s">
        <v>4107</v>
      </c>
    </row>
    <row r="3575" spans="1:6" x14ac:dyDescent="0.25">
      <c r="A3575" t="s">
        <v>3613</v>
      </c>
      <c r="B3575" t="s">
        <v>192</v>
      </c>
      <c r="C3575" t="s">
        <v>82</v>
      </c>
    </row>
    <row r="3576" spans="1:6" x14ac:dyDescent="0.25">
      <c r="A3576" t="s">
        <v>3613</v>
      </c>
      <c r="B3576" t="s">
        <v>193</v>
      </c>
      <c r="C3576" t="s">
        <v>334</v>
      </c>
      <c r="D3576" t="str">
        <f>HYPERLINK("http://service.sap.com/sap/support/notes/1659648","1659648")</f>
        <v>1659648</v>
      </c>
      <c r="E3576">
        <v>2</v>
      </c>
      <c r="F3576" t="s">
        <v>4108</v>
      </c>
    </row>
    <row r="3577" spans="1:6" x14ac:dyDescent="0.25">
      <c r="A3577" t="s">
        <v>3613</v>
      </c>
      <c r="B3577" t="s">
        <v>193</v>
      </c>
      <c r="C3577" t="s">
        <v>334</v>
      </c>
      <c r="D3577" t="str">
        <f>HYPERLINK("http://service.sap.com/sap/support/notes/1660174","1660174")</f>
        <v>1660174</v>
      </c>
      <c r="E3577">
        <v>2</v>
      </c>
      <c r="F3577" t="s">
        <v>4109</v>
      </c>
    </row>
    <row r="3578" spans="1:6" x14ac:dyDescent="0.25">
      <c r="A3578" t="s">
        <v>3613</v>
      </c>
      <c r="B3578" t="s">
        <v>193</v>
      </c>
      <c r="C3578" t="s">
        <v>334</v>
      </c>
      <c r="D3578" t="str">
        <f>HYPERLINK("http://service.sap.com/sap/support/notes/1663867","1663867")</f>
        <v>1663867</v>
      </c>
      <c r="E3578">
        <v>2</v>
      </c>
      <c r="F3578" t="s">
        <v>4110</v>
      </c>
    </row>
    <row r="3579" spans="1:6" x14ac:dyDescent="0.25">
      <c r="A3579" t="s">
        <v>3613</v>
      </c>
      <c r="B3579" t="s">
        <v>193</v>
      </c>
      <c r="C3579" t="s">
        <v>334</v>
      </c>
      <c r="D3579" t="str">
        <f>HYPERLINK("http://service.sap.com/sap/support/notes/1664986","1664986")</f>
        <v>1664986</v>
      </c>
      <c r="E3579">
        <v>3</v>
      </c>
      <c r="F3579" t="s">
        <v>4111</v>
      </c>
    </row>
    <row r="3580" spans="1:6" x14ac:dyDescent="0.25">
      <c r="A3580" t="s">
        <v>3613</v>
      </c>
      <c r="B3580" t="s">
        <v>193</v>
      </c>
      <c r="C3580" t="s">
        <v>334</v>
      </c>
      <c r="D3580" t="str">
        <f>HYPERLINK("http://service.sap.com/sap/support/notes/1678344","1678344")</f>
        <v>1678344</v>
      </c>
      <c r="E3580">
        <v>2</v>
      </c>
      <c r="F3580" t="s">
        <v>4112</v>
      </c>
    </row>
    <row r="3581" spans="1:6" x14ac:dyDescent="0.25">
      <c r="A3581" t="s">
        <v>3613</v>
      </c>
      <c r="B3581" t="s">
        <v>196</v>
      </c>
      <c r="C3581" t="s">
        <v>197</v>
      </c>
      <c r="D3581" t="str">
        <f>HYPERLINK("http://service.sap.com/sap/support/notes/1622019","1622019")</f>
        <v>1622019</v>
      </c>
      <c r="E3581">
        <v>2</v>
      </c>
      <c r="F3581" t="s">
        <v>4113</v>
      </c>
    </row>
    <row r="3582" spans="1:6" x14ac:dyDescent="0.25">
      <c r="A3582" t="s">
        <v>3613</v>
      </c>
      <c r="B3582" t="s">
        <v>196</v>
      </c>
      <c r="C3582" t="s">
        <v>197</v>
      </c>
      <c r="D3582" t="str">
        <f>HYPERLINK("http://service.sap.com/sap/support/notes/1645373","1645373")</f>
        <v>1645373</v>
      </c>
      <c r="E3582">
        <v>4</v>
      </c>
      <c r="F3582" t="s">
        <v>4114</v>
      </c>
    </row>
    <row r="3583" spans="1:6" x14ac:dyDescent="0.25">
      <c r="A3583" t="s">
        <v>3613</v>
      </c>
      <c r="B3583" t="s">
        <v>196</v>
      </c>
      <c r="C3583" t="s">
        <v>197</v>
      </c>
      <c r="D3583" t="str">
        <f>HYPERLINK("http://service.sap.com/sap/support/notes/1705057","1705057")</f>
        <v>1705057</v>
      </c>
      <c r="E3583">
        <v>2</v>
      </c>
      <c r="F3583" t="s">
        <v>4115</v>
      </c>
    </row>
    <row r="3584" spans="1:6" x14ac:dyDescent="0.25">
      <c r="A3584" t="s">
        <v>3613</v>
      </c>
      <c r="B3584" t="s">
        <v>196</v>
      </c>
      <c r="C3584" t="s">
        <v>197</v>
      </c>
      <c r="D3584" t="str">
        <f>HYPERLINK("http://service.sap.com/sap/support/notes/1714341","1714341")</f>
        <v>1714341</v>
      </c>
      <c r="E3584">
        <v>1</v>
      </c>
      <c r="F3584" t="s">
        <v>4116</v>
      </c>
    </row>
    <row r="3585" spans="1:6" x14ac:dyDescent="0.25">
      <c r="A3585" t="s">
        <v>3613</v>
      </c>
      <c r="B3585" t="s">
        <v>196</v>
      </c>
      <c r="C3585" t="s">
        <v>197</v>
      </c>
      <c r="D3585" t="str">
        <f>HYPERLINK("http://service.sap.com/sap/support/notes/1716347","1716347")</f>
        <v>1716347</v>
      </c>
      <c r="E3585">
        <v>2</v>
      </c>
      <c r="F3585" t="s">
        <v>4117</v>
      </c>
    </row>
    <row r="3586" spans="1:6" x14ac:dyDescent="0.25">
      <c r="A3586" t="s">
        <v>3613</v>
      </c>
      <c r="B3586" t="s">
        <v>198</v>
      </c>
      <c r="C3586" t="s">
        <v>199</v>
      </c>
      <c r="D3586" t="str">
        <f>HYPERLINK("http://service.sap.com/sap/support/notes/1658673","1658673")</f>
        <v>1658673</v>
      </c>
      <c r="E3586">
        <v>2</v>
      </c>
      <c r="F3586" t="s">
        <v>4118</v>
      </c>
    </row>
    <row r="3587" spans="1:6" x14ac:dyDescent="0.25">
      <c r="A3587" t="s">
        <v>3613</v>
      </c>
      <c r="B3587" t="s">
        <v>200</v>
      </c>
      <c r="C3587" t="s">
        <v>201</v>
      </c>
      <c r="D3587" t="str">
        <f>HYPERLINK("http://service.sap.com/sap/support/notes/1720149","1720149")</f>
        <v>1720149</v>
      </c>
      <c r="E3587">
        <v>1</v>
      </c>
      <c r="F3587" t="s">
        <v>4119</v>
      </c>
    </row>
    <row r="3588" spans="1:6" x14ac:dyDescent="0.25">
      <c r="A3588" t="s">
        <v>3613</v>
      </c>
      <c r="B3588" t="s">
        <v>200</v>
      </c>
      <c r="C3588" t="s">
        <v>201</v>
      </c>
      <c r="D3588" t="str">
        <f>HYPERLINK("http://service.sap.com/sap/support/notes/1724596","1724596")</f>
        <v>1724596</v>
      </c>
      <c r="E3588">
        <v>1</v>
      </c>
      <c r="F3588" t="s">
        <v>4120</v>
      </c>
    </row>
    <row r="3589" spans="1:6" x14ac:dyDescent="0.25">
      <c r="A3589" t="s">
        <v>3613</v>
      </c>
      <c r="B3589" t="s">
        <v>203</v>
      </c>
      <c r="C3589" t="s">
        <v>262</v>
      </c>
      <c r="D3589" t="str">
        <f>HYPERLINK("http://service.sap.com/sap/support/notes/1691439","1691439")</f>
        <v>1691439</v>
      </c>
      <c r="E3589">
        <v>2</v>
      </c>
      <c r="F3589" t="s">
        <v>4121</v>
      </c>
    </row>
    <row r="3590" spans="1:6" x14ac:dyDescent="0.25">
      <c r="A3590" t="s">
        <v>3613</v>
      </c>
      <c r="B3590" t="s">
        <v>203</v>
      </c>
      <c r="C3590" t="s">
        <v>262</v>
      </c>
      <c r="D3590" t="str">
        <f>HYPERLINK("http://service.sap.com/sap/support/notes/1707530","1707530")</f>
        <v>1707530</v>
      </c>
      <c r="E3590">
        <v>1</v>
      </c>
      <c r="F3590" t="s">
        <v>4122</v>
      </c>
    </row>
    <row r="3591" spans="1:6" x14ac:dyDescent="0.25">
      <c r="A3591" t="s">
        <v>3613</v>
      </c>
      <c r="B3591" t="s">
        <v>336</v>
      </c>
      <c r="C3591" t="s">
        <v>249</v>
      </c>
      <c r="D3591" t="str">
        <f>HYPERLINK("http://service.sap.com/sap/support/notes/1176329","1176329")</f>
        <v>1176329</v>
      </c>
      <c r="E3591">
        <v>11</v>
      </c>
      <c r="F3591" t="s">
        <v>4123</v>
      </c>
    </row>
    <row r="3592" spans="1:6" x14ac:dyDescent="0.25">
      <c r="A3592" t="s">
        <v>3613</v>
      </c>
      <c r="B3592" t="s">
        <v>336</v>
      </c>
      <c r="C3592" t="s">
        <v>249</v>
      </c>
      <c r="D3592" t="str">
        <f>HYPERLINK("http://service.sap.com/sap/support/notes/1664358","1664358")</f>
        <v>1664358</v>
      </c>
      <c r="E3592">
        <v>1</v>
      </c>
      <c r="F3592" t="s">
        <v>4124</v>
      </c>
    </row>
    <row r="3593" spans="1:6" x14ac:dyDescent="0.25">
      <c r="A3593" t="s">
        <v>3613</v>
      </c>
      <c r="B3593" t="s">
        <v>336</v>
      </c>
      <c r="C3593" t="s">
        <v>249</v>
      </c>
      <c r="D3593" t="str">
        <f>HYPERLINK("http://service.sap.com/sap/support/notes/1673076","1673076")</f>
        <v>1673076</v>
      </c>
      <c r="E3593">
        <v>1</v>
      </c>
      <c r="F3593" t="s">
        <v>4125</v>
      </c>
    </row>
    <row r="3594" spans="1:6" x14ac:dyDescent="0.25">
      <c r="A3594" t="s">
        <v>3613</v>
      </c>
      <c r="B3594" t="s">
        <v>336</v>
      </c>
      <c r="C3594" t="s">
        <v>249</v>
      </c>
      <c r="D3594" t="str">
        <f>HYPERLINK("http://service.sap.com/sap/support/notes/1682720","1682720")</f>
        <v>1682720</v>
      </c>
      <c r="E3594">
        <v>3</v>
      </c>
      <c r="F3594" t="s">
        <v>4126</v>
      </c>
    </row>
    <row r="3595" spans="1:6" x14ac:dyDescent="0.25">
      <c r="A3595" t="s">
        <v>3613</v>
      </c>
      <c r="B3595" t="s">
        <v>336</v>
      </c>
      <c r="C3595" t="s">
        <v>249</v>
      </c>
      <c r="D3595" t="str">
        <f>HYPERLINK("http://service.sap.com/sap/support/notes/1697337","1697337")</f>
        <v>1697337</v>
      </c>
      <c r="E3595">
        <v>1</v>
      </c>
      <c r="F3595" t="s">
        <v>4127</v>
      </c>
    </row>
    <row r="3596" spans="1:6" x14ac:dyDescent="0.25">
      <c r="A3596" t="s">
        <v>3613</v>
      </c>
      <c r="B3596" t="s">
        <v>336</v>
      </c>
      <c r="C3596" t="s">
        <v>249</v>
      </c>
      <c r="D3596" t="str">
        <f>HYPERLINK("http://service.sap.com/sap/support/notes/1699864","1699864")</f>
        <v>1699864</v>
      </c>
      <c r="E3596">
        <v>2</v>
      </c>
      <c r="F3596" t="s">
        <v>4128</v>
      </c>
    </row>
    <row r="3597" spans="1:6" x14ac:dyDescent="0.25">
      <c r="A3597" t="s">
        <v>3613</v>
      </c>
      <c r="B3597" t="s">
        <v>336</v>
      </c>
      <c r="C3597" t="s">
        <v>249</v>
      </c>
      <c r="D3597" t="str">
        <f>HYPERLINK("http://service.sap.com/sap/support/notes/1701984","1701984")</f>
        <v>1701984</v>
      </c>
      <c r="E3597">
        <v>1</v>
      </c>
      <c r="F3597" t="s">
        <v>4129</v>
      </c>
    </row>
    <row r="3598" spans="1:6" x14ac:dyDescent="0.25">
      <c r="A3598" t="s">
        <v>3613</v>
      </c>
      <c r="B3598" t="s">
        <v>336</v>
      </c>
      <c r="C3598" t="s">
        <v>249</v>
      </c>
      <c r="D3598" t="str">
        <f>HYPERLINK("http://service.sap.com/sap/support/notes/1710714","1710714")</f>
        <v>1710714</v>
      </c>
      <c r="E3598">
        <v>2</v>
      </c>
      <c r="F3598" t="s">
        <v>4130</v>
      </c>
    </row>
    <row r="3599" spans="1:6" x14ac:dyDescent="0.25">
      <c r="A3599" t="s">
        <v>3613</v>
      </c>
      <c r="B3599" t="s">
        <v>336</v>
      </c>
      <c r="C3599" t="s">
        <v>249</v>
      </c>
      <c r="D3599" t="str">
        <f>HYPERLINK("http://service.sap.com/sap/support/notes/1712585","1712585")</f>
        <v>1712585</v>
      </c>
      <c r="E3599">
        <v>1</v>
      </c>
      <c r="F3599" t="s">
        <v>4131</v>
      </c>
    </row>
    <row r="3600" spans="1:6" x14ac:dyDescent="0.25">
      <c r="A3600" t="s">
        <v>3613</v>
      </c>
      <c r="B3600" t="s">
        <v>336</v>
      </c>
      <c r="C3600" t="s">
        <v>249</v>
      </c>
      <c r="D3600" t="str">
        <f>HYPERLINK("http://service.sap.com/sap/support/notes/1718717","1718717")</f>
        <v>1718717</v>
      </c>
      <c r="E3600">
        <v>1</v>
      </c>
      <c r="F3600" t="s">
        <v>4132</v>
      </c>
    </row>
    <row r="3601" spans="1:6" x14ac:dyDescent="0.25">
      <c r="A3601" t="s">
        <v>3613</v>
      </c>
      <c r="B3601" t="s">
        <v>337</v>
      </c>
      <c r="C3601" t="s">
        <v>338</v>
      </c>
      <c r="D3601" t="str">
        <f>HYPERLINK("http://service.sap.com/sap/support/notes/1685072","1685072")</f>
        <v>1685072</v>
      </c>
      <c r="E3601">
        <v>2</v>
      </c>
      <c r="F3601" t="s">
        <v>4133</v>
      </c>
    </row>
    <row r="3602" spans="1:6" x14ac:dyDescent="0.25">
      <c r="A3602" t="s">
        <v>3613</v>
      </c>
      <c r="B3602" t="s">
        <v>339</v>
      </c>
      <c r="C3602" t="s">
        <v>340</v>
      </c>
      <c r="D3602" t="str">
        <f>HYPERLINK("http://service.sap.com/sap/support/notes/1654955","1654955")</f>
        <v>1654955</v>
      </c>
      <c r="E3602">
        <v>3</v>
      </c>
      <c r="F3602" t="s">
        <v>4134</v>
      </c>
    </row>
    <row r="3603" spans="1:6" x14ac:dyDescent="0.25">
      <c r="A3603" t="s">
        <v>3613</v>
      </c>
      <c r="B3603" t="s">
        <v>339</v>
      </c>
      <c r="C3603" t="s">
        <v>340</v>
      </c>
      <c r="D3603" t="str">
        <f>HYPERLINK("http://service.sap.com/sap/support/notes/1661154","1661154")</f>
        <v>1661154</v>
      </c>
      <c r="E3603">
        <v>2</v>
      </c>
      <c r="F3603" t="s">
        <v>4135</v>
      </c>
    </row>
    <row r="3604" spans="1:6" x14ac:dyDescent="0.25">
      <c r="A3604" t="s">
        <v>3613</v>
      </c>
      <c r="B3604" t="s">
        <v>339</v>
      </c>
      <c r="C3604" t="s">
        <v>340</v>
      </c>
      <c r="D3604" t="str">
        <f>HYPERLINK("http://service.sap.com/sap/support/notes/1664801","1664801")</f>
        <v>1664801</v>
      </c>
      <c r="E3604">
        <v>2</v>
      </c>
      <c r="F3604" t="s">
        <v>4136</v>
      </c>
    </row>
    <row r="3605" spans="1:6" x14ac:dyDescent="0.25">
      <c r="A3605" t="s">
        <v>3613</v>
      </c>
      <c r="B3605" t="s">
        <v>339</v>
      </c>
      <c r="C3605" t="s">
        <v>340</v>
      </c>
      <c r="D3605" t="str">
        <f>HYPERLINK("http://service.sap.com/sap/support/notes/1674922","1674922")</f>
        <v>1674922</v>
      </c>
      <c r="E3605">
        <v>1</v>
      </c>
      <c r="F3605" t="s">
        <v>4137</v>
      </c>
    </row>
    <row r="3606" spans="1:6" x14ac:dyDescent="0.25">
      <c r="A3606" t="s">
        <v>3613</v>
      </c>
      <c r="B3606" t="s">
        <v>339</v>
      </c>
      <c r="C3606" t="s">
        <v>340</v>
      </c>
      <c r="D3606" t="str">
        <f>HYPERLINK("http://service.sap.com/sap/support/notes/1710895","1710895")</f>
        <v>1710895</v>
      </c>
      <c r="E3606">
        <v>2</v>
      </c>
      <c r="F3606" t="s">
        <v>4138</v>
      </c>
    </row>
    <row r="3607" spans="1:6" x14ac:dyDescent="0.25">
      <c r="A3607" t="s">
        <v>3613</v>
      </c>
      <c r="B3607" t="s">
        <v>339</v>
      </c>
      <c r="C3607" t="s">
        <v>340</v>
      </c>
      <c r="D3607" t="str">
        <f>HYPERLINK("http://service.sap.com/sap/support/notes/1715118","1715118")</f>
        <v>1715118</v>
      </c>
      <c r="E3607">
        <v>2</v>
      </c>
      <c r="F3607" t="s">
        <v>4139</v>
      </c>
    </row>
    <row r="3608" spans="1:6" x14ac:dyDescent="0.25">
      <c r="A3608" t="s">
        <v>3613</v>
      </c>
      <c r="B3608" t="s">
        <v>339</v>
      </c>
      <c r="C3608" t="s">
        <v>340</v>
      </c>
      <c r="D3608" t="str">
        <f>HYPERLINK("http://service.sap.com/sap/support/notes/1716977","1716977")</f>
        <v>1716977</v>
      </c>
      <c r="E3608">
        <v>1</v>
      </c>
      <c r="F3608" t="s">
        <v>4140</v>
      </c>
    </row>
    <row r="3609" spans="1:6" x14ac:dyDescent="0.25">
      <c r="A3609" t="s">
        <v>3613</v>
      </c>
      <c r="B3609" t="s">
        <v>341</v>
      </c>
      <c r="C3609" t="s">
        <v>342</v>
      </c>
      <c r="D3609" t="str">
        <f>HYPERLINK("http://service.sap.com/sap/support/notes/1466074","1466074")</f>
        <v>1466074</v>
      </c>
      <c r="E3609">
        <v>4</v>
      </c>
      <c r="F3609" t="s">
        <v>4141</v>
      </c>
    </row>
    <row r="3610" spans="1:6" x14ac:dyDescent="0.25">
      <c r="A3610" t="s">
        <v>3613</v>
      </c>
      <c r="B3610" t="s">
        <v>341</v>
      </c>
      <c r="C3610" t="s">
        <v>342</v>
      </c>
      <c r="D3610" t="str">
        <f>HYPERLINK("http://service.sap.com/sap/support/notes/1624843","1624843")</f>
        <v>1624843</v>
      </c>
      <c r="E3610">
        <v>7</v>
      </c>
      <c r="F3610" t="s">
        <v>4142</v>
      </c>
    </row>
    <row r="3611" spans="1:6" x14ac:dyDescent="0.25">
      <c r="A3611" t="s">
        <v>3613</v>
      </c>
      <c r="B3611" t="s">
        <v>341</v>
      </c>
      <c r="C3611" t="s">
        <v>342</v>
      </c>
      <c r="D3611" t="str">
        <f>HYPERLINK("http://service.sap.com/sap/support/notes/1628922","1628922")</f>
        <v>1628922</v>
      </c>
      <c r="E3611">
        <v>3</v>
      </c>
      <c r="F3611" t="s">
        <v>4143</v>
      </c>
    </row>
    <row r="3612" spans="1:6" x14ac:dyDescent="0.25">
      <c r="A3612" t="s">
        <v>3613</v>
      </c>
      <c r="B3612" t="s">
        <v>341</v>
      </c>
      <c r="C3612" t="s">
        <v>342</v>
      </c>
      <c r="D3612" t="str">
        <f>HYPERLINK("http://service.sap.com/sap/support/notes/1629094","1629094")</f>
        <v>1629094</v>
      </c>
      <c r="E3612">
        <v>5</v>
      </c>
      <c r="F3612" t="s">
        <v>4144</v>
      </c>
    </row>
    <row r="3613" spans="1:6" x14ac:dyDescent="0.25">
      <c r="A3613" t="s">
        <v>3613</v>
      </c>
      <c r="B3613" t="s">
        <v>341</v>
      </c>
      <c r="C3613" t="s">
        <v>342</v>
      </c>
      <c r="D3613" t="str">
        <f>HYPERLINK("http://service.sap.com/sap/support/notes/1662409","1662409")</f>
        <v>1662409</v>
      </c>
      <c r="E3613">
        <v>1</v>
      </c>
      <c r="F3613" t="s">
        <v>4145</v>
      </c>
    </row>
    <row r="3614" spans="1:6" x14ac:dyDescent="0.25">
      <c r="A3614" t="s">
        <v>3613</v>
      </c>
      <c r="B3614" t="s">
        <v>341</v>
      </c>
      <c r="C3614" t="s">
        <v>342</v>
      </c>
      <c r="D3614" t="str">
        <f>HYPERLINK("http://service.sap.com/sap/support/notes/1667322","1667322")</f>
        <v>1667322</v>
      </c>
      <c r="E3614">
        <v>5</v>
      </c>
      <c r="F3614" t="s">
        <v>4146</v>
      </c>
    </row>
    <row r="3615" spans="1:6" x14ac:dyDescent="0.25">
      <c r="A3615" t="s">
        <v>3613</v>
      </c>
      <c r="B3615" t="s">
        <v>341</v>
      </c>
      <c r="C3615" t="s">
        <v>342</v>
      </c>
      <c r="D3615" t="str">
        <f>HYPERLINK("http://service.sap.com/sap/support/notes/1675474","1675474")</f>
        <v>1675474</v>
      </c>
      <c r="E3615">
        <v>2</v>
      </c>
      <c r="F3615" t="s">
        <v>4147</v>
      </c>
    </row>
    <row r="3616" spans="1:6" x14ac:dyDescent="0.25">
      <c r="A3616" t="s">
        <v>3613</v>
      </c>
      <c r="B3616" t="s">
        <v>341</v>
      </c>
      <c r="C3616" t="s">
        <v>342</v>
      </c>
      <c r="D3616" t="str">
        <f>HYPERLINK("http://service.sap.com/sap/support/notes/1682882","1682882")</f>
        <v>1682882</v>
      </c>
      <c r="E3616">
        <v>1</v>
      </c>
      <c r="F3616" t="s">
        <v>4148</v>
      </c>
    </row>
    <row r="3617" spans="1:6" x14ac:dyDescent="0.25">
      <c r="A3617" t="s">
        <v>3613</v>
      </c>
      <c r="B3617" t="s">
        <v>341</v>
      </c>
      <c r="C3617" t="s">
        <v>342</v>
      </c>
      <c r="D3617" t="str">
        <f>HYPERLINK("http://service.sap.com/sap/support/notes/1689574","1689574")</f>
        <v>1689574</v>
      </c>
      <c r="E3617">
        <v>1</v>
      </c>
      <c r="F3617" t="s">
        <v>4149</v>
      </c>
    </row>
    <row r="3618" spans="1:6" x14ac:dyDescent="0.25">
      <c r="A3618" t="s">
        <v>3613</v>
      </c>
      <c r="B3618" t="s">
        <v>341</v>
      </c>
      <c r="C3618" t="s">
        <v>342</v>
      </c>
      <c r="D3618" t="str">
        <f>HYPERLINK("http://service.sap.com/sap/support/notes/1689654","1689654")</f>
        <v>1689654</v>
      </c>
      <c r="E3618">
        <v>1</v>
      </c>
      <c r="F3618" t="s">
        <v>4150</v>
      </c>
    </row>
    <row r="3619" spans="1:6" x14ac:dyDescent="0.25">
      <c r="A3619" t="s">
        <v>3613</v>
      </c>
      <c r="B3619" t="s">
        <v>341</v>
      </c>
      <c r="C3619" t="s">
        <v>342</v>
      </c>
      <c r="D3619" t="str">
        <f>HYPERLINK("http://service.sap.com/sap/support/notes/1690102","1690102")</f>
        <v>1690102</v>
      </c>
      <c r="E3619">
        <v>1</v>
      </c>
      <c r="F3619" t="s">
        <v>4151</v>
      </c>
    </row>
    <row r="3620" spans="1:6" x14ac:dyDescent="0.25">
      <c r="A3620" t="s">
        <v>3613</v>
      </c>
      <c r="B3620" t="s">
        <v>341</v>
      </c>
      <c r="C3620" t="s">
        <v>342</v>
      </c>
      <c r="D3620" t="str">
        <f>HYPERLINK("http://service.sap.com/sap/support/notes/1690668","1690668")</f>
        <v>1690668</v>
      </c>
      <c r="E3620">
        <v>1</v>
      </c>
      <c r="F3620" t="s">
        <v>4152</v>
      </c>
    </row>
    <row r="3621" spans="1:6" x14ac:dyDescent="0.25">
      <c r="A3621" t="s">
        <v>3613</v>
      </c>
      <c r="B3621" t="s">
        <v>341</v>
      </c>
      <c r="C3621" t="s">
        <v>342</v>
      </c>
      <c r="D3621" t="str">
        <f>HYPERLINK("http://service.sap.com/sap/support/notes/1694581","1694581")</f>
        <v>1694581</v>
      </c>
      <c r="E3621">
        <v>1</v>
      </c>
      <c r="F3621" t="s">
        <v>4153</v>
      </c>
    </row>
    <row r="3622" spans="1:6" x14ac:dyDescent="0.25">
      <c r="A3622" t="s">
        <v>3613</v>
      </c>
      <c r="B3622" t="s">
        <v>343</v>
      </c>
      <c r="C3622" t="s">
        <v>344</v>
      </c>
      <c r="D3622" t="str">
        <f>HYPERLINK("http://service.sap.com/sap/support/notes/1662490","1662490")</f>
        <v>1662490</v>
      </c>
      <c r="E3622">
        <v>4</v>
      </c>
      <c r="F3622" t="s">
        <v>4154</v>
      </c>
    </row>
    <row r="3623" spans="1:6" x14ac:dyDescent="0.25">
      <c r="A3623" t="s">
        <v>3613</v>
      </c>
      <c r="B3623" t="s">
        <v>343</v>
      </c>
      <c r="C3623" t="s">
        <v>344</v>
      </c>
      <c r="D3623" t="str">
        <f>HYPERLINK("http://service.sap.com/sap/support/notes/1664482","1664482")</f>
        <v>1664482</v>
      </c>
      <c r="E3623">
        <v>1</v>
      </c>
      <c r="F3623" t="s">
        <v>4155</v>
      </c>
    </row>
    <row r="3624" spans="1:6" x14ac:dyDescent="0.25">
      <c r="A3624" t="s">
        <v>3613</v>
      </c>
      <c r="B3624" t="s">
        <v>343</v>
      </c>
      <c r="C3624" t="s">
        <v>344</v>
      </c>
      <c r="D3624" t="str">
        <f>HYPERLINK("http://service.sap.com/sap/support/notes/1666637","1666637")</f>
        <v>1666637</v>
      </c>
      <c r="E3624">
        <v>2</v>
      </c>
      <c r="F3624" t="s">
        <v>4156</v>
      </c>
    </row>
    <row r="3625" spans="1:6" x14ac:dyDescent="0.25">
      <c r="A3625" t="s">
        <v>3613</v>
      </c>
      <c r="B3625" t="s">
        <v>345</v>
      </c>
      <c r="C3625" t="s">
        <v>326</v>
      </c>
      <c r="D3625" t="str">
        <f>HYPERLINK("http://service.sap.com/sap/support/notes/1665447","1665447")</f>
        <v>1665447</v>
      </c>
      <c r="E3625">
        <v>1</v>
      </c>
      <c r="F3625" t="s">
        <v>4157</v>
      </c>
    </row>
    <row r="3626" spans="1:6" x14ac:dyDescent="0.25">
      <c r="A3626" t="s">
        <v>3613</v>
      </c>
      <c r="B3626" t="s">
        <v>345</v>
      </c>
      <c r="C3626" t="s">
        <v>326</v>
      </c>
      <c r="D3626" t="str">
        <f>HYPERLINK("http://service.sap.com/sap/support/notes/1690877","1690877")</f>
        <v>1690877</v>
      </c>
      <c r="E3626">
        <v>3</v>
      </c>
      <c r="F3626" t="s">
        <v>4158</v>
      </c>
    </row>
    <row r="3627" spans="1:6" x14ac:dyDescent="0.25">
      <c r="A3627" t="s">
        <v>3613</v>
      </c>
      <c r="B3627" t="s">
        <v>1754</v>
      </c>
      <c r="C3627" t="s">
        <v>1755</v>
      </c>
      <c r="D3627" t="str">
        <f>HYPERLINK("http://service.sap.com/sap/support/notes/1669085","1669085")</f>
        <v>1669085</v>
      </c>
      <c r="E3627">
        <v>2</v>
      </c>
      <c r="F3627" t="s">
        <v>4159</v>
      </c>
    </row>
    <row r="3628" spans="1:6" x14ac:dyDescent="0.25">
      <c r="A3628" t="s">
        <v>3613</v>
      </c>
      <c r="B3628" t="s">
        <v>1754</v>
      </c>
      <c r="C3628" t="s">
        <v>1755</v>
      </c>
      <c r="D3628" t="str">
        <f>HYPERLINK("http://service.sap.com/sap/support/notes/1670883","1670883")</f>
        <v>1670883</v>
      </c>
      <c r="E3628">
        <v>1</v>
      </c>
      <c r="F3628" t="s">
        <v>4160</v>
      </c>
    </row>
    <row r="3629" spans="1:6" x14ac:dyDescent="0.25">
      <c r="A3629" t="s">
        <v>3613</v>
      </c>
      <c r="B3629" t="s">
        <v>346</v>
      </c>
      <c r="C3629" t="s">
        <v>347</v>
      </c>
      <c r="D3629" t="str">
        <f>HYPERLINK("http://service.sap.com/sap/support/notes/1653290","1653290")</f>
        <v>1653290</v>
      </c>
      <c r="E3629">
        <v>2</v>
      </c>
      <c r="F3629" t="s">
        <v>4161</v>
      </c>
    </row>
    <row r="3630" spans="1:6" x14ac:dyDescent="0.25">
      <c r="A3630" t="s">
        <v>3613</v>
      </c>
      <c r="B3630" t="s">
        <v>346</v>
      </c>
      <c r="C3630" t="s">
        <v>347</v>
      </c>
      <c r="D3630" t="str">
        <f>HYPERLINK("http://service.sap.com/sap/support/notes/1697468","1697468")</f>
        <v>1697468</v>
      </c>
      <c r="E3630">
        <v>2</v>
      </c>
      <c r="F3630" t="s">
        <v>4162</v>
      </c>
    </row>
    <row r="3631" spans="1:6" x14ac:dyDescent="0.25">
      <c r="A3631" t="s">
        <v>3613</v>
      </c>
      <c r="B3631" t="s">
        <v>346</v>
      </c>
      <c r="C3631" t="s">
        <v>347</v>
      </c>
      <c r="D3631" t="str">
        <f>HYPERLINK("http://service.sap.com/sap/support/notes/1706112","1706112")</f>
        <v>1706112</v>
      </c>
      <c r="E3631">
        <v>3</v>
      </c>
      <c r="F3631" t="s">
        <v>4163</v>
      </c>
    </row>
    <row r="3632" spans="1:6" x14ac:dyDescent="0.25">
      <c r="A3632" t="s">
        <v>3613</v>
      </c>
      <c r="B3632" t="s">
        <v>348</v>
      </c>
      <c r="C3632" t="s">
        <v>349</v>
      </c>
      <c r="D3632" t="str">
        <f>HYPERLINK("http://service.sap.com/sap/support/notes/1645951","1645951")</f>
        <v>1645951</v>
      </c>
      <c r="E3632">
        <v>3</v>
      </c>
      <c r="F3632" t="s">
        <v>4164</v>
      </c>
    </row>
    <row r="3633" spans="1:6" x14ac:dyDescent="0.25">
      <c r="A3633" t="s">
        <v>3613</v>
      </c>
      <c r="B3633" t="s">
        <v>348</v>
      </c>
      <c r="C3633" t="s">
        <v>349</v>
      </c>
      <c r="D3633" t="str">
        <f>HYPERLINK("http://service.sap.com/sap/support/notes/1658043","1658043")</f>
        <v>1658043</v>
      </c>
      <c r="E3633">
        <v>4</v>
      </c>
      <c r="F3633" t="s">
        <v>4165</v>
      </c>
    </row>
    <row r="3634" spans="1:6" x14ac:dyDescent="0.25">
      <c r="A3634" t="s">
        <v>3613</v>
      </c>
      <c r="B3634" t="s">
        <v>348</v>
      </c>
      <c r="C3634" t="s">
        <v>349</v>
      </c>
      <c r="D3634" t="str">
        <f>HYPERLINK("http://service.sap.com/sap/support/notes/1661749","1661749")</f>
        <v>1661749</v>
      </c>
      <c r="E3634">
        <v>6</v>
      </c>
      <c r="F3634" t="s">
        <v>4166</v>
      </c>
    </row>
    <row r="3635" spans="1:6" x14ac:dyDescent="0.25">
      <c r="A3635" t="s">
        <v>3613</v>
      </c>
      <c r="B3635" t="s">
        <v>348</v>
      </c>
      <c r="C3635" t="s">
        <v>349</v>
      </c>
      <c r="D3635" t="str">
        <f>HYPERLINK("http://service.sap.com/sap/support/notes/1678021","1678021")</f>
        <v>1678021</v>
      </c>
      <c r="E3635">
        <v>2</v>
      </c>
      <c r="F3635" t="s">
        <v>4167</v>
      </c>
    </row>
    <row r="3636" spans="1:6" x14ac:dyDescent="0.25">
      <c r="A3636" t="s">
        <v>3613</v>
      </c>
      <c r="B3636" t="s">
        <v>348</v>
      </c>
      <c r="C3636" t="s">
        <v>349</v>
      </c>
      <c r="D3636" t="str">
        <f>HYPERLINK("http://service.sap.com/sap/support/notes/1679641","1679641")</f>
        <v>1679641</v>
      </c>
      <c r="E3636">
        <v>2</v>
      </c>
      <c r="F3636" t="s">
        <v>4168</v>
      </c>
    </row>
    <row r="3637" spans="1:6" x14ac:dyDescent="0.25">
      <c r="A3637" t="s">
        <v>3613</v>
      </c>
      <c r="B3637" t="s">
        <v>348</v>
      </c>
      <c r="C3637" t="s">
        <v>349</v>
      </c>
      <c r="D3637" t="str">
        <f>HYPERLINK("http://service.sap.com/sap/support/notes/1679993","1679993")</f>
        <v>1679993</v>
      </c>
      <c r="E3637">
        <v>3</v>
      </c>
      <c r="F3637" t="s">
        <v>4169</v>
      </c>
    </row>
    <row r="3638" spans="1:6" x14ac:dyDescent="0.25">
      <c r="A3638" t="s">
        <v>3613</v>
      </c>
      <c r="B3638" t="s">
        <v>348</v>
      </c>
      <c r="C3638" t="s">
        <v>349</v>
      </c>
      <c r="D3638" t="str">
        <f>HYPERLINK("http://service.sap.com/sap/support/notes/1681567","1681567")</f>
        <v>1681567</v>
      </c>
      <c r="E3638">
        <v>3</v>
      </c>
      <c r="F3638" t="s">
        <v>4170</v>
      </c>
    </row>
    <row r="3639" spans="1:6" x14ac:dyDescent="0.25">
      <c r="A3639" t="s">
        <v>3613</v>
      </c>
      <c r="B3639" t="s">
        <v>348</v>
      </c>
      <c r="C3639" t="s">
        <v>349</v>
      </c>
      <c r="D3639" t="str">
        <f>HYPERLINK("http://service.sap.com/sap/support/notes/1688635","1688635")</f>
        <v>1688635</v>
      </c>
      <c r="E3639">
        <v>1</v>
      </c>
      <c r="F3639" t="s">
        <v>4171</v>
      </c>
    </row>
    <row r="3640" spans="1:6" x14ac:dyDescent="0.25">
      <c r="A3640" t="s">
        <v>3613</v>
      </c>
      <c r="B3640" t="s">
        <v>348</v>
      </c>
      <c r="C3640" t="s">
        <v>349</v>
      </c>
      <c r="D3640" t="str">
        <f>HYPERLINK("http://service.sap.com/sap/support/notes/1694362","1694362")</f>
        <v>1694362</v>
      </c>
      <c r="E3640">
        <v>2</v>
      </c>
      <c r="F3640" t="s">
        <v>4172</v>
      </c>
    </row>
    <row r="3641" spans="1:6" x14ac:dyDescent="0.25">
      <c r="A3641" t="s">
        <v>3613</v>
      </c>
      <c r="B3641" t="s">
        <v>348</v>
      </c>
      <c r="C3641" t="s">
        <v>349</v>
      </c>
      <c r="D3641" t="str">
        <f>HYPERLINK("http://service.sap.com/sap/support/notes/1707384","1707384")</f>
        <v>1707384</v>
      </c>
      <c r="E3641">
        <v>2</v>
      </c>
      <c r="F3641" t="s">
        <v>4173</v>
      </c>
    </row>
    <row r="3642" spans="1:6" x14ac:dyDescent="0.25">
      <c r="A3642" t="s">
        <v>3613</v>
      </c>
      <c r="B3642" t="s">
        <v>1776</v>
      </c>
      <c r="C3642" t="s">
        <v>1777</v>
      </c>
      <c r="D3642" t="str">
        <f>HYPERLINK("http://service.sap.com/sap/support/notes/1653078","1653078")</f>
        <v>1653078</v>
      </c>
      <c r="E3642">
        <v>2</v>
      </c>
      <c r="F3642" t="s">
        <v>1778</v>
      </c>
    </row>
    <row r="3643" spans="1:6" x14ac:dyDescent="0.25">
      <c r="A3643" t="s">
        <v>3613</v>
      </c>
      <c r="B3643" t="s">
        <v>350</v>
      </c>
      <c r="C3643" t="s">
        <v>351</v>
      </c>
      <c r="D3643" t="str">
        <f>HYPERLINK("http://service.sap.com/sap/support/notes/1531966","1531966")</f>
        <v>1531966</v>
      </c>
      <c r="E3643">
        <v>4</v>
      </c>
      <c r="F3643" t="s">
        <v>4174</v>
      </c>
    </row>
    <row r="3644" spans="1:6" x14ac:dyDescent="0.25">
      <c r="A3644" t="s">
        <v>3613</v>
      </c>
      <c r="B3644" t="s">
        <v>350</v>
      </c>
      <c r="C3644" t="s">
        <v>351</v>
      </c>
      <c r="D3644" t="str">
        <f>HYPERLINK("http://service.sap.com/sap/support/notes/1657207","1657207")</f>
        <v>1657207</v>
      </c>
      <c r="E3644">
        <v>1</v>
      </c>
      <c r="F3644" t="s">
        <v>4175</v>
      </c>
    </row>
    <row r="3645" spans="1:6" x14ac:dyDescent="0.25">
      <c r="A3645" t="s">
        <v>3613</v>
      </c>
      <c r="B3645" t="s">
        <v>350</v>
      </c>
      <c r="C3645" t="s">
        <v>351</v>
      </c>
      <c r="D3645" t="str">
        <f>HYPERLINK("http://service.sap.com/sap/support/notes/1667972","1667972")</f>
        <v>1667972</v>
      </c>
      <c r="E3645">
        <v>2</v>
      </c>
      <c r="F3645" t="s">
        <v>4176</v>
      </c>
    </row>
    <row r="3646" spans="1:6" x14ac:dyDescent="0.25">
      <c r="A3646" t="s">
        <v>3613</v>
      </c>
      <c r="B3646" t="s">
        <v>350</v>
      </c>
      <c r="C3646" t="s">
        <v>351</v>
      </c>
      <c r="D3646" t="str">
        <f>HYPERLINK("http://service.sap.com/sap/support/notes/1669099","1669099")</f>
        <v>1669099</v>
      </c>
      <c r="E3646">
        <v>5</v>
      </c>
      <c r="F3646" t="s">
        <v>4177</v>
      </c>
    </row>
    <row r="3647" spans="1:6" x14ac:dyDescent="0.25">
      <c r="A3647" t="s">
        <v>3613</v>
      </c>
      <c r="B3647" t="s">
        <v>350</v>
      </c>
      <c r="C3647" t="s">
        <v>351</v>
      </c>
      <c r="D3647" t="str">
        <f>HYPERLINK("http://service.sap.com/sap/support/notes/1682958","1682958")</f>
        <v>1682958</v>
      </c>
      <c r="E3647">
        <v>2</v>
      </c>
      <c r="F3647" t="s">
        <v>4178</v>
      </c>
    </row>
    <row r="3648" spans="1:6" x14ac:dyDescent="0.25">
      <c r="A3648" t="s">
        <v>3613</v>
      </c>
      <c r="B3648" t="s">
        <v>350</v>
      </c>
      <c r="C3648" t="s">
        <v>351</v>
      </c>
      <c r="D3648" t="str">
        <f>HYPERLINK("http://service.sap.com/sap/support/notes/1684929","1684929")</f>
        <v>1684929</v>
      </c>
      <c r="E3648">
        <v>2</v>
      </c>
      <c r="F3648" t="s">
        <v>4179</v>
      </c>
    </row>
    <row r="3649" spans="1:6" x14ac:dyDescent="0.25">
      <c r="A3649" t="s">
        <v>3613</v>
      </c>
      <c r="B3649" t="s">
        <v>350</v>
      </c>
      <c r="C3649" t="s">
        <v>351</v>
      </c>
      <c r="D3649" t="str">
        <f>HYPERLINK("http://service.sap.com/sap/support/notes/1714844","1714844")</f>
        <v>1714844</v>
      </c>
      <c r="E3649">
        <v>1</v>
      </c>
      <c r="F3649" t="s">
        <v>4180</v>
      </c>
    </row>
    <row r="3650" spans="1:6" x14ac:dyDescent="0.25">
      <c r="A3650" t="s">
        <v>3613</v>
      </c>
      <c r="B3650" t="s">
        <v>350</v>
      </c>
      <c r="C3650" t="s">
        <v>351</v>
      </c>
      <c r="D3650" t="str">
        <f>HYPERLINK("http://service.sap.com/sap/support/notes/1715206","1715206")</f>
        <v>1715206</v>
      </c>
      <c r="E3650">
        <v>1</v>
      </c>
      <c r="F3650" t="s">
        <v>4181</v>
      </c>
    </row>
    <row r="3651" spans="1:6" x14ac:dyDescent="0.25">
      <c r="A3651" t="s">
        <v>3613</v>
      </c>
      <c r="B3651" t="s">
        <v>350</v>
      </c>
      <c r="C3651" t="s">
        <v>351</v>
      </c>
      <c r="D3651" t="str">
        <f>HYPERLINK("http://service.sap.com/sap/support/notes/1717450","1717450")</f>
        <v>1717450</v>
      </c>
      <c r="E3651">
        <v>1</v>
      </c>
      <c r="F3651" t="s">
        <v>4182</v>
      </c>
    </row>
    <row r="3652" spans="1:6" x14ac:dyDescent="0.25">
      <c r="A3652" t="s">
        <v>3613</v>
      </c>
      <c r="B3652" t="s">
        <v>350</v>
      </c>
      <c r="C3652" t="s">
        <v>351</v>
      </c>
      <c r="D3652" t="str">
        <f>HYPERLINK("http://service.sap.com/sap/support/notes/1718840","1718840")</f>
        <v>1718840</v>
      </c>
      <c r="E3652">
        <v>1</v>
      </c>
      <c r="F3652" t="s">
        <v>4183</v>
      </c>
    </row>
    <row r="3653" spans="1:6" x14ac:dyDescent="0.25">
      <c r="A3653" t="s">
        <v>3613</v>
      </c>
      <c r="B3653" t="s">
        <v>350</v>
      </c>
      <c r="C3653" t="s">
        <v>351</v>
      </c>
      <c r="D3653" t="str">
        <f>HYPERLINK("http://service.sap.com/sap/support/notes/1719404","1719404")</f>
        <v>1719404</v>
      </c>
      <c r="E3653">
        <v>1</v>
      </c>
      <c r="F3653" t="s">
        <v>4184</v>
      </c>
    </row>
    <row r="3654" spans="1:6" x14ac:dyDescent="0.25">
      <c r="A3654" t="s">
        <v>3613</v>
      </c>
      <c r="B3654" t="s">
        <v>350</v>
      </c>
      <c r="C3654" t="s">
        <v>351</v>
      </c>
      <c r="D3654" t="str">
        <f>HYPERLINK("http://service.sap.com/sap/support/notes/1720696","1720696")</f>
        <v>1720696</v>
      </c>
      <c r="E3654">
        <v>1</v>
      </c>
      <c r="F3654" t="s">
        <v>4185</v>
      </c>
    </row>
    <row r="3655" spans="1:6" x14ac:dyDescent="0.25">
      <c r="A3655" t="s">
        <v>3613</v>
      </c>
      <c r="B3655" t="s">
        <v>352</v>
      </c>
      <c r="C3655" t="s">
        <v>353</v>
      </c>
      <c r="D3655" t="str">
        <f>HYPERLINK("http://service.sap.com/sap/support/notes/1526235","1526235")</f>
        <v>1526235</v>
      </c>
      <c r="E3655">
        <v>1</v>
      </c>
      <c r="F3655" t="s">
        <v>4186</v>
      </c>
    </row>
    <row r="3656" spans="1:6" x14ac:dyDescent="0.25">
      <c r="A3656" t="s">
        <v>3613</v>
      </c>
      <c r="B3656" t="s">
        <v>352</v>
      </c>
      <c r="C3656" t="s">
        <v>353</v>
      </c>
      <c r="D3656" t="str">
        <f>HYPERLINK("http://service.sap.com/sap/support/notes/1544464","1544464")</f>
        <v>1544464</v>
      </c>
      <c r="E3656">
        <v>2</v>
      </c>
      <c r="F3656" t="s">
        <v>4187</v>
      </c>
    </row>
    <row r="3657" spans="1:6" x14ac:dyDescent="0.25">
      <c r="A3657" t="s">
        <v>3613</v>
      </c>
      <c r="B3657" t="s">
        <v>352</v>
      </c>
      <c r="C3657" t="s">
        <v>353</v>
      </c>
      <c r="D3657" t="str">
        <f>HYPERLINK("http://service.sap.com/sap/support/notes/1556623","1556623")</f>
        <v>1556623</v>
      </c>
      <c r="E3657">
        <v>1</v>
      </c>
      <c r="F3657" t="s">
        <v>4188</v>
      </c>
    </row>
    <row r="3658" spans="1:6" x14ac:dyDescent="0.25">
      <c r="A3658" t="s">
        <v>3613</v>
      </c>
      <c r="B3658" t="s">
        <v>352</v>
      </c>
      <c r="C3658" t="s">
        <v>353</v>
      </c>
      <c r="D3658" t="str">
        <f>HYPERLINK("http://service.sap.com/sap/support/notes/1671124","1671124")</f>
        <v>1671124</v>
      </c>
      <c r="E3658">
        <v>6</v>
      </c>
      <c r="F3658" t="s">
        <v>4189</v>
      </c>
    </row>
    <row r="3659" spans="1:6" x14ac:dyDescent="0.25">
      <c r="A3659" t="s">
        <v>3613</v>
      </c>
      <c r="B3659" t="s">
        <v>352</v>
      </c>
      <c r="C3659" t="s">
        <v>353</v>
      </c>
      <c r="D3659" t="str">
        <f>HYPERLINK("http://service.sap.com/sap/support/notes/1683637","1683637")</f>
        <v>1683637</v>
      </c>
      <c r="E3659">
        <v>2</v>
      </c>
      <c r="F3659" t="s">
        <v>4190</v>
      </c>
    </row>
    <row r="3660" spans="1:6" x14ac:dyDescent="0.25">
      <c r="A3660" t="s">
        <v>3613</v>
      </c>
      <c r="B3660" t="s">
        <v>352</v>
      </c>
      <c r="C3660" t="s">
        <v>353</v>
      </c>
      <c r="D3660" t="str">
        <f>HYPERLINK("http://service.sap.com/sap/support/notes/1698608","1698608")</f>
        <v>1698608</v>
      </c>
      <c r="E3660">
        <v>2</v>
      </c>
      <c r="F3660" t="s">
        <v>4191</v>
      </c>
    </row>
    <row r="3661" spans="1:6" x14ac:dyDescent="0.25">
      <c r="A3661" t="s">
        <v>3613</v>
      </c>
      <c r="B3661" t="s">
        <v>352</v>
      </c>
      <c r="C3661" t="s">
        <v>353</v>
      </c>
      <c r="D3661" t="str">
        <f>HYPERLINK("http://service.sap.com/sap/support/notes/1711675","1711675")</f>
        <v>1711675</v>
      </c>
      <c r="E3661">
        <v>1</v>
      </c>
      <c r="F3661" t="s">
        <v>4192</v>
      </c>
    </row>
    <row r="3662" spans="1:6" x14ac:dyDescent="0.25">
      <c r="A3662" t="s">
        <v>3613</v>
      </c>
      <c r="B3662" t="s">
        <v>352</v>
      </c>
      <c r="C3662" t="s">
        <v>353</v>
      </c>
      <c r="D3662" t="str">
        <f>HYPERLINK("http://service.sap.com/sap/support/notes/1713762","1713762")</f>
        <v>1713762</v>
      </c>
      <c r="E3662">
        <v>4</v>
      </c>
      <c r="F3662" t="s">
        <v>4193</v>
      </c>
    </row>
    <row r="3663" spans="1:6" x14ac:dyDescent="0.25">
      <c r="A3663" t="s">
        <v>3613</v>
      </c>
      <c r="B3663" t="s">
        <v>352</v>
      </c>
      <c r="C3663" t="s">
        <v>353</v>
      </c>
      <c r="D3663" t="str">
        <f>HYPERLINK("http://service.sap.com/sap/support/notes/1715252","1715252")</f>
        <v>1715252</v>
      </c>
      <c r="E3663">
        <v>1</v>
      </c>
      <c r="F3663" t="s">
        <v>4194</v>
      </c>
    </row>
    <row r="3664" spans="1:6" x14ac:dyDescent="0.25">
      <c r="A3664" t="s">
        <v>3613</v>
      </c>
      <c r="B3664" t="s">
        <v>205</v>
      </c>
      <c r="C3664" t="s">
        <v>206</v>
      </c>
      <c r="D3664" t="str">
        <f>HYPERLINK("http://service.sap.com/sap/support/notes/1564787","1564787")</f>
        <v>1564787</v>
      </c>
      <c r="E3664">
        <v>2</v>
      </c>
      <c r="F3664" t="s">
        <v>401</v>
      </c>
    </row>
    <row r="3665" spans="1:6" x14ac:dyDescent="0.25">
      <c r="A3665" t="s">
        <v>3613</v>
      </c>
      <c r="B3665" t="s">
        <v>205</v>
      </c>
      <c r="C3665" t="s">
        <v>206</v>
      </c>
      <c r="D3665" t="str">
        <f>HYPERLINK("http://service.sap.com/sap/support/notes/1594034","1594034")</f>
        <v>1594034</v>
      </c>
      <c r="E3665">
        <v>2</v>
      </c>
      <c r="F3665" t="s">
        <v>4195</v>
      </c>
    </row>
    <row r="3666" spans="1:6" x14ac:dyDescent="0.25">
      <c r="A3666" t="s">
        <v>3613</v>
      </c>
      <c r="B3666" t="s">
        <v>205</v>
      </c>
      <c r="C3666" t="s">
        <v>206</v>
      </c>
      <c r="D3666" t="str">
        <f>HYPERLINK("http://service.sap.com/sap/support/notes/1600742","1600742")</f>
        <v>1600742</v>
      </c>
      <c r="E3666">
        <v>1</v>
      </c>
      <c r="F3666" t="s">
        <v>1801</v>
      </c>
    </row>
    <row r="3667" spans="1:6" x14ac:dyDescent="0.25">
      <c r="A3667" t="s">
        <v>3613</v>
      </c>
      <c r="B3667" t="s">
        <v>205</v>
      </c>
      <c r="C3667" t="s">
        <v>206</v>
      </c>
      <c r="D3667" t="str">
        <f>HYPERLINK("http://service.sap.com/sap/support/notes/1622194","1622194")</f>
        <v>1622194</v>
      </c>
      <c r="E3667">
        <v>2</v>
      </c>
      <c r="F3667" t="s">
        <v>4196</v>
      </c>
    </row>
    <row r="3668" spans="1:6" x14ac:dyDescent="0.25">
      <c r="A3668" t="s">
        <v>3613</v>
      </c>
      <c r="B3668" t="s">
        <v>205</v>
      </c>
      <c r="C3668" t="s">
        <v>206</v>
      </c>
      <c r="D3668" t="str">
        <f>HYPERLINK("http://service.sap.com/sap/support/notes/1665030","1665030")</f>
        <v>1665030</v>
      </c>
      <c r="E3668">
        <v>5</v>
      </c>
      <c r="F3668" t="s">
        <v>4197</v>
      </c>
    </row>
    <row r="3669" spans="1:6" x14ac:dyDescent="0.25">
      <c r="A3669" t="s">
        <v>3613</v>
      </c>
      <c r="B3669" t="s">
        <v>205</v>
      </c>
      <c r="C3669" t="s">
        <v>206</v>
      </c>
      <c r="D3669" t="str">
        <f>HYPERLINK("http://service.sap.com/sap/support/notes/1666984","1666984")</f>
        <v>1666984</v>
      </c>
      <c r="E3669">
        <v>2</v>
      </c>
      <c r="F3669" t="s">
        <v>4198</v>
      </c>
    </row>
    <row r="3670" spans="1:6" x14ac:dyDescent="0.25">
      <c r="A3670" t="s">
        <v>3613</v>
      </c>
      <c r="B3670" t="s">
        <v>205</v>
      </c>
      <c r="C3670" t="s">
        <v>206</v>
      </c>
      <c r="D3670" t="str">
        <f>HYPERLINK("http://service.sap.com/sap/support/notes/1703594","1703594")</f>
        <v>1703594</v>
      </c>
      <c r="E3670">
        <v>8</v>
      </c>
      <c r="F3670" t="s">
        <v>4199</v>
      </c>
    </row>
    <row r="3671" spans="1:6" x14ac:dyDescent="0.25">
      <c r="A3671" t="s">
        <v>3613</v>
      </c>
      <c r="B3671" t="s">
        <v>205</v>
      </c>
      <c r="C3671" t="s">
        <v>206</v>
      </c>
      <c r="D3671" t="str">
        <f>HYPERLINK("http://service.sap.com/sap/support/notes/1703798","1703798")</f>
        <v>1703798</v>
      </c>
      <c r="E3671">
        <v>1</v>
      </c>
      <c r="F3671" t="s">
        <v>4200</v>
      </c>
    </row>
    <row r="3672" spans="1:6" x14ac:dyDescent="0.25">
      <c r="A3672" t="s">
        <v>3613</v>
      </c>
      <c r="B3672" t="s">
        <v>205</v>
      </c>
      <c r="C3672" t="s">
        <v>206</v>
      </c>
      <c r="D3672" t="str">
        <f>HYPERLINK("http://service.sap.com/sap/support/notes/1710597","1710597")</f>
        <v>1710597</v>
      </c>
      <c r="E3672">
        <v>1</v>
      </c>
      <c r="F3672" t="s">
        <v>4201</v>
      </c>
    </row>
    <row r="3673" spans="1:6" x14ac:dyDescent="0.25">
      <c r="A3673" t="s">
        <v>3613</v>
      </c>
      <c r="B3673" t="s">
        <v>205</v>
      </c>
      <c r="C3673" t="s">
        <v>206</v>
      </c>
      <c r="D3673" t="str">
        <f>HYPERLINK("http://service.sap.com/sap/support/notes/1714661","1714661")</f>
        <v>1714661</v>
      </c>
      <c r="E3673">
        <v>2</v>
      </c>
      <c r="F3673" t="s">
        <v>4202</v>
      </c>
    </row>
    <row r="3674" spans="1:6" x14ac:dyDescent="0.25">
      <c r="A3674" t="s">
        <v>3613</v>
      </c>
      <c r="B3674" t="s">
        <v>205</v>
      </c>
      <c r="C3674" t="s">
        <v>206</v>
      </c>
      <c r="D3674" t="str">
        <f>HYPERLINK("http://service.sap.com/sap/support/notes/1714973","1714973")</f>
        <v>1714973</v>
      </c>
      <c r="E3674">
        <v>1</v>
      </c>
      <c r="F3674" t="s">
        <v>4203</v>
      </c>
    </row>
    <row r="3675" spans="1:6" x14ac:dyDescent="0.25">
      <c r="A3675" t="s">
        <v>3613</v>
      </c>
      <c r="B3675" t="s">
        <v>205</v>
      </c>
      <c r="C3675" t="s">
        <v>206</v>
      </c>
      <c r="D3675" t="str">
        <f>HYPERLINK("http://service.sap.com/sap/support/notes/1715535","1715535")</f>
        <v>1715535</v>
      </c>
      <c r="E3675">
        <v>1</v>
      </c>
      <c r="F3675" t="s">
        <v>1480</v>
      </c>
    </row>
    <row r="3676" spans="1:6" x14ac:dyDescent="0.25">
      <c r="A3676" t="s">
        <v>3613</v>
      </c>
      <c r="B3676" t="s">
        <v>207</v>
      </c>
      <c r="C3676" t="s">
        <v>208</v>
      </c>
    </row>
    <row r="3677" spans="1:6" x14ac:dyDescent="0.25">
      <c r="A3677" t="s">
        <v>3613</v>
      </c>
      <c r="B3677" t="s">
        <v>389</v>
      </c>
      <c r="C3677" t="s">
        <v>390</v>
      </c>
    </row>
    <row r="3678" spans="1:6" x14ac:dyDescent="0.25">
      <c r="A3678" t="s">
        <v>3613</v>
      </c>
      <c r="B3678" t="s">
        <v>433</v>
      </c>
      <c r="C3678" t="s">
        <v>434</v>
      </c>
      <c r="D3678" t="str">
        <f>HYPERLINK("http://service.sap.com/sap/support/notes/1663500","1663500")</f>
        <v>1663500</v>
      </c>
      <c r="E3678">
        <v>2</v>
      </c>
      <c r="F3678" t="s">
        <v>4204</v>
      </c>
    </row>
    <row r="3679" spans="1:6" x14ac:dyDescent="0.25">
      <c r="A3679" t="s">
        <v>3613</v>
      </c>
      <c r="B3679" t="s">
        <v>605</v>
      </c>
      <c r="C3679" t="s">
        <v>4205</v>
      </c>
      <c r="D3679" t="str">
        <f>HYPERLINK("http://service.sap.com/sap/support/notes/1667967","1667967")</f>
        <v>1667967</v>
      </c>
      <c r="E3679">
        <v>2</v>
      </c>
      <c r="F3679" t="s">
        <v>4206</v>
      </c>
    </row>
    <row r="3680" spans="1:6" x14ac:dyDescent="0.25">
      <c r="A3680" t="s">
        <v>3613</v>
      </c>
      <c r="B3680" t="s">
        <v>540</v>
      </c>
      <c r="C3680" t="s">
        <v>4207</v>
      </c>
      <c r="D3680" t="str">
        <f>HYPERLINK("http://service.sap.com/sap/support/notes/1701326","1701326")</f>
        <v>1701326</v>
      </c>
      <c r="E3680">
        <v>1</v>
      </c>
      <c r="F3680" t="s">
        <v>4208</v>
      </c>
    </row>
    <row r="3681" spans="1:6" x14ac:dyDescent="0.25">
      <c r="A3681" t="s">
        <v>4209</v>
      </c>
      <c r="B3681" t="s">
        <v>212</v>
      </c>
      <c r="C3681" t="s">
        <v>361</v>
      </c>
    </row>
    <row r="3682" spans="1:6" x14ac:dyDescent="0.25">
      <c r="A3682" t="s">
        <v>4209</v>
      </c>
      <c r="B3682" t="s">
        <v>213</v>
      </c>
      <c r="C3682" t="s">
        <v>362</v>
      </c>
    </row>
    <row r="3683" spans="1:6" x14ac:dyDescent="0.25">
      <c r="A3683" t="s">
        <v>4209</v>
      </c>
      <c r="B3683" t="s">
        <v>214</v>
      </c>
      <c r="C3683" t="s">
        <v>363</v>
      </c>
      <c r="D3683" t="str">
        <f>HYPERLINK("http://service.sap.com/sap/support/notes/1726542","1726542")</f>
        <v>1726542</v>
      </c>
      <c r="E3683">
        <v>1</v>
      </c>
      <c r="F3683" t="s">
        <v>4210</v>
      </c>
    </row>
    <row r="3684" spans="1:6" x14ac:dyDescent="0.25">
      <c r="A3684" t="s">
        <v>4209</v>
      </c>
      <c r="B3684" t="s">
        <v>220</v>
      </c>
      <c r="C3684" t="s">
        <v>435</v>
      </c>
    </row>
    <row r="3685" spans="1:6" x14ac:dyDescent="0.25">
      <c r="A3685" t="s">
        <v>4209</v>
      </c>
      <c r="B3685" t="s">
        <v>542</v>
      </c>
      <c r="C3685" t="s">
        <v>543</v>
      </c>
    </row>
    <row r="3686" spans="1:6" x14ac:dyDescent="0.25">
      <c r="A3686" t="s">
        <v>4209</v>
      </c>
      <c r="B3686" t="s">
        <v>544</v>
      </c>
      <c r="C3686" t="s">
        <v>545</v>
      </c>
      <c r="D3686" t="str">
        <f>HYPERLINK("http://service.sap.com/sap/support/notes/1724853","1724853")</f>
        <v>1724853</v>
      </c>
      <c r="E3686">
        <v>2</v>
      </c>
      <c r="F3686" t="s">
        <v>4211</v>
      </c>
    </row>
    <row r="3687" spans="1:6" x14ac:dyDescent="0.25">
      <c r="A3687" t="s">
        <v>4209</v>
      </c>
      <c r="B3687" t="s">
        <v>21</v>
      </c>
      <c r="C3687" t="s">
        <v>12</v>
      </c>
    </row>
    <row r="3688" spans="1:6" x14ac:dyDescent="0.25">
      <c r="A3688" t="s">
        <v>4209</v>
      </c>
      <c r="B3688" t="s">
        <v>29</v>
      </c>
      <c r="C3688" t="s">
        <v>30</v>
      </c>
    </row>
    <row r="3689" spans="1:6" x14ac:dyDescent="0.25">
      <c r="A3689" t="s">
        <v>4209</v>
      </c>
      <c r="B3689" t="s">
        <v>674</v>
      </c>
      <c r="C3689" t="s">
        <v>92</v>
      </c>
      <c r="D3689" t="str">
        <f>HYPERLINK("http://service.sap.com/sap/support/notes/1695721","1695721")</f>
        <v>1695721</v>
      </c>
      <c r="E3689">
        <v>3</v>
      </c>
      <c r="F3689" t="s">
        <v>4212</v>
      </c>
    </row>
    <row r="3690" spans="1:6" x14ac:dyDescent="0.25">
      <c r="A3690" t="s">
        <v>4209</v>
      </c>
      <c r="B3690" t="s">
        <v>674</v>
      </c>
      <c r="C3690" t="s">
        <v>92</v>
      </c>
      <c r="D3690" t="str">
        <f>HYPERLINK("http://service.sap.com/sap/support/notes/1724129","1724129")</f>
        <v>1724129</v>
      </c>
      <c r="E3690">
        <v>1</v>
      </c>
      <c r="F3690" t="s">
        <v>4213</v>
      </c>
    </row>
    <row r="3691" spans="1:6" x14ac:dyDescent="0.25">
      <c r="A3691" t="s">
        <v>4209</v>
      </c>
      <c r="B3691" t="s">
        <v>35</v>
      </c>
      <c r="C3691" t="s">
        <v>36</v>
      </c>
      <c r="D3691" t="str">
        <f>HYPERLINK("http://service.sap.com/sap/support/notes/1727499","1727499")</f>
        <v>1727499</v>
      </c>
      <c r="E3691">
        <v>2</v>
      </c>
      <c r="F3691" t="s">
        <v>4214</v>
      </c>
    </row>
    <row r="3692" spans="1:6" x14ac:dyDescent="0.25">
      <c r="A3692" t="s">
        <v>4209</v>
      </c>
      <c r="B3692" t="s">
        <v>37</v>
      </c>
      <c r="C3692" t="s">
        <v>38</v>
      </c>
      <c r="D3692" t="str">
        <f>HYPERLINK("http://service.sap.com/sap/support/notes/1721891","1721891")</f>
        <v>1721891</v>
      </c>
      <c r="E3692">
        <v>1</v>
      </c>
      <c r="F3692" t="s">
        <v>4215</v>
      </c>
    </row>
    <row r="3693" spans="1:6" x14ac:dyDescent="0.25">
      <c r="A3693" t="s">
        <v>4209</v>
      </c>
      <c r="B3693" t="s">
        <v>37</v>
      </c>
      <c r="C3693" t="s">
        <v>38</v>
      </c>
      <c r="D3693" t="str">
        <f>HYPERLINK("http://service.sap.com/sap/support/notes/1723254","1723254")</f>
        <v>1723254</v>
      </c>
      <c r="E3693">
        <v>1</v>
      </c>
      <c r="F3693" t="s">
        <v>4216</v>
      </c>
    </row>
    <row r="3694" spans="1:6" x14ac:dyDescent="0.25">
      <c r="A3694" t="s">
        <v>4209</v>
      </c>
      <c r="B3694" t="s">
        <v>41</v>
      </c>
      <c r="C3694" t="s">
        <v>42</v>
      </c>
      <c r="D3694" t="str">
        <f>HYPERLINK("http://service.sap.com/sap/support/notes/700094","700094")</f>
        <v>700094</v>
      </c>
      <c r="E3694">
        <v>8</v>
      </c>
      <c r="F3694" t="s">
        <v>252</v>
      </c>
    </row>
    <row r="3695" spans="1:6" x14ac:dyDescent="0.25">
      <c r="A3695" t="s">
        <v>4209</v>
      </c>
      <c r="B3695" t="s">
        <v>43</v>
      </c>
      <c r="C3695" t="s">
        <v>44</v>
      </c>
      <c r="D3695" t="str">
        <f>HYPERLINK("http://service.sap.com/sap/support/notes/1642931","1642931")</f>
        <v>1642931</v>
      </c>
      <c r="E3695">
        <v>2</v>
      </c>
      <c r="F3695" t="s">
        <v>2837</v>
      </c>
    </row>
    <row r="3696" spans="1:6" x14ac:dyDescent="0.25">
      <c r="A3696" t="s">
        <v>4209</v>
      </c>
      <c r="B3696" t="s">
        <v>43</v>
      </c>
      <c r="C3696" t="s">
        <v>44</v>
      </c>
      <c r="D3696" t="str">
        <f>HYPERLINK("http://service.sap.com/sap/support/notes/1720845","1720845")</f>
        <v>1720845</v>
      </c>
      <c r="E3696">
        <v>5</v>
      </c>
      <c r="F3696" t="s">
        <v>4217</v>
      </c>
    </row>
    <row r="3697" spans="1:6" x14ac:dyDescent="0.25">
      <c r="A3697" t="s">
        <v>4209</v>
      </c>
      <c r="B3697" t="s">
        <v>51</v>
      </c>
      <c r="C3697" t="s">
        <v>52</v>
      </c>
      <c r="D3697" t="str">
        <f>HYPERLINK("http://service.sap.com/sap/support/notes/1717819","1717819")</f>
        <v>1717819</v>
      </c>
      <c r="E3697">
        <v>2</v>
      </c>
      <c r="F3697" t="s">
        <v>4218</v>
      </c>
    </row>
    <row r="3698" spans="1:6" x14ac:dyDescent="0.25">
      <c r="A3698" t="s">
        <v>4209</v>
      </c>
      <c r="B3698" t="s">
        <v>51</v>
      </c>
      <c r="C3698" t="s">
        <v>52</v>
      </c>
      <c r="D3698" t="str">
        <f>HYPERLINK("http://service.sap.com/sap/support/notes/1717867","1717867")</f>
        <v>1717867</v>
      </c>
      <c r="E3698">
        <v>1</v>
      </c>
      <c r="F3698" t="s">
        <v>4219</v>
      </c>
    </row>
    <row r="3699" spans="1:6" x14ac:dyDescent="0.25">
      <c r="A3699" t="s">
        <v>4209</v>
      </c>
      <c r="B3699" t="s">
        <v>51</v>
      </c>
      <c r="C3699" t="s">
        <v>52</v>
      </c>
      <c r="D3699" t="str">
        <f>HYPERLINK("http://service.sap.com/sap/support/notes/1727817","1727817")</f>
        <v>1727817</v>
      </c>
      <c r="E3699">
        <v>2</v>
      </c>
      <c r="F3699" t="s">
        <v>4220</v>
      </c>
    </row>
    <row r="3700" spans="1:6" x14ac:dyDescent="0.25">
      <c r="A3700" t="s">
        <v>4209</v>
      </c>
      <c r="B3700" t="s">
        <v>53</v>
      </c>
      <c r="C3700" t="s">
        <v>54</v>
      </c>
      <c r="D3700" t="str">
        <f>HYPERLINK("http://service.sap.com/sap/support/notes/1721963","1721963")</f>
        <v>1721963</v>
      </c>
      <c r="E3700">
        <v>2</v>
      </c>
      <c r="F3700" t="s">
        <v>4221</v>
      </c>
    </row>
    <row r="3701" spans="1:6" x14ac:dyDescent="0.25">
      <c r="A3701" t="s">
        <v>4209</v>
      </c>
      <c r="B3701" t="s">
        <v>53</v>
      </c>
      <c r="C3701" t="s">
        <v>54</v>
      </c>
      <c r="D3701" t="str">
        <f>HYPERLINK("http://service.sap.com/sap/support/notes/1723008","1723008")</f>
        <v>1723008</v>
      </c>
      <c r="E3701">
        <v>2</v>
      </c>
      <c r="F3701" t="s">
        <v>4222</v>
      </c>
    </row>
    <row r="3702" spans="1:6" x14ac:dyDescent="0.25">
      <c r="A3702" t="s">
        <v>4209</v>
      </c>
      <c r="B3702" t="s">
        <v>839</v>
      </c>
      <c r="C3702" t="s">
        <v>160</v>
      </c>
      <c r="D3702" t="str">
        <f>HYPERLINK("http://service.sap.com/sap/support/notes/1723428","1723428")</f>
        <v>1723428</v>
      </c>
      <c r="E3702">
        <v>3</v>
      </c>
      <c r="F3702" t="s">
        <v>4223</v>
      </c>
    </row>
    <row r="3703" spans="1:6" x14ac:dyDescent="0.25">
      <c r="A3703" t="s">
        <v>4209</v>
      </c>
      <c r="B3703" t="s">
        <v>256</v>
      </c>
      <c r="C3703" t="s">
        <v>165</v>
      </c>
      <c r="D3703" t="str">
        <f>HYPERLINK("http://service.sap.com/sap/support/notes/1693184","1693184")</f>
        <v>1693184</v>
      </c>
      <c r="E3703">
        <v>1</v>
      </c>
      <c r="F3703" t="s">
        <v>3678</v>
      </c>
    </row>
    <row r="3704" spans="1:6" x14ac:dyDescent="0.25">
      <c r="A3704" t="s">
        <v>4209</v>
      </c>
      <c r="B3704" t="s">
        <v>256</v>
      </c>
      <c r="C3704" t="s">
        <v>165</v>
      </c>
      <c r="D3704" t="str">
        <f>HYPERLINK("http://service.sap.com/sap/support/notes/1718665","1718665")</f>
        <v>1718665</v>
      </c>
      <c r="E3704">
        <v>1</v>
      </c>
      <c r="F3704" t="s">
        <v>4224</v>
      </c>
    </row>
    <row r="3705" spans="1:6" x14ac:dyDescent="0.25">
      <c r="A3705" t="s">
        <v>4209</v>
      </c>
      <c r="B3705" t="s">
        <v>256</v>
      </c>
      <c r="C3705" t="s">
        <v>165</v>
      </c>
      <c r="D3705" t="str">
        <f>HYPERLINK("http://service.sap.com/sap/support/notes/1726489","1726489")</f>
        <v>1726489</v>
      </c>
      <c r="E3705">
        <v>1</v>
      </c>
      <c r="F3705" t="s">
        <v>4225</v>
      </c>
    </row>
    <row r="3706" spans="1:6" x14ac:dyDescent="0.25">
      <c r="A3706" t="s">
        <v>4209</v>
      </c>
      <c r="B3706" t="s">
        <v>256</v>
      </c>
      <c r="C3706" t="s">
        <v>165</v>
      </c>
      <c r="D3706" t="str">
        <f>HYPERLINK("http://service.sap.com/sap/support/notes/1728577","1728577")</f>
        <v>1728577</v>
      </c>
      <c r="E3706">
        <v>1</v>
      </c>
      <c r="F3706" t="s">
        <v>4226</v>
      </c>
    </row>
    <row r="3707" spans="1:6" x14ac:dyDescent="0.25">
      <c r="A3707" t="s">
        <v>4209</v>
      </c>
      <c r="B3707" t="s">
        <v>3252</v>
      </c>
      <c r="C3707" t="s">
        <v>3253</v>
      </c>
      <c r="D3707" t="str">
        <f>HYPERLINK("http://service.sap.com/sap/support/notes/1699757","1699757")</f>
        <v>1699757</v>
      </c>
      <c r="E3707">
        <v>1</v>
      </c>
      <c r="F3707" t="s">
        <v>3254</v>
      </c>
    </row>
    <row r="3708" spans="1:6" x14ac:dyDescent="0.25">
      <c r="A3708" t="s">
        <v>4209</v>
      </c>
      <c r="B3708" t="s">
        <v>57</v>
      </c>
      <c r="C3708" t="s">
        <v>58</v>
      </c>
      <c r="D3708" t="str">
        <f>HYPERLINK("http://service.sap.com/sap/support/notes/1699471","1699471")</f>
        <v>1699471</v>
      </c>
      <c r="E3708">
        <v>2</v>
      </c>
      <c r="F3708" t="s">
        <v>4227</v>
      </c>
    </row>
    <row r="3709" spans="1:6" x14ac:dyDescent="0.25">
      <c r="A3709" t="s">
        <v>4209</v>
      </c>
      <c r="B3709" t="s">
        <v>57</v>
      </c>
      <c r="C3709" t="s">
        <v>58</v>
      </c>
      <c r="D3709" t="str">
        <f>HYPERLINK("http://service.sap.com/sap/support/notes/1701518","1701518")</f>
        <v>1701518</v>
      </c>
      <c r="E3709">
        <v>4</v>
      </c>
      <c r="F3709" t="s">
        <v>4228</v>
      </c>
    </row>
    <row r="3710" spans="1:6" x14ac:dyDescent="0.25">
      <c r="A3710" t="s">
        <v>4209</v>
      </c>
      <c r="B3710" t="s">
        <v>57</v>
      </c>
      <c r="C3710" t="s">
        <v>58</v>
      </c>
      <c r="D3710" t="str">
        <f>HYPERLINK("http://service.sap.com/sap/support/notes/1712470","1712470")</f>
        <v>1712470</v>
      </c>
      <c r="E3710">
        <v>3</v>
      </c>
      <c r="F3710" t="s">
        <v>3686</v>
      </c>
    </row>
    <row r="3711" spans="1:6" x14ac:dyDescent="0.25">
      <c r="A3711" t="s">
        <v>4209</v>
      </c>
      <c r="B3711" t="s">
        <v>57</v>
      </c>
      <c r="C3711" t="s">
        <v>58</v>
      </c>
      <c r="D3711" t="str">
        <f>HYPERLINK("http://service.sap.com/sap/support/notes/1719581","1719581")</f>
        <v>1719581</v>
      </c>
      <c r="E3711">
        <v>5</v>
      </c>
      <c r="F3711" t="s">
        <v>4229</v>
      </c>
    </row>
    <row r="3712" spans="1:6" x14ac:dyDescent="0.25">
      <c r="A3712" t="s">
        <v>4209</v>
      </c>
      <c r="B3712" t="s">
        <v>57</v>
      </c>
      <c r="C3712" t="s">
        <v>58</v>
      </c>
      <c r="D3712" t="str">
        <f>HYPERLINK("http://service.sap.com/sap/support/notes/1720841","1720841")</f>
        <v>1720841</v>
      </c>
      <c r="E3712">
        <v>3</v>
      </c>
      <c r="F3712" t="s">
        <v>4230</v>
      </c>
    </row>
    <row r="3713" spans="1:6" x14ac:dyDescent="0.25">
      <c r="A3713" t="s">
        <v>4209</v>
      </c>
      <c r="B3713" t="s">
        <v>57</v>
      </c>
      <c r="C3713" t="s">
        <v>58</v>
      </c>
      <c r="D3713" t="str">
        <f>HYPERLINK("http://service.sap.com/sap/support/notes/1721138","1721138")</f>
        <v>1721138</v>
      </c>
      <c r="E3713">
        <v>2</v>
      </c>
      <c r="F3713" t="s">
        <v>4231</v>
      </c>
    </row>
    <row r="3714" spans="1:6" x14ac:dyDescent="0.25">
      <c r="A3714" t="s">
        <v>4209</v>
      </c>
      <c r="B3714" t="s">
        <v>57</v>
      </c>
      <c r="C3714" t="s">
        <v>58</v>
      </c>
      <c r="D3714" t="str">
        <f>HYPERLINK("http://service.sap.com/sap/support/notes/1723824","1723824")</f>
        <v>1723824</v>
      </c>
      <c r="E3714">
        <v>2</v>
      </c>
      <c r="F3714" t="s">
        <v>4232</v>
      </c>
    </row>
    <row r="3715" spans="1:6" x14ac:dyDescent="0.25">
      <c r="A3715" t="s">
        <v>4209</v>
      </c>
      <c r="B3715" t="s">
        <v>57</v>
      </c>
      <c r="C3715" t="s">
        <v>58</v>
      </c>
      <c r="D3715" t="str">
        <f>HYPERLINK("http://service.sap.com/sap/support/notes/1725626","1725626")</f>
        <v>1725626</v>
      </c>
      <c r="E3715">
        <v>1</v>
      </c>
      <c r="F3715" t="s">
        <v>4233</v>
      </c>
    </row>
    <row r="3716" spans="1:6" x14ac:dyDescent="0.25">
      <c r="A3716" t="s">
        <v>4209</v>
      </c>
      <c r="B3716" t="s">
        <v>59</v>
      </c>
      <c r="C3716" t="s">
        <v>60</v>
      </c>
      <c r="D3716" t="str">
        <f>HYPERLINK("http://service.sap.com/sap/support/notes/1722643","1722643")</f>
        <v>1722643</v>
      </c>
      <c r="E3716">
        <v>1</v>
      </c>
      <c r="F3716" t="s">
        <v>4234</v>
      </c>
    </row>
    <row r="3717" spans="1:6" x14ac:dyDescent="0.25">
      <c r="A3717" t="s">
        <v>4209</v>
      </c>
      <c r="B3717" t="s">
        <v>61</v>
      </c>
      <c r="C3717" t="s">
        <v>62</v>
      </c>
    </row>
    <row r="3718" spans="1:6" x14ac:dyDescent="0.25">
      <c r="A3718" t="s">
        <v>4209</v>
      </c>
      <c r="B3718" t="s">
        <v>63</v>
      </c>
      <c r="C3718" t="s">
        <v>64</v>
      </c>
      <c r="D3718" t="str">
        <f>HYPERLINK("http://service.sap.com/sap/support/notes/1650584","1650584")</f>
        <v>1650584</v>
      </c>
      <c r="E3718">
        <v>3</v>
      </c>
      <c r="F3718" t="s">
        <v>4235</v>
      </c>
    </row>
    <row r="3719" spans="1:6" x14ac:dyDescent="0.25">
      <c r="A3719" t="s">
        <v>4209</v>
      </c>
      <c r="B3719" t="s">
        <v>261</v>
      </c>
      <c r="C3719" t="s">
        <v>262</v>
      </c>
      <c r="D3719" t="str">
        <f>HYPERLINK("http://service.sap.com/sap/support/notes/1659364","1659364")</f>
        <v>1659364</v>
      </c>
      <c r="E3719">
        <v>1</v>
      </c>
      <c r="F3719" t="s">
        <v>3697</v>
      </c>
    </row>
    <row r="3720" spans="1:6" x14ac:dyDescent="0.25">
      <c r="A3720" t="s">
        <v>4209</v>
      </c>
      <c r="B3720" t="s">
        <v>72</v>
      </c>
      <c r="C3720" t="s">
        <v>73</v>
      </c>
    </row>
    <row r="3721" spans="1:6" x14ac:dyDescent="0.25">
      <c r="A3721" t="s">
        <v>4209</v>
      </c>
      <c r="B3721" t="s">
        <v>281</v>
      </c>
      <c r="C3721" t="s">
        <v>368</v>
      </c>
    </row>
    <row r="3722" spans="1:6" x14ac:dyDescent="0.25">
      <c r="A3722" t="s">
        <v>4209</v>
      </c>
      <c r="B3722" t="s">
        <v>282</v>
      </c>
      <c r="C3722" t="s">
        <v>369</v>
      </c>
      <c r="D3722" t="str">
        <f>HYPERLINK("http://service.sap.com/sap/support/notes/1518741","1518741")</f>
        <v>1518741</v>
      </c>
      <c r="E3722">
        <v>7</v>
      </c>
      <c r="F3722" t="s">
        <v>4236</v>
      </c>
    </row>
    <row r="3723" spans="1:6" x14ac:dyDescent="0.25">
      <c r="A3723" t="s">
        <v>4209</v>
      </c>
      <c r="B3723" t="s">
        <v>284</v>
      </c>
      <c r="C3723" t="s">
        <v>393</v>
      </c>
    </row>
    <row r="3724" spans="1:6" x14ac:dyDescent="0.25">
      <c r="A3724" t="s">
        <v>4209</v>
      </c>
      <c r="B3724" t="s">
        <v>301</v>
      </c>
      <c r="C3724" t="s">
        <v>302</v>
      </c>
      <c r="D3724" t="str">
        <f>HYPERLINK("http://service.sap.com/sap/support/notes/1725684","1725684")</f>
        <v>1725684</v>
      </c>
      <c r="E3724">
        <v>3</v>
      </c>
      <c r="F3724" t="s">
        <v>4237</v>
      </c>
    </row>
    <row r="3725" spans="1:6" x14ac:dyDescent="0.25">
      <c r="A3725" t="s">
        <v>4209</v>
      </c>
      <c r="B3725" t="s">
        <v>76</v>
      </c>
      <c r="C3725" t="s">
        <v>77</v>
      </c>
    </row>
    <row r="3726" spans="1:6" x14ac:dyDescent="0.25">
      <c r="A3726" t="s">
        <v>4209</v>
      </c>
      <c r="B3726" t="s">
        <v>78</v>
      </c>
      <c r="C3726" t="s">
        <v>79</v>
      </c>
      <c r="D3726" t="str">
        <f>HYPERLINK("http://service.sap.com/sap/support/notes/1722252","1722252")</f>
        <v>1722252</v>
      </c>
      <c r="E3726">
        <v>1</v>
      </c>
      <c r="F3726" t="s">
        <v>4238</v>
      </c>
    </row>
    <row r="3727" spans="1:6" x14ac:dyDescent="0.25">
      <c r="A3727" t="s">
        <v>4209</v>
      </c>
      <c r="B3727" t="s">
        <v>78</v>
      </c>
      <c r="C3727" t="s">
        <v>79</v>
      </c>
      <c r="D3727" t="str">
        <f>HYPERLINK("http://service.sap.com/sap/support/notes/1722343","1722343")</f>
        <v>1722343</v>
      </c>
      <c r="E3727">
        <v>1</v>
      </c>
      <c r="F3727" t="s">
        <v>4239</v>
      </c>
    </row>
    <row r="3728" spans="1:6" x14ac:dyDescent="0.25">
      <c r="A3728" t="s">
        <v>4209</v>
      </c>
      <c r="B3728" t="s">
        <v>78</v>
      </c>
      <c r="C3728" t="s">
        <v>79</v>
      </c>
      <c r="D3728" t="str">
        <f>HYPERLINK("http://service.sap.com/sap/support/notes/1728625","1728625")</f>
        <v>1728625</v>
      </c>
      <c r="E3728">
        <v>2</v>
      </c>
      <c r="F3728" t="s">
        <v>4240</v>
      </c>
    </row>
    <row r="3729" spans="1:6" x14ac:dyDescent="0.25">
      <c r="A3729" t="s">
        <v>4209</v>
      </c>
      <c r="B3729" t="s">
        <v>80</v>
      </c>
      <c r="C3729" t="s">
        <v>32</v>
      </c>
      <c r="D3729" t="str">
        <f>HYPERLINK("http://service.sap.com/sap/support/notes/1638287","1638287")</f>
        <v>1638287</v>
      </c>
      <c r="E3729">
        <v>2</v>
      </c>
      <c r="F3729" t="s">
        <v>4241</v>
      </c>
    </row>
    <row r="3730" spans="1:6" x14ac:dyDescent="0.25">
      <c r="A3730" t="s">
        <v>4209</v>
      </c>
      <c r="B3730" t="s">
        <v>80</v>
      </c>
      <c r="C3730" t="s">
        <v>32</v>
      </c>
      <c r="D3730" t="str">
        <f>HYPERLINK("http://service.sap.com/sap/support/notes/1693533","1693533")</f>
        <v>1693533</v>
      </c>
      <c r="E3730">
        <v>3</v>
      </c>
      <c r="F3730" t="s">
        <v>4242</v>
      </c>
    </row>
    <row r="3731" spans="1:6" x14ac:dyDescent="0.25">
      <c r="A3731" t="s">
        <v>4209</v>
      </c>
      <c r="B3731" t="s">
        <v>80</v>
      </c>
      <c r="C3731" t="s">
        <v>32</v>
      </c>
      <c r="D3731" t="str">
        <f>HYPERLINK("http://service.sap.com/sap/support/notes/1694748","1694748")</f>
        <v>1694748</v>
      </c>
      <c r="E3731">
        <v>2</v>
      </c>
      <c r="F3731" t="s">
        <v>4243</v>
      </c>
    </row>
    <row r="3732" spans="1:6" x14ac:dyDescent="0.25">
      <c r="A3732" t="s">
        <v>4209</v>
      </c>
      <c r="B3732" t="s">
        <v>80</v>
      </c>
      <c r="C3732" t="s">
        <v>32</v>
      </c>
      <c r="D3732" t="str">
        <f>HYPERLINK("http://service.sap.com/sap/support/notes/1706331","1706331")</f>
        <v>1706331</v>
      </c>
      <c r="E3732">
        <v>4</v>
      </c>
      <c r="F3732" t="s">
        <v>4244</v>
      </c>
    </row>
    <row r="3733" spans="1:6" x14ac:dyDescent="0.25">
      <c r="A3733" t="s">
        <v>4209</v>
      </c>
      <c r="B3733" t="s">
        <v>83</v>
      </c>
      <c r="C3733" t="s">
        <v>84</v>
      </c>
      <c r="D3733" t="str">
        <f>HYPERLINK("http://service.sap.com/sap/support/notes/1438685","1438685")</f>
        <v>1438685</v>
      </c>
      <c r="E3733">
        <v>4</v>
      </c>
      <c r="F3733" t="s">
        <v>4245</v>
      </c>
    </row>
    <row r="3734" spans="1:6" x14ac:dyDescent="0.25">
      <c r="A3734" t="s">
        <v>4209</v>
      </c>
      <c r="B3734" t="s">
        <v>83</v>
      </c>
      <c r="C3734" t="s">
        <v>84</v>
      </c>
      <c r="D3734" t="str">
        <f>HYPERLINK("http://service.sap.com/sap/support/notes/1704090","1704090")</f>
        <v>1704090</v>
      </c>
      <c r="E3734">
        <v>1</v>
      </c>
      <c r="F3734" t="s">
        <v>4246</v>
      </c>
    </row>
    <row r="3735" spans="1:6" x14ac:dyDescent="0.25">
      <c r="A3735" t="s">
        <v>4209</v>
      </c>
      <c r="B3735" t="s">
        <v>83</v>
      </c>
      <c r="C3735" t="s">
        <v>84</v>
      </c>
      <c r="D3735" t="str">
        <f>HYPERLINK("http://service.sap.com/sap/support/notes/1708738","1708738")</f>
        <v>1708738</v>
      </c>
      <c r="E3735">
        <v>2</v>
      </c>
      <c r="F3735" t="s">
        <v>3839</v>
      </c>
    </row>
    <row r="3736" spans="1:6" x14ac:dyDescent="0.25">
      <c r="A3736" t="s">
        <v>4209</v>
      </c>
      <c r="B3736" t="s">
        <v>83</v>
      </c>
      <c r="C3736" t="s">
        <v>84</v>
      </c>
      <c r="D3736" t="str">
        <f>HYPERLINK("http://service.sap.com/sap/support/notes/1719596","1719596")</f>
        <v>1719596</v>
      </c>
      <c r="E3736">
        <v>3</v>
      </c>
      <c r="F3736" t="s">
        <v>3850</v>
      </c>
    </row>
    <row r="3737" spans="1:6" x14ac:dyDescent="0.25">
      <c r="A3737" t="s">
        <v>4209</v>
      </c>
      <c r="B3737" t="s">
        <v>83</v>
      </c>
      <c r="C3737" t="s">
        <v>84</v>
      </c>
      <c r="D3737" t="str">
        <f>HYPERLINK("http://service.sap.com/sap/support/notes/1720117","1720117")</f>
        <v>1720117</v>
      </c>
      <c r="E3737">
        <v>3</v>
      </c>
      <c r="F3737" t="s">
        <v>4247</v>
      </c>
    </row>
    <row r="3738" spans="1:6" x14ac:dyDescent="0.25">
      <c r="A3738" t="s">
        <v>4209</v>
      </c>
      <c r="B3738" t="s">
        <v>83</v>
      </c>
      <c r="C3738" t="s">
        <v>84</v>
      </c>
      <c r="D3738" t="str">
        <f>HYPERLINK("http://service.sap.com/sap/support/notes/1720745","1720745")</f>
        <v>1720745</v>
      </c>
      <c r="E3738">
        <v>2</v>
      </c>
      <c r="F3738" t="s">
        <v>4248</v>
      </c>
    </row>
    <row r="3739" spans="1:6" x14ac:dyDescent="0.25">
      <c r="A3739" t="s">
        <v>4209</v>
      </c>
      <c r="B3739" t="s">
        <v>83</v>
      </c>
      <c r="C3739" t="s">
        <v>84</v>
      </c>
      <c r="D3739" t="str">
        <f>HYPERLINK("http://service.sap.com/sap/support/notes/1720783","1720783")</f>
        <v>1720783</v>
      </c>
      <c r="E3739">
        <v>1</v>
      </c>
      <c r="F3739" t="s">
        <v>4249</v>
      </c>
    </row>
    <row r="3740" spans="1:6" x14ac:dyDescent="0.25">
      <c r="A3740" t="s">
        <v>4209</v>
      </c>
      <c r="B3740" t="s">
        <v>83</v>
      </c>
      <c r="C3740" t="s">
        <v>84</v>
      </c>
      <c r="D3740" t="str">
        <f>HYPERLINK("http://service.sap.com/sap/support/notes/1720834","1720834")</f>
        <v>1720834</v>
      </c>
      <c r="E3740">
        <v>1</v>
      </c>
      <c r="F3740" t="s">
        <v>4250</v>
      </c>
    </row>
    <row r="3741" spans="1:6" x14ac:dyDescent="0.25">
      <c r="A3741" t="s">
        <v>4209</v>
      </c>
      <c r="B3741" t="s">
        <v>83</v>
      </c>
      <c r="C3741" t="s">
        <v>84</v>
      </c>
      <c r="D3741" t="str">
        <f>HYPERLINK("http://service.sap.com/sap/support/notes/1720837","1720837")</f>
        <v>1720837</v>
      </c>
      <c r="E3741">
        <v>1</v>
      </c>
      <c r="F3741" t="s">
        <v>4251</v>
      </c>
    </row>
    <row r="3742" spans="1:6" x14ac:dyDescent="0.25">
      <c r="A3742" t="s">
        <v>4209</v>
      </c>
      <c r="B3742" t="s">
        <v>83</v>
      </c>
      <c r="C3742" t="s">
        <v>84</v>
      </c>
      <c r="D3742" t="str">
        <f>HYPERLINK("http://service.sap.com/sap/support/notes/1721146","1721146")</f>
        <v>1721146</v>
      </c>
      <c r="E3742">
        <v>1</v>
      </c>
      <c r="F3742" t="s">
        <v>4252</v>
      </c>
    </row>
    <row r="3743" spans="1:6" x14ac:dyDescent="0.25">
      <c r="A3743" t="s">
        <v>4209</v>
      </c>
      <c r="B3743" t="s">
        <v>83</v>
      </c>
      <c r="C3743" t="s">
        <v>84</v>
      </c>
      <c r="D3743" t="str">
        <f>HYPERLINK("http://service.sap.com/sap/support/notes/1721534","1721534")</f>
        <v>1721534</v>
      </c>
      <c r="E3743">
        <v>1</v>
      </c>
      <c r="F3743" t="s">
        <v>4253</v>
      </c>
    </row>
    <row r="3744" spans="1:6" x14ac:dyDescent="0.25">
      <c r="A3744" t="s">
        <v>4209</v>
      </c>
      <c r="B3744" t="s">
        <v>83</v>
      </c>
      <c r="C3744" t="s">
        <v>84</v>
      </c>
      <c r="D3744" t="str">
        <f>HYPERLINK("http://service.sap.com/sap/support/notes/1721879","1721879")</f>
        <v>1721879</v>
      </c>
      <c r="E3744">
        <v>1</v>
      </c>
      <c r="F3744" t="s">
        <v>4254</v>
      </c>
    </row>
    <row r="3745" spans="1:6" x14ac:dyDescent="0.25">
      <c r="A3745" t="s">
        <v>4209</v>
      </c>
      <c r="B3745" t="s">
        <v>83</v>
      </c>
      <c r="C3745" t="s">
        <v>84</v>
      </c>
      <c r="D3745" t="str">
        <f>HYPERLINK("http://service.sap.com/sap/support/notes/1722518","1722518")</f>
        <v>1722518</v>
      </c>
      <c r="E3745">
        <v>1</v>
      </c>
      <c r="F3745" t="s">
        <v>4255</v>
      </c>
    </row>
    <row r="3746" spans="1:6" x14ac:dyDescent="0.25">
      <c r="A3746" t="s">
        <v>4209</v>
      </c>
      <c r="B3746" t="s">
        <v>83</v>
      </c>
      <c r="C3746" t="s">
        <v>84</v>
      </c>
      <c r="D3746" t="str">
        <f>HYPERLINK("http://service.sap.com/sap/support/notes/1723451","1723451")</f>
        <v>1723451</v>
      </c>
      <c r="E3746">
        <v>4</v>
      </c>
      <c r="F3746" t="s">
        <v>4256</v>
      </c>
    </row>
    <row r="3747" spans="1:6" x14ac:dyDescent="0.25">
      <c r="A3747" t="s">
        <v>4209</v>
      </c>
      <c r="B3747" t="s">
        <v>83</v>
      </c>
      <c r="C3747" t="s">
        <v>84</v>
      </c>
      <c r="D3747" t="str">
        <f>HYPERLINK("http://service.sap.com/sap/support/notes/1723804","1723804")</f>
        <v>1723804</v>
      </c>
      <c r="E3747">
        <v>1</v>
      </c>
      <c r="F3747" t="s">
        <v>4257</v>
      </c>
    </row>
    <row r="3748" spans="1:6" x14ac:dyDescent="0.25">
      <c r="A3748" t="s">
        <v>4209</v>
      </c>
      <c r="B3748" t="s">
        <v>83</v>
      </c>
      <c r="C3748" t="s">
        <v>84</v>
      </c>
      <c r="D3748" t="str">
        <f>HYPERLINK("http://service.sap.com/sap/support/notes/1724674","1724674")</f>
        <v>1724674</v>
      </c>
      <c r="E3748">
        <v>1</v>
      </c>
      <c r="F3748" t="s">
        <v>4258</v>
      </c>
    </row>
    <row r="3749" spans="1:6" x14ac:dyDescent="0.25">
      <c r="A3749" t="s">
        <v>4209</v>
      </c>
      <c r="B3749" t="s">
        <v>83</v>
      </c>
      <c r="C3749" t="s">
        <v>84</v>
      </c>
      <c r="D3749" t="str">
        <f>HYPERLINK("http://service.sap.com/sap/support/notes/1724996","1724996")</f>
        <v>1724996</v>
      </c>
      <c r="E3749">
        <v>4</v>
      </c>
      <c r="F3749" t="s">
        <v>4259</v>
      </c>
    </row>
    <row r="3750" spans="1:6" x14ac:dyDescent="0.25">
      <c r="A3750" t="s">
        <v>4209</v>
      </c>
      <c r="B3750" t="s">
        <v>83</v>
      </c>
      <c r="C3750" t="s">
        <v>84</v>
      </c>
      <c r="D3750" t="str">
        <f>HYPERLINK("http://service.sap.com/sap/support/notes/1727512","1727512")</f>
        <v>1727512</v>
      </c>
      <c r="E3750">
        <v>2</v>
      </c>
      <c r="F3750" t="s">
        <v>4260</v>
      </c>
    </row>
    <row r="3751" spans="1:6" x14ac:dyDescent="0.25">
      <c r="A3751" t="s">
        <v>4209</v>
      </c>
      <c r="B3751" t="s">
        <v>83</v>
      </c>
      <c r="C3751" t="s">
        <v>84</v>
      </c>
      <c r="D3751" t="str">
        <f>HYPERLINK("http://service.sap.com/sap/support/notes/1727801","1727801")</f>
        <v>1727801</v>
      </c>
      <c r="E3751">
        <v>1</v>
      </c>
      <c r="F3751" t="s">
        <v>4261</v>
      </c>
    </row>
    <row r="3752" spans="1:6" x14ac:dyDescent="0.25">
      <c r="A3752" t="s">
        <v>4209</v>
      </c>
      <c r="B3752" t="s">
        <v>83</v>
      </c>
      <c r="C3752" t="s">
        <v>84</v>
      </c>
      <c r="D3752" t="str">
        <f>HYPERLINK("http://service.sap.com/sap/support/notes/1728264","1728264")</f>
        <v>1728264</v>
      </c>
      <c r="E3752">
        <v>1</v>
      </c>
      <c r="F3752" t="s">
        <v>4262</v>
      </c>
    </row>
    <row r="3753" spans="1:6" x14ac:dyDescent="0.25">
      <c r="A3753" t="s">
        <v>4209</v>
      </c>
      <c r="B3753" t="s">
        <v>86</v>
      </c>
      <c r="C3753" t="s">
        <v>87</v>
      </c>
      <c r="D3753" t="str">
        <f>HYPERLINK("http://service.sap.com/sap/support/notes/1724904","1724904")</f>
        <v>1724904</v>
      </c>
      <c r="E3753">
        <v>1</v>
      </c>
      <c r="F3753" t="s">
        <v>4263</v>
      </c>
    </row>
    <row r="3754" spans="1:6" x14ac:dyDescent="0.25">
      <c r="A3754" t="s">
        <v>4209</v>
      </c>
      <c r="B3754" t="s">
        <v>88</v>
      </c>
      <c r="C3754" t="s">
        <v>82</v>
      </c>
      <c r="D3754" t="str">
        <f>HYPERLINK("http://service.sap.com/sap/support/notes/1718261","1718261")</f>
        <v>1718261</v>
      </c>
      <c r="E3754">
        <v>1</v>
      </c>
      <c r="F3754" t="s">
        <v>4264</v>
      </c>
    </row>
    <row r="3755" spans="1:6" x14ac:dyDescent="0.25">
      <c r="A3755" t="s">
        <v>4209</v>
      </c>
      <c r="B3755" t="s">
        <v>89</v>
      </c>
      <c r="C3755" t="s">
        <v>34</v>
      </c>
      <c r="D3755" t="str">
        <f>HYPERLINK("http://service.sap.com/sap/support/notes/1564322","1564322")</f>
        <v>1564322</v>
      </c>
      <c r="E3755">
        <v>1</v>
      </c>
      <c r="F3755" t="s">
        <v>4265</v>
      </c>
    </row>
    <row r="3756" spans="1:6" x14ac:dyDescent="0.25">
      <c r="A3756" t="s">
        <v>4209</v>
      </c>
      <c r="B3756" t="s">
        <v>89</v>
      </c>
      <c r="C3756" t="s">
        <v>34</v>
      </c>
      <c r="D3756" t="str">
        <f>HYPERLINK("http://service.sap.com/sap/support/notes/1691305","1691305")</f>
        <v>1691305</v>
      </c>
      <c r="E3756">
        <v>4</v>
      </c>
      <c r="F3756" t="s">
        <v>4266</v>
      </c>
    </row>
    <row r="3757" spans="1:6" x14ac:dyDescent="0.25">
      <c r="A3757" t="s">
        <v>4209</v>
      </c>
      <c r="B3757" t="s">
        <v>89</v>
      </c>
      <c r="C3757" t="s">
        <v>34</v>
      </c>
      <c r="D3757" t="str">
        <f>HYPERLINK("http://service.sap.com/sap/support/notes/1703437","1703437")</f>
        <v>1703437</v>
      </c>
      <c r="E3757">
        <v>6</v>
      </c>
      <c r="F3757" t="s">
        <v>4267</v>
      </c>
    </row>
    <row r="3758" spans="1:6" x14ac:dyDescent="0.25">
      <c r="A3758" t="s">
        <v>4209</v>
      </c>
      <c r="B3758" t="s">
        <v>89</v>
      </c>
      <c r="C3758" t="s">
        <v>34</v>
      </c>
      <c r="D3758" t="str">
        <f>HYPERLINK("http://service.sap.com/sap/support/notes/1704197","1704197")</f>
        <v>1704197</v>
      </c>
      <c r="E3758">
        <v>1</v>
      </c>
      <c r="F3758" t="s">
        <v>4268</v>
      </c>
    </row>
    <row r="3759" spans="1:6" x14ac:dyDescent="0.25">
      <c r="A3759" t="s">
        <v>4209</v>
      </c>
      <c r="B3759" t="s">
        <v>89</v>
      </c>
      <c r="C3759" t="s">
        <v>34</v>
      </c>
      <c r="D3759" t="str">
        <f>HYPERLINK("http://service.sap.com/sap/support/notes/1704377","1704377")</f>
        <v>1704377</v>
      </c>
      <c r="E3759">
        <v>2</v>
      </c>
      <c r="F3759" t="s">
        <v>4269</v>
      </c>
    </row>
    <row r="3760" spans="1:6" x14ac:dyDescent="0.25">
      <c r="A3760" t="s">
        <v>4209</v>
      </c>
      <c r="B3760" t="s">
        <v>89</v>
      </c>
      <c r="C3760" t="s">
        <v>34</v>
      </c>
      <c r="D3760" t="str">
        <f>HYPERLINK("http://service.sap.com/sap/support/notes/1715918","1715918")</f>
        <v>1715918</v>
      </c>
      <c r="E3760">
        <v>2</v>
      </c>
      <c r="F3760" t="s">
        <v>4270</v>
      </c>
    </row>
    <row r="3761" spans="1:6" x14ac:dyDescent="0.25">
      <c r="A3761" t="s">
        <v>4209</v>
      </c>
      <c r="B3761" t="s">
        <v>89</v>
      </c>
      <c r="C3761" t="s">
        <v>34</v>
      </c>
      <c r="D3761" t="str">
        <f>HYPERLINK("http://service.sap.com/sap/support/notes/1718822","1718822")</f>
        <v>1718822</v>
      </c>
      <c r="E3761">
        <v>2</v>
      </c>
      <c r="F3761" t="s">
        <v>4271</v>
      </c>
    </row>
    <row r="3762" spans="1:6" x14ac:dyDescent="0.25">
      <c r="A3762" t="s">
        <v>4209</v>
      </c>
      <c r="B3762" t="s">
        <v>89</v>
      </c>
      <c r="C3762" t="s">
        <v>34</v>
      </c>
      <c r="D3762" t="str">
        <f>HYPERLINK("http://service.sap.com/sap/support/notes/1719278","1719278")</f>
        <v>1719278</v>
      </c>
      <c r="E3762">
        <v>2</v>
      </c>
      <c r="F3762" t="s">
        <v>4272</v>
      </c>
    </row>
    <row r="3763" spans="1:6" x14ac:dyDescent="0.25">
      <c r="A3763" t="s">
        <v>4209</v>
      </c>
      <c r="B3763" t="s">
        <v>89</v>
      </c>
      <c r="C3763" t="s">
        <v>34</v>
      </c>
      <c r="D3763" t="str">
        <f>HYPERLINK("http://service.sap.com/sap/support/notes/1719281","1719281")</f>
        <v>1719281</v>
      </c>
      <c r="E3763">
        <v>2</v>
      </c>
      <c r="F3763" t="s">
        <v>4273</v>
      </c>
    </row>
    <row r="3764" spans="1:6" x14ac:dyDescent="0.25">
      <c r="A3764" t="s">
        <v>4209</v>
      </c>
      <c r="B3764" t="s">
        <v>89</v>
      </c>
      <c r="C3764" t="s">
        <v>34</v>
      </c>
      <c r="D3764" t="str">
        <f>HYPERLINK("http://service.sap.com/sap/support/notes/1719283","1719283")</f>
        <v>1719283</v>
      </c>
      <c r="E3764">
        <v>1</v>
      </c>
      <c r="F3764" t="s">
        <v>4274</v>
      </c>
    </row>
    <row r="3765" spans="1:6" x14ac:dyDescent="0.25">
      <c r="A3765" t="s">
        <v>4209</v>
      </c>
      <c r="B3765" t="s">
        <v>89</v>
      </c>
      <c r="C3765" t="s">
        <v>34</v>
      </c>
      <c r="D3765" t="str">
        <f>HYPERLINK("http://service.sap.com/sap/support/notes/1721106","1721106")</f>
        <v>1721106</v>
      </c>
      <c r="E3765">
        <v>3</v>
      </c>
      <c r="F3765" t="s">
        <v>4275</v>
      </c>
    </row>
    <row r="3766" spans="1:6" x14ac:dyDescent="0.25">
      <c r="A3766" t="s">
        <v>4209</v>
      </c>
      <c r="B3766" t="s">
        <v>89</v>
      </c>
      <c r="C3766" t="s">
        <v>34</v>
      </c>
      <c r="D3766" t="str">
        <f>HYPERLINK("http://service.sap.com/sap/support/notes/1721215","1721215")</f>
        <v>1721215</v>
      </c>
      <c r="E3766">
        <v>3</v>
      </c>
      <c r="F3766" t="s">
        <v>4276</v>
      </c>
    </row>
    <row r="3767" spans="1:6" x14ac:dyDescent="0.25">
      <c r="A3767" t="s">
        <v>4209</v>
      </c>
      <c r="B3767" t="s">
        <v>89</v>
      </c>
      <c r="C3767" t="s">
        <v>34</v>
      </c>
      <c r="D3767" t="str">
        <f>HYPERLINK("http://service.sap.com/sap/support/notes/1723329","1723329")</f>
        <v>1723329</v>
      </c>
      <c r="E3767">
        <v>1</v>
      </c>
      <c r="F3767" t="s">
        <v>4277</v>
      </c>
    </row>
    <row r="3768" spans="1:6" x14ac:dyDescent="0.25">
      <c r="A3768" t="s">
        <v>4209</v>
      </c>
      <c r="B3768" t="s">
        <v>89</v>
      </c>
      <c r="C3768" t="s">
        <v>34</v>
      </c>
      <c r="D3768" t="str">
        <f>HYPERLINK("http://service.sap.com/sap/support/notes/1723634","1723634")</f>
        <v>1723634</v>
      </c>
      <c r="E3768">
        <v>4</v>
      </c>
      <c r="F3768" t="s">
        <v>4278</v>
      </c>
    </row>
    <row r="3769" spans="1:6" x14ac:dyDescent="0.25">
      <c r="A3769" t="s">
        <v>4209</v>
      </c>
      <c r="B3769" t="s">
        <v>89</v>
      </c>
      <c r="C3769" t="s">
        <v>34</v>
      </c>
      <c r="D3769" t="str">
        <f>HYPERLINK("http://service.sap.com/sap/support/notes/1724298","1724298")</f>
        <v>1724298</v>
      </c>
      <c r="E3769">
        <v>1</v>
      </c>
      <c r="F3769" t="s">
        <v>4279</v>
      </c>
    </row>
    <row r="3770" spans="1:6" x14ac:dyDescent="0.25">
      <c r="A3770" t="s">
        <v>4209</v>
      </c>
      <c r="B3770" t="s">
        <v>89</v>
      </c>
      <c r="C3770" t="s">
        <v>34</v>
      </c>
      <c r="D3770" t="str">
        <f>HYPERLINK("http://service.sap.com/sap/support/notes/1724468","1724468")</f>
        <v>1724468</v>
      </c>
      <c r="E3770">
        <v>1</v>
      </c>
      <c r="F3770" t="s">
        <v>4280</v>
      </c>
    </row>
    <row r="3771" spans="1:6" x14ac:dyDescent="0.25">
      <c r="A3771" t="s">
        <v>4209</v>
      </c>
      <c r="B3771" t="s">
        <v>89</v>
      </c>
      <c r="C3771" t="s">
        <v>34</v>
      </c>
      <c r="D3771" t="str">
        <f>HYPERLINK("http://service.sap.com/sap/support/notes/1724647","1724647")</f>
        <v>1724647</v>
      </c>
      <c r="E3771">
        <v>4</v>
      </c>
      <c r="F3771" t="s">
        <v>4281</v>
      </c>
    </row>
    <row r="3772" spans="1:6" x14ac:dyDescent="0.25">
      <c r="A3772" t="s">
        <v>4209</v>
      </c>
      <c r="B3772" t="s">
        <v>89</v>
      </c>
      <c r="C3772" t="s">
        <v>34</v>
      </c>
      <c r="D3772" t="str">
        <f>HYPERLINK("http://service.sap.com/sap/support/notes/1724880","1724880")</f>
        <v>1724880</v>
      </c>
      <c r="E3772">
        <v>1</v>
      </c>
      <c r="F3772" t="s">
        <v>3878</v>
      </c>
    </row>
    <row r="3773" spans="1:6" x14ac:dyDescent="0.25">
      <c r="A3773" t="s">
        <v>4209</v>
      </c>
      <c r="B3773" t="s">
        <v>89</v>
      </c>
      <c r="C3773" t="s">
        <v>34</v>
      </c>
      <c r="D3773" t="str">
        <f>HYPERLINK("http://service.sap.com/sap/support/notes/1724977","1724977")</f>
        <v>1724977</v>
      </c>
      <c r="E3773">
        <v>6</v>
      </c>
      <c r="F3773" t="s">
        <v>4282</v>
      </c>
    </row>
    <row r="3774" spans="1:6" x14ac:dyDescent="0.25">
      <c r="A3774" t="s">
        <v>4209</v>
      </c>
      <c r="B3774" t="s">
        <v>89</v>
      </c>
      <c r="C3774" t="s">
        <v>34</v>
      </c>
      <c r="D3774" t="str">
        <f>HYPERLINK("http://service.sap.com/sap/support/notes/1726769","1726769")</f>
        <v>1726769</v>
      </c>
      <c r="E3774">
        <v>2</v>
      </c>
      <c r="F3774" t="s">
        <v>4283</v>
      </c>
    </row>
    <row r="3775" spans="1:6" x14ac:dyDescent="0.25">
      <c r="A3775" t="s">
        <v>4209</v>
      </c>
      <c r="B3775" t="s">
        <v>89</v>
      </c>
      <c r="C3775" t="s">
        <v>34</v>
      </c>
      <c r="D3775" t="str">
        <f>HYPERLINK("http://service.sap.com/sap/support/notes/1728348","1728348")</f>
        <v>1728348</v>
      </c>
      <c r="E3775">
        <v>3</v>
      </c>
      <c r="F3775" t="s">
        <v>4284</v>
      </c>
    </row>
    <row r="3776" spans="1:6" x14ac:dyDescent="0.25">
      <c r="A3776" t="s">
        <v>4209</v>
      </c>
      <c r="B3776" t="s">
        <v>89</v>
      </c>
      <c r="C3776" t="s">
        <v>34</v>
      </c>
      <c r="D3776" t="str">
        <f>HYPERLINK("http://service.sap.com/sap/support/notes/1728568","1728568")</f>
        <v>1728568</v>
      </c>
      <c r="E3776">
        <v>1</v>
      </c>
      <c r="F3776" t="s">
        <v>4285</v>
      </c>
    </row>
    <row r="3777" spans="1:6" x14ac:dyDescent="0.25">
      <c r="A3777" t="s">
        <v>4209</v>
      </c>
      <c r="B3777" t="s">
        <v>91</v>
      </c>
      <c r="C3777" t="s">
        <v>92</v>
      </c>
      <c r="D3777" t="str">
        <f>HYPERLINK("http://service.sap.com/sap/support/notes/1649538","1649538")</f>
        <v>1649538</v>
      </c>
      <c r="E3777">
        <v>4</v>
      </c>
      <c r="F3777" t="s">
        <v>4286</v>
      </c>
    </row>
    <row r="3778" spans="1:6" x14ac:dyDescent="0.25">
      <c r="A3778" t="s">
        <v>4209</v>
      </c>
      <c r="B3778" t="s">
        <v>91</v>
      </c>
      <c r="C3778" t="s">
        <v>92</v>
      </c>
      <c r="D3778" t="str">
        <f>HYPERLINK("http://service.sap.com/sap/support/notes/1678046","1678046")</f>
        <v>1678046</v>
      </c>
      <c r="E3778">
        <v>5</v>
      </c>
      <c r="F3778" t="s">
        <v>4287</v>
      </c>
    </row>
    <row r="3779" spans="1:6" x14ac:dyDescent="0.25">
      <c r="A3779" t="s">
        <v>4209</v>
      </c>
      <c r="B3779" t="s">
        <v>91</v>
      </c>
      <c r="C3779" t="s">
        <v>92</v>
      </c>
      <c r="D3779" t="str">
        <f>HYPERLINK("http://service.sap.com/sap/support/notes/1681595","1681595")</f>
        <v>1681595</v>
      </c>
      <c r="E3779">
        <v>11</v>
      </c>
      <c r="F3779" t="s">
        <v>4288</v>
      </c>
    </row>
    <row r="3780" spans="1:6" x14ac:dyDescent="0.25">
      <c r="A3780" t="s">
        <v>4209</v>
      </c>
      <c r="B3780" t="s">
        <v>91</v>
      </c>
      <c r="C3780" t="s">
        <v>92</v>
      </c>
      <c r="D3780" t="str">
        <f>HYPERLINK("http://service.sap.com/sap/support/notes/1683496","1683496")</f>
        <v>1683496</v>
      </c>
      <c r="E3780">
        <v>6</v>
      </c>
      <c r="F3780" t="s">
        <v>4289</v>
      </c>
    </row>
    <row r="3781" spans="1:6" x14ac:dyDescent="0.25">
      <c r="A3781" t="s">
        <v>4209</v>
      </c>
      <c r="B3781" t="s">
        <v>91</v>
      </c>
      <c r="C3781" t="s">
        <v>92</v>
      </c>
      <c r="D3781" t="str">
        <f>HYPERLINK("http://service.sap.com/sap/support/notes/1683513","1683513")</f>
        <v>1683513</v>
      </c>
      <c r="E3781">
        <v>2</v>
      </c>
      <c r="F3781" t="s">
        <v>4290</v>
      </c>
    </row>
    <row r="3782" spans="1:6" x14ac:dyDescent="0.25">
      <c r="A3782" t="s">
        <v>4209</v>
      </c>
      <c r="B3782" t="s">
        <v>91</v>
      </c>
      <c r="C3782" t="s">
        <v>92</v>
      </c>
      <c r="D3782" t="str">
        <f>HYPERLINK("http://service.sap.com/sap/support/notes/1683521","1683521")</f>
        <v>1683521</v>
      </c>
      <c r="E3782">
        <v>2</v>
      </c>
      <c r="F3782" t="s">
        <v>4291</v>
      </c>
    </row>
    <row r="3783" spans="1:6" x14ac:dyDescent="0.25">
      <c r="A3783" t="s">
        <v>4209</v>
      </c>
      <c r="B3783" t="s">
        <v>91</v>
      </c>
      <c r="C3783" t="s">
        <v>92</v>
      </c>
      <c r="D3783" t="str">
        <f>HYPERLINK("http://service.sap.com/sap/support/notes/1685907","1685907")</f>
        <v>1685907</v>
      </c>
      <c r="E3783">
        <v>3</v>
      </c>
      <c r="F3783" t="s">
        <v>4292</v>
      </c>
    </row>
    <row r="3784" spans="1:6" x14ac:dyDescent="0.25">
      <c r="A3784" t="s">
        <v>4209</v>
      </c>
      <c r="B3784" t="s">
        <v>91</v>
      </c>
      <c r="C3784" t="s">
        <v>92</v>
      </c>
      <c r="D3784" t="str">
        <f>HYPERLINK("http://service.sap.com/sap/support/notes/1688611","1688611")</f>
        <v>1688611</v>
      </c>
      <c r="E3784">
        <v>3</v>
      </c>
      <c r="F3784" t="s">
        <v>4293</v>
      </c>
    </row>
    <row r="3785" spans="1:6" x14ac:dyDescent="0.25">
      <c r="A3785" t="s">
        <v>4209</v>
      </c>
      <c r="B3785" t="s">
        <v>91</v>
      </c>
      <c r="C3785" t="s">
        <v>92</v>
      </c>
      <c r="D3785" t="str">
        <f>HYPERLINK("http://service.sap.com/sap/support/notes/1694908","1694908")</f>
        <v>1694908</v>
      </c>
      <c r="E3785">
        <v>2</v>
      </c>
      <c r="F3785" t="s">
        <v>4294</v>
      </c>
    </row>
    <row r="3786" spans="1:6" x14ac:dyDescent="0.25">
      <c r="A3786" t="s">
        <v>4209</v>
      </c>
      <c r="B3786" t="s">
        <v>91</v>
      </c>
      <c r="C3786" t="s">
        <v>92</v>
      </c>
      <c r="D3786" t="str">
        <f>HYPERLINK("http://service.sap.com/sap/support/notes/1707643","1707643")</f>
        <v>1707643</v>
      </c>
      <c r="E3786">
        <v>3</v>
      </c>
      <c r="F3786" t="s">
        <v>4295</v>
      </c>
    </row>
    <row r="3787" spans="1:6" x14ac:dyDescent="0.25">
      <c r="A3787" t="s">
        <v>4209</v>
      </c>
      <c r="B3787" t="s">
        <v>91</v>
      </c>
      <c r="C3787" t="s">
        <v>92</v>
      </c>
      <c r="D3787" t="str">
        <f>HYPERLINK("http://service.sap.com/sap/support/notes/1710396","1710396")</f>
        <v>1710396</v>
      </c>
      <c r="E3787">
        <v>2</v>
      </c>
      <c r="F3787" t="s">
        <v>4296</v>
      </c>
    </row>
    <row r="3788" spans="1:6" x14ac:dyDescent="0.25">
      <c r="A3788" t="s">
        <v>4209</v>
      </c>
      <c r="B3788" t="s">
        <v>91</v>
      </c>
      <c r="C3788" t="s">
        <v>92</v>
      </c>
      <c r="D3788" t="str">
        <f>HYPERLINK("http://service.sap.com/sap/support/notes/1721855","1721855")</f>
        <v>1721855</v>
      </c>
      <c r="E3788">
        <v>2</v>
      </c>
      <c r="F3788" t="s">
        <v>4297</v>
      </c>
    </row>
    <row r="3789" spans="1:6" x14ac:dyDescent="0.25">
      <c r="A3789" t="s">
        <v>4209</v>
      </c>
      <c r="B3789" t="s">
        <v>91</v>
      </c>
      <c r="C3789" t="s">
        <v>92</v>
      </c>
      <c r="D3789" t="str">
        <f>HYPERLINK("http://service.sap.com/sap/support/notes/1722444","1722444")</f>
        <v>1722444</v>
      </c>
      <c r="E3789">
        <v>3</v>
      </c>
      <c r="F3789" t="s">
        <v>4298</v>
      </c>
    </row>
    <row r="3790" spans="1:6" x14ac:dyDescent="0.25">
      <c r="A3790" t="s">
        <v>4209</v>
      </c>
      <c r="B3790" t="s">
        <v>91</v>
      </c>
      <c r="C3790" t="s">
        <v>92</v>
      </c>
      <c r="D3790" t="str">
        <f>HYPERLINK("http://service.sap.com/sap/support/notes/1728155","1728155")</f>
        <v>1728155</v>
      </c>
      <c r="E3790">
        <v>1</v>
      </c>
      <c r="F3790" t="s">
        <v>4299</v>
      </c>
    </row>
    <row r="3791" spans="1:6" x14ac:dyDescent="0.25">
      <c r="A3791" t="s">
        <v>4209</v>
      </c>
      <c r="B3791" t="s">
        <v>91</v>
      </c>
      <c r="C3791" t="s">
        <v>92</v>
      </c>
      <c r="D3791" t="str">
        <f>HYPERLINK("http://service.sap.com/sap/support/notes/1731618","1731618")</f>
        <v>1731618</v>
      </c>
      <c r="E3791">
        <v>1</v>
      </c>
      <c r="F3791" t="s">
        <v>4300</v>
      </c>
    </row>
    <row r="3792" spans="1:6" x14ac:dyDescent="0.25">
      <c r="A3792" t="s">
        <v>4209</v>
      </c>
      <c r="B3792" t="s">
        <v>94</v>
      </c>
      <c r="C3792" t="s">
        <v>95</v>
      </c>
    </row>
    <row r="3793" spans="1:6" x14ac:dyDescent="0.25">
      <c r="A3793" t="s">
        <v>4209</v>
      </c>
      <c r="B3793" t="s">
        <v>306</v>
      </c>
      <c r="C3793" t="s">
        <v>132</v>
      </c>
      <c r="D3793" t="str">
        <f>HYPERLINK("http://service.sap.com/sap/support/notes/1713883","1713883")</f>
        <v>1713883</v>
      </c>
      <c r="E3793">
        <v>2</v>
      </c>
      <c r="F3793" t="s">
        <v>4301</v>
      </c>
    </row>
    <row r="3794" spans="1:6" x14ac:dyDescent="0.25">
      <c r="A3794" t="s">
        <v>4209</v>
      </c>
      <c r="B3794" t="s">
        <v>306</v>
      </c>
      <c r="C3794" t="s">
        <v>132</v>
      </c>
      <c r="D3794" t="str">
        <f>HYPERLINK("http://service.sap.com/sap/support/notes/1721336","1721336")</f>
        <v>1721336</v>
      </c>
      <c r="E3794">
        <v>1</v>
      </c>
      <c r="F3794" t="s">
        <v>4302</v>
      </c>
    </row>
    <row r="3795" spans="1:6" x14ac:dyDescent="0.25">
      <c r="A3795" t="s">
        <v>4209</v>
      </c>
      <c r="B3795" t="s">
        <v>96</v>
      </c>
      <c r="C3795" t="s">
        <v>97</v>
      </c>
      <c r="D3795" t="str">
        <f>HYPERLINK("http://service.sap.com/sap/support/notes/1716764","1716764")</f>
        <v>1716764</v>
      </c>
      <c r="E3795">
        <v>2</v>
      </c>
      <c r="F3795" t="s">
        <v>4303</v>
      </c>
    </row>
    <row r="3796" spans="1:6" x14ac:dyDescent="0.25">
      <c r="A3796" t="s">
        <v>4209</v>
      </c>
      <c r="B3796" t="s">
        <v>96</v>
      </c>
      <c r="C3796" t="s">
        <v>97</v>
      </c>
      <c r="D3796" t="str">
        <f>HYPERLINK("http://service.sap.com/sap/support/notes/1718996","1718996")</f>
        <v>1718996</v>
      </c>
      <c r="E3796">
        <v>2</v>
      </c>
      <c r="F3796" t="s">
        <v>4304</v>
      </c>
    </row>
    <row r="3797" spans="1:6" x14ac:dyDescent="0.25">
      <c r="A3797" t="s">
        <v>4209</v>
      </c>
      <c r="B3797" t="s">
        <v>96</v>
      </c>
      <c r="C3797" t="s">
        <v>97</v>
      </c>
      <c r="D3797" t="str">
        <f>HYPERLINK("http://service.sap.com/sap/support/notes/1722664","1722664")</f>
        <v>1722664</v>
      </c>
      <c r="E3797">
        <v>1</v>
      </c>
      <c r="F3797" t="s">
        <v>4305</v>
      </c>
    </row>
    <row r="3798" spans="1:6" x14ac:dyDescent="0.25">
      <c r="A3798" t="s">
        <v>4209</v>
      </c>
      <c r="B3798" t="s">
        <v>98</v>
      </c>
      <c r="C3798" t="s">
        <v>99</v>
      </c>
      <c r="D3798" t="str">
        <f>HYPERLINK("http://service.sap.com/sap/support/notes/1697332","1697332")</f>
        <v>1697332</v>
      </c>
      <c r="E3798">
        <v>2</v>
      </c>
      <c r="F3798" t="s">
        <v>4306</v>
      </c>
    </row>
    <row r="3799" spans="1:6" x14ac:dyDescent="0.25">
      <c r="A3799" t="s">
        <v>4209</v>
      </c>
      <c r="B3799" t="s">
        <v>98</v>
      </c>
      <c r="C3799" t="s">
        <v>99</v>
      </c>
      <c r="D3799" t="str">
        <f>HYPERLINK("http://service.sap.com/sap/support/notes/1704009","1704009")</f>
        <v>1704009</v>
      </c>
      <c r="E3799">
        <v>7</v>
      </c>
      <c r="F3799" t="s">
        <v>4307</v>
      </c>
    </row>
    <row r="3800" spans="1:6" x14ac:dyDescent="0.25">
      <c r="A3800" t="s">
        <v>4209</v>
      </c>
      <c r="B3800" t="s">
        <v>98</v>
      </c>
      <c r="C3800" t="s">
        <v>99</v>
      </c>
      <c r="D3800" t="str">
        <f>HYPERLINK("http://service.sap.com/sap/support/notes/1723746","1723746")</f>
        <v>1723746</v>
      </c>
      <c r="E3800">
        <v>2</v>
      </c>
      <c r="F3800" t="s">
        <v>4308</v>
      </c>
    </row>
    <row r="3801" spans="1:6" x14ac:dyDescent="0.25">
      <c r="A3801" t="s">
        <v>4209</v>
      </c>
      <c r="B3801" t="s">
        <v>100</v>
      </c>
      <c r="C3801" t="s">
        <v>36</v>
      </c>
      <c r="D3801" t="str">
        <f>HYPERLINK("http://service.sap.com/sap/support/notes/1723526","1723526")</f>
        <v>1723526</v>
      </c>
      <c r="E3801">
        <v>2</v>
      </c>
      <c r="F3801" t="s">
        <v>4309</v>
      </c>
    </row>
    <row r="3802" spans="1:6" x14ac:dyDescent="0.25">
      <c r="A3802" t="s">
        <v>4209</v>
      </c>
      <c r="B3802" t="s">
        <v>101</v>
      </c>
      <c r="C3802" t="s">
        <v>38</v>
      </c>
    </row>
    <row r="3803" spans="1:6" x14ac:dyDescent="0.25">
      <c r="A3803" t="s">
        <v>4209</v>
      </c>
      <c r="B3803" t="s">
        <v>102</v>
      </c>
      <c r="C3803" t="s">
        <v>103</v>
      </c>
      <c r="D3803" t="str">
        <f>HYPERLINK("http://service.sap.com/sap/support/notes/1724593","1724593")</f>
        <v>1724593</v>
      </c>
      <c r="E3803">
        <v>2</v>
      </c>
      <c r="F3803" t="s">
        <v>4310</v>
      </c>
    </row>
    <row r="3804" spans="1:6" x14ac:dyDescent="0.25">
      <c r="A3804" t="s">
        <v>4209</v>
      </c>
      <c r="B3804" t="s">
        <v>104</v>
      </c>
      <c r="C3804" t="s">
        <v>105</v>
      </c>
      <c r="D3804" t="str">
        <f>HYPERLINK("http://service.sap.com/sap/support/notes/1708358","1708358")</f>
        <v>1708358</v>
      </c>
      <c r="E3804">
        <v>3</v>
      </c>
      <c r="F3804" t="s">
        <v>4311</v>
      </c>
    </row>
    <row r="3805" spans="1:6" x14ac:dyDescent="0.25">
      <c r="A3805" t="s">
        <v>4209</v>
      </c>
      <c r="B3805" t="s">
        <v>106</v>
      </c>
      <c r="C3805" t="s">
        <v>107</v>
      </c>
    </row>
    <row r="3806" spans="1:6" x14ac:dyDescent="0.25">
      <c r="A3806" t="s">
        <v>4209</v>
      </c>
      <c r="B3806" t="s">
        <v>108</v>
      </c>
      <c r="C3806" t="s">
        <v>109</v>
      </c>
      <c r="D3806" t="str">
        <f>HYPERLINK("http://service.sap.com/sap/support/notes/1718992","1718992")</f>
        <v>1718992</v>
      </c>
      <c r="E3806">
        <v>1</v>
      </c>
      <c r="F3806" t="s">
        <v>4312</v>
      </c>
    </row>
    <row r="3807" spans="1:6" x14ac:dyDescent="0.25">
      <c r="A3807" t="s">
        <v>4209</v>
      </c>
      <c r="B3807" t="s">
        <v>108</v>
      </c>
      <c r="C3807" t="s">
        <v>109</v>
      </c>
      <c r="D3807" t="str">
        <f>HYPERLINK("http://service.sap.com/sap/support/notes/1720535","1720535")</f>
        <v>1720535</v>
      </c>
      <c r="E3807">
        <v>2</v>
      </c>
      <c r="F3807" t="s">
        <v>4313</v>
      </c>
    </row>
    <row r="3808" spans="1:6" x14ac:dyDescent="0.25">
      <c r="A3808" t="s">
        <v>4209</v>
      </c>
      <c r="B3808" t="s">
        <v>110</v>
      </c>
      <c r="C3808" t="s">
        <v>111</v>
      </c>
      <c r="D3808" t="str">
        <f>HYPERLINK("http://service.sap.com/sap/support/notes/1726188","1726188")</f>
        <v>1726188</v>
      </c>
      <c r="E3808">
        <v>1</v>
      </c>
      <c r="F3808" t="s">
        <v>4314</v>
      </c>
    </row>
    <row r="3809" spans="1:6" x14ac:dyDescent="0.25">
      <c r="A3809" t="s">
        <v>4209</v>
      </c>
      <c r="B3809" t="s">
        <v>609</v>
      </c>
      <c r="C3809" t="s">
        <v>610</v>
      </c>
      <c r="D3809" t="str">
        <f>HYPERLINK("http://service.sap.com/sap/support/notes/1719086","1719086")</f>
        <v>1719086</v>
      </c>
      <c r="E3809">
        <v>3</v>
      </c>
      <c r="F3809" t="s">
        <v>4315</v>
      </c>
    </row>
    <row r="3810" spans="1:6" x14ac:dyDescent="0.25">
      <c r="A3810" t="s">
        <v>4209</v>
      </c>
      <c r="B3810" t="s">
        <v>609</v>
      </c>
      <c r="C3810" t="s">
        <v>610</v>
      </c>
      <c r="D3810" t="str">
        <f>HYPERLINK("http://service.sap.com/sap/support/notes/1721935","1721935")</f>
        <v>1721935</v>
      </c>
      <c r="E3810">
        <v>1</v>
      </c>
      <c r="F3810" t="s">
        <v>4316</v>
      </c>
    </row>
    <row r="3811" spans="1:6" x14ac:dyDescent="0.25">
      <c r="A3811" t="s">
        <v>4209</v>
      </c>
      <c r="B3811" t="s">
        <v>609</v>
      </c>
      <c r="C3811" t="s">
        <v>610</v>
      </c>
      <c r="D3811" t="str">
        <f>HYPERLINK("http://service.sap.com/sap/support/notes/1723285","1723285")</f>
        <v>1723285</v>
      </c>
      <c r="E3811">
        <v>3</v>
      </c>
      <c r="F3811" t="s">
        <v>4317</v>
      </c>
    </row>
    <row r="3812" spans="1:6" x14ac:dyDescent="0.25">
      <c r="A3812" t="s">
        <v>4209</v>
      </c>
      <c r="B3812" t="s">
        <v>609</v>
      </c>
      <c r="C3812" t="s">
        <v>610</v>
      </c>
      <c r="D3812" t="str">
        <f>HYPERLINK("http://service.sap.com/sap/support/notes/1727096","1727096")</f>
        <v>1727096</v>
      </c>
      <c r="E3812">
        <v>3</v>
      </c>
      <c r="F3812" t="s">
        <v>4318</v>
      </c>
    </row>
    <row r="3813" spans="1:6" x14ac:dyDescent="0.25">
      <c r="A3813" t="s">
        <v>4209</v>
      </c>
      <c r="B3813" t="s">
        <v>609</v>
      </c>
      <c r="C3813" t="s">
        <v>610</v>
      </c>
      <c r="D3813" t="str">
        <f>HYPERLINK("http://service.sap.com/sap/support/notes/1729167","1729167")</f>
        <v>1729167</v>
      </c>
      <c r="E3813">
        <v>3</v>
      </c>
      <c r="F3813" t="s">
        <v>4319</v>
      </c>
    </row>
    <row r="3814" spans="1:6" x14ac:dyDescent="0.25">
      <c r="A3814" t="s">
        <v>4209</v>
      </c>
      <c r="B3814" t="s">
        <v>312</v>
      </c>
      <c r="C3814" t="s">
        <v>313</v>
      </c>
      <c r="D3814" t="str">
        <f>HYPERLINK("http://service.sap.com/sap/support/notes/1721193","1721193")</f>
        <v>1721193</v>
      </c>
      <c r="E3814">
        <v>5</v>
      </c>
      <c r="F3814" t="s">
        <v>4320</v>
      </c>
    </row>
    <row r="3815" spans="1:6" x14ac:dyDescent="0.25">
      <c r="A3815" t="s">
        <v>4209</v>
      </c>
      <c r="B3815" t="s">
        <v>312</v>
      </c>
      <c r="C3815" t="s">
        <v>313</v>
      </c>
      <c r="D3815" t="str">
        <f>HYPERLINK("http://service.sap.com/sap/support/notes/1723323","1723323")</f>
        <v>1723323</v>
      </c>
      <c r="E3815">
        <v>3</v>
      </c>
      <c r="F3815" t="s">
        <v>4321</v>
      </c>
    </row>
    <row r="3816" spans="1:6" x14ac:dyDescent="0.25">
      <c r="A3816" t="s">
        <v>4209</v>
      </c>
      <c r="B3816" t="s">
        <v>114</v>
      </c>
      <c r="C3816" t="s">
        <v>115</v>
      </c>
    </row>
    <row r="3817" spans="1:6" x14ac:dyDescent="0.25">
      <c r="A3817" t="s">
        <v>4209</v>
      </c>
      <c r="B3817" t="s">
        <v>116</v>
      </c>
      <c r="C3817" t="s">
        <v>117</v>
      </c>
      <c r="D3817" t="str">
        <f>HYPERLINK("http://service.sap.com/sap/support/notes/1727858","1727858")</f>
        <v>1727858</v>
      </c>
      <c r="E3817">
        <v>2</v>
      </c>
      <c r="F3817" t="s">
        <v>4322</v>
      </c>
    </row>
    <row r="3818" spans="1:6" x14ac:dyDescent="0.25">
      <c r="A3818" t="s">
        <v>4209</v>
      </c>
      <c r="B3818" t="s">
        <v>120</v>
      </c>
      <c r="C3818" t="s">
        <v>121</v>
      </c>
      <c r="D3818" t="str">
        <f>HYPERLINK("http://service.sap.com/sap/support/notes/1692338","1692338")</f>
        <v>1692338</v>
      </c>
      <c r="E3818">
        <v>5</v>
      </c>
      <c r="F3818" t="s">
        <v>4323</v>
      </c>
    </row>
    <row r="3819" spans="1:6" x14ac:dyDescent="0.25">
      <c r="A3819" t="s">
        <v>4209</v>
      </c>
      <c r="B3819" t="s">
        <v>120</v>
      </c>
      <c r="C3819" t="s">
        <v>121</v>
      </c>
      <c r="D3819" t="str">
        <f>HYPERLINK("http://service.sap.com/sap/support/notes/1724553","1724553")</f>
        <v>1724553</v>
      </c>
      <c r="E3819">
        <v>2</v>
      </c>
      <c r="F3819" t="s">
        <v>4324</v>
      </c>
    </row>
    <row r="3820" spans="1:6" x14ac:dyDescent="0.25">
      <c r="A3820" t="s">
        <v>4209</v>
      </c>
      <c r="B3820" t="s">
        <v>122</v>
      </c>
      <c r="C3820" t="s">
        <v>123</v>
      </c>
      <c r="D3820" t="str">
        <f>HYPERLINK("http://service.sap.com/sap/support/notes/1705044","1705044")</f>
        <v>1705044</v>
      </c>
      <c r="E3820">
        <v>1</v>
      </c>
      <c r="F3820" t="s">
        <v>4325</v>
      </c>
    </row>
    <row r="3821" spans="1:6" x14ac:dyDescent="0.25">
      <c r="A3821" t="s">
        <v>4209</v>
      </c>
      <c r="B3821" t="s">
        <v>122</v>
      </c>
      <c r="C3821" t="s">
        <v>123</v>
      </c>
      <c r="D3821" t="str">
        <f>HYPERLINK("http://service.sap.com/sap/support/notes/1725441","1725441")</f>
        <v>1725441</v>
      </c>
      <c r="E3821">
        <v>1</v>
      </c>
      <c r="F3821" t="s">
        <v>4326</v>
      </c>
    </row>
    <row r="3822" spans="1:6" x14ac:dyDescent="0.25">
      <c r="A3822" t="s">
        <v>4209</v>
      </c>
      <c r="B3822" t="s">
        <v>124</v>
      </c>
      <c r="C3822" t="s">
        <v>82</v>
      </c>
      <c r="D3822" t="str">
        <f>HYPERLINK("http://service.sap.com/sap/support/notes/1707173","1707173")</f>
        <v>1707173</v>
      </c>
      <c r="E3822">
        <v>2</v>
      </c>
      <c r="F3822" t="s">
        <v>4327</v>
      </c>
    </row>
    <row r="3823" spans="1:6" x14ac:dyDescent="0.25">
      <c r="A3823" t="s">
        <v>4209</v>
      </c>
      <c r="B3823" t="s">
        <v>124</v>
      </c>
      <c r="C3823" t="s">
        <v>82</v>
      </c>
      <c r="D3823" t="str">
        <f>HYPERLINK("http://service.sap.com/sap/support/notes/1719775","1719775")</f>
        <v>1719775</v>
      </c>
      <c r="E3823">
        <v>1</v>
      </c>
      <c r="F3823" t="s">
        <v>4328</v>
      </c>
    </row>
    <row r="3824" spans="1:6" x14ac:dyDescent="0.25">
      <c r="A3824" t="s">
        <v>4209</v>
      </c>
      <c r="B3824" t="s">
        <v>124</v>
      </c>
      <c r="C3824" t="s">
        <v>82</v>
      </c>
      <c r="D3824" t="str">
        <f>HYPERLINK("http://service.sap.com/sap/support/notes/1721198","1721198")</f>
        <v>1721198</v>
      </c>
      <c r="E3824">
        <v>1</v>
      </c>
      <c r="F3824" t="s">
        <v>4329</v>
      </c>
    </row>
    <row r="3825" spans="1:6" x14ac:dyDescent="0.25">
      <c r="A3825" t="s">
        <v>4209</v>
      </c>
      <c r="B3825" t="s">
        <v>124</v>
      </c>
      <c r="C3825" t="s">
        <v>82</v>
      </c>
      <c r="D3825" t="str">
        <f>HYPERLINK("http://service.sap.com/sap/support/notes/1722507","1722507")</f>
        <v>1722507</v>
      </c>
      <c r="E3825">
        <v>2</v>
      </c>
      <c r="F3825" t="s">
        <v>4330</v>
      </c>
    </row>
    <row r="3826" spans="1:6" x14ac:dyDescent="0.25">
      <c r="A3826" t="s">
        <v>4209</v>
      </c>
      <c r="B3826" t="s">
        <v>124</v>
      </c>
      <c r="C3826" t="s">
        <v>82</v>
      </c>
      <c r="D3826" t="str">
        <f>HYPERLINK("http://service.sap.com/sap/support/notes/1723810","1723810")</f>
        <v>1723810</v>
      </c>
      <c r="E3826">
        <v>2</v>
      </c>
      <c r="F3826" t="s">
        <v>4331</v>
      </c>
    </row>
    <row r="3827" spans="1:6" x14ac:dyDescent="0.25">
      <c r="A3827" t="s">
        <v>4209</v>
      </c>
      <c r="B3827" t="s">
        <v>124</v>
      </c>
      <c r="C3827" t="s">
        <v>82</v>
      </c>
      <c r="D3827" t="str">
        <f>HYPERLINK("http://service.sap.com/sap/support/notes/1724373","1724373")</f>
        <v>1724373</v>
      </c>
      <c r="E3827">
        <v>1</v>
      </c>
      <c r="F3827" t="s">
        <v>4332</v>
      </c>
    </row>
    <row r="3828" spans="1:6" x14ac:dyDescent="0.25">
      <c r="A3828" t="s">
        <v>4209</v>
      </c>
      <c r="B3828" t="s">
        <v>124</v>
      </c>
      <c r="C3828" t="s">
        <v>82</v>
      </c>
      <c r="D3828" t="str">
        <f>HYPERLINK("http://service.sap.com/sap/support/notes/1726811","1726811")</f>
        <v>1726811</v>
      </c>
      <c r="E3828">
        <v>1</v>
      </c>
      <c r="F3828" t="s">
        <v>4333</v>
      </c>
    </row>
    <row r="3829" spans="1:6" x14ac:dyDescent="0.25">
      <c r="A3829" t="s">
        <v>4209</v>
      </c>
      <c r="B3829" t="s">
        <v>124</v>
      </c>
      <c r="C3829" t="s">
        <v>82</v>
      </c>
      <c r="D3829" t="str">
        <f>HYPERLINK("http://service.sap.com/sap/support/notes/1727313","1727313")</f>
        <v>1727313</v>
      </c>
      <c r="E3829">
        <v>1</v>
      </c>
      <c r="F3829" t="s">
        <v>4334</v>
      </c>
    </row>
    <row r="3830" spans="1:6" x14ac:dyDescent="0.25">
      <c r="A3830" t="s">
        <v>4209</v>
      </c>
      <c r="B3830" t="s">
        <v>124</v>
      </c>
      <c r="C3830" t="s">
        <v>82</v>
      </c>
      <c r="D3830" t="str">
        <f>HYPERLINK("http://service.sap.com/sap/support/notes/1727857","1727857")</f>
        <v>1727857</v>
      </c>
      <c r="E3830">
        <v>1</v>
      </c>
      <c r="F3830" t="s">
        <v>4335</v>
      </c>
    </row>
    <row r="3831" spans="1:6" x14ac:dyDescent="0.25">
      <c r="A3831" t="s">
        <v>4209</v>
      </c>
      <c r="B3831" t="s">
        <v>124</v>
      </c>
      <c r="C3831" t="s">
        <v>82</v>
      </c>
      <c r="D3831" t="str">
        <f>HYPERLINK("http://service.sap.com/sap/support/notes/1728369","1728369")</f>
        <v>1728369</v>
      </c>
      <c r="E3831">
        <v>1</v>
      </c>
      <c r="F3831" t="s">
        <v>4336</v>
      </c>
    </row>
    <row r="3832" spans="1:6" x14ac:dyDescent="0.25">
      <c r="A3832" t="s">
        <v>4209</v>
      </c>
      <c r="B3832" t="s">
        <v>127</v>
      </c>
      <c r="C3832" t="s">
        <v>128</v>
      </c>
      <c r="D3832" t="str">
        <f>HYPERLINK("http://service.sap.com/sap/support/notes/1700398","1700398")</f>
        <v>1700398</v>
      </c>
      <c r="E3832">
        <v>2</v>
      </c>
      <c r="F3832" t="s">
        <v>4337</v>
      </c>
    </row>
    <row r="3833" spans="1:6" x14ac:dyDescent="0.25">
      <c r="A3833" t="s">
        <v>4209</v>
      </c>
      <c r="B3833" t="s">
        <v>127</v>
      </c>
      <c r="C3833" t="s">
        <v>128</v>
      </c>
      <c r="D3833" t="str">
        <f>HYPERLINK("http://service.sap.com/sap/support/notes/1720877","1720877")</f>
        <v>1720877</v>
      </c>
      <c r="E3833">
        <v>1</v>
      </c>
      <c r="F3833" t="s">
        <v>4338</v>
      </c>
    </row>
    <row r="3834" spans="1:6" x14ac:dyDescent="0.25">
      <c r="A3834" t="s">
        <v>4209</v>
      </c>
      <c r="B3834" t="s">
        <v>127</v>
      </c>
      <c r="C3834" t="s">
        <v>128</v>
      </c>
      <c r="D3834" t="str">
        <f>HYPERLINK("http://service.sap.com/sap/support/notes/1720996","1720996")</f>
        <v>1720996</v>
      </c>
      <c r="E3834">
        <v>1</v>
      </c>
      <c r="F3834" t="s">
        <v>4339</v>
      </c>
    </row>
    <row r="3835" spans="1:6" x14ac:dyDescent="0.25">
      <c r="A3835" t="s">
        <v>4209</v>
      </c>
      <c r="B3835" t="s">
        <v>127</v>
      </c>
      <c r="C3835" t="s">
        <v>128</v>
      </c>
      <c r="D3835" t="str">
        <f>HYPERLINK("http://service.sap.com/sap/support/notes/1721235","1721235")</f>
        <v>1721235</v>
      </c>
      <c r="E3835">
        <v>2</v>
      </c>
      <c r="F3835" t="s">
        <v>4340</v>
      </c>
    </row>
    <row r="3836" spans="1:6" x14ac:dyDescent="0.25">
      <c r="A3836" t="s">
        <v>4209</v>
      </c>
      <c r="B3836" t="s">
        <v>127</v>
      </c>
      <c r="C3836" t="s">
        <v>128</v>
      </c>
      <c r="D3836" t="str">
        <f>HYPERLINK("http://service.sap.com/sap/support/notes/1721950","1721950")</f>
        <v>1721950</v>
      </c>
      <c r="E3836">
        <v>1</v>
      </c>
      <c r="F3836" t="s">
        <v>4341</v>
      </c>
    </row>
    <row r="3837" spans="1:6" x14ac:dyDescent="0.25">
      <c r="A3837" t="s">
        <v>4209</v>
      </c>
      <c r="B3837" t="s">
        <v>127</v>
      </c>
      <c r="C3837" t="s">
        <v>128</v>
      </c>
      <c r="D3837" t="str">
        <f>HYPERLINK("http://service.sap.com/sap/support/notes/1725370","1725370")</f>
        <v>1725370</v>
      </c>
      <c r="E3837">
        <v>5</v>
      </c>
      <c r="F3837" t="s">
        <v>4342</v>
      </c>
    </row>
    <row r="3838" spans="1:6" x14ac:dyDescent="0.25">
      <c r="A3838" t="s">
        <v>4209</v>
      </c>
      <c r="B3838" t="s">
        <v>127</v>
      </c>
      <c r="C3838" t="s">
        <v>128</v>
      </c>
      <c r="D3838" t="str">
        <f>HYPERLINK("http://service.sap.com/sap/support/notes/1728564","1728564")</f>
        <v>1728564</v>
      </c>
      <c r="E3838">
        <v>1</v>
      </c>
      <c r="F3838" t="s">
        <v>4343</v>
      </c>
    </row>
    <row r="3839" spans="1:6" x14ac:dyDescent="0.25">
      <c r="A3839" t="s">
        <v>4209</v>
      </c>
      <c r="B3839" t="s">
        <v>129</v>
      </c>
      <c r="C3839" t="s">
        <v>130</v>
      </c>
      <c r="D3839" t="str">
        <f>HYPERLINK("http://service.sap.com/sap/support/notes/1701264","1701264")</f>
        <v>1701264</v>
      </c>
      <c r="E3839">
        <v>5</v>
      </c>
      <c r="F3839" t="s">
        <v>4344</v>
      </c>
    </row>
    <row r="3840" spans="1:6" x14ac:dyDescent="0.25">
      <c r="A3840" t="s">
        <v>4209</v>
      </c>
      <c r="B3840" t="s">
        <v>129</v>
      </c>
      <c r="C3840" t="s">
        <v>130</v>
      </c>
      <c r="D3840" t="str">
        <f>HYPERLINK("http://service.sap.com/sap/support/notes/1717399","1717399")</f>
        <v>1717399</v>
      </c>
      <c r="E3840">
        <v>3</v>
      </c>
      <c r="F3840" t="s">
        <v>4345</v>
      </c>
    </row>
    <row r="3841" spans="1:6" x14ac:dyDescent="0.25">
      <c r="A3841" t="s">
        <v>4209</v>
      </c>
      <c r="B3841" t="s">
        <v>129</v>
      </c>
      <c r="C3841" t="s">
        <v>130</v>
      </c>
      <c r="D3841" t="str">
        <f>HYPERLINK("http://service.sap.com/sap/support/notes/1724525","1724525")</f>
        <v>1724525</v>
      </c>
      <c r="E3841">
        <v>3</v>
      </c>
      <c r="F3841" t="s">
        <v>4346</v>
      </c>
    </row>
    <row r="3842" spans="1:6" x14ac:dyDescent="0.25">
      <c r="A3842" t="s">
        <v>4209</v>
      </c>
      <c r="B3842" t="s">
        <v>135</v>
      </c>
      <c r="C3842" t="s">
        <v>136</v>
      </c>
      <c r="D3842" t="str">
        <f>HYPERLINK("http://service.sap.com/sap/support/notes/1573942","1573942")</f>
        <v>1573942</v>
      </c>
      <c r="E3842">
        <v>3</v>
      </c>
      <c r="F3842" t="s">
        <v>4347</v>
      </c>
    </row>
    <row r="3843" spans="1:6" x14ac:dyDescent="0.25">
      <c r="A3843" t="s">
        <v>4209</v>
      </c>
      <c r="B3843" t="s">
        <v>135</v>
      </c>
      <c r="C3843" t="s">
        <v>136</v>
      </c>
      <c r="D3843" t="str">
        <f>HYPERLINK("http://service.sap.com/sap/support/notes/1648941","1648941")</f>
        <v>1648941</v>
      </c>
      <c r="E3843">
        <v>15</v>
      </c>
      <c r="F3843" t="s">
        <v>4348</v>
      </c>
    </row>
    <row r="3844" spans="1:6" x14ac:dyDescent="0.25">
      <c r="A3844" t="s">
        <v>4209</v>
      </c>
      <c r="B3844" t="s">
        <v>135</v>
      </c>
      <c r="C3844" t="s">
        <v>136</v>
      </c>
      <c r="D3844" t="str">
        <f>HYPERLINK("http://service.sap.com/sap/support/notes/1666081","1666081")</f>
        <v>1666081</v>
      </c>
      <c r="E3844">
        <v>3</v>
      </c>
      <c r="F3844" t="s">
        <v>4349</v>
      </c>
    </row>
    <row r="3845" spans="1:6" x14ac:dyDescent="0.25">
      <c r="A3845" t="s">
        <v>4209</v>
      </c>
      <c r="B3845" t="s">
        <v>135</v>
      </c>
      <c r="C3845" t="s">
        <v>136</v>
      </c>
      <c r="D3845" t="str">
        <f>HYPERLINK("http://service.sap.com/sap/support/notes/1675939","1675939")</f>
        <v>1675939</v>
      </c>
      <c r="E3845">
        <v>4</v>
      </c>
      <c r="F3845" t="s">
        <v>4350</v>
      </c>
    </row>
    <row r="3846" spans="1:6" x14ac:dyDescent="0.25">
      <c r="A3846" t="s">
        <v>4209</v>
      </c>
      <c r="B3846" t="s">
        <v>135</v>
      </c>
      <c r="C3846" t="s">
        <v>136</v>
      </c>
      <c r="D3846" t="str">
        <f>HYPERLINK("http://service.sap.com/sap/support/notes/1693654","1693654")</f>
        <v>1693654</v>
      </c>
      <c r="E3846">
        <v>2</v>
      </c>
      <c r="F3846" t="s">
        <v>4351</v>
      </c>
    </row>
    <row r="3847" spans="1:6" x14ac:dyDescent="0.25">
      <c r="A3847" t="s">
        <v>4209</v>
      </c>
      <c r="B3847" t="s">
        <v>135</v>
      </c>
      <c r="C3847" t="s">
        <v>136</v>
      </c>
      <c r="D3847" t="str">
        <f>HYPERLINK("http://service.sap.com/sap/support/notes/1701878","1701878")</f>
        <v>1701878</v>
      </c>
      <c r="E3847">
        <v>4</v>
      </c>
      <c r="F3847" t="s">
        <v>4352</v>
      </c>
    </row>
    <row r="3848" spans="1:6" x14ac:dyDescent="0.25">
      <c r="A3848" t="s">
        <v>4209</v>
      </c>
      <c r="B3848" t="s">
        <v>135</v>
      </c>
      <c r="C3848" t="s">
        <v>136</v>
      </c>
      <c r="D3848" t="str">
        <f>HYPERLINK("http://service.sap.com/sap/support/notes/1702933","1702933")</f>
        <v>1702933</v>
      </c>
      <c r="E3848">
        <v>2</v>
      </c>
      <c r="F3848" t="s">
        <v>4353</v>
      </c>
    </row>
    <row r="3849" spans="1:6" x14ac:dyDescent="0.25">
      <c r="A3849" t="s">
        <v>4209</v>
      </c>
      <c r="B3849" t="s">
        <v>135</v>
      </c>
      <c r="C3849" t="s">
        <v>136</v>
      </c>
      <c r="D3849" t="str">
        <f>HYPERLINK("http://service.sap.com/sap/support/notes/1704374","1704374")</f>
        <v>1704374</v>
      </c>
      <c r="E3849">
        <v>5</v>
      </c>
      <c r="F3849" t="s">
        <v>4354</v>
      </c>
    </row>
    <row r="3850" spans="1:6" x14ac:dyDescent="0.25">
      <c r="A3850" t="s">
        <v>4209</v>
      </c>
      <c r="B3850" t="s">
        <v>135</v>
      </c>
      <c r="C3850" t="s">
        <v>136</v>
      </c>
      <c r="D3850" t="str">
        <f>HYPERLINK("http://service.sap.com/sap/support/notes/1705593","1705593")</f>
        <v>1705593</v>
      </c>
      <c r="E3850">
        <v>4</v>
      </c>
      <c r="F3850" t="s">
        <v>4355</v>
      </c>
    </row>
    <row r="3851" spans="1:6" x14ac:dyDescent="0.25">
      <c r="A3851" t="s">
        <v>4209</v>
      </c>
      <c r="B3851" t="s">
        <v>135</v>
      </c>
      <c r="C3851" t="s">
        <v>136</v>
      </c>
      <c r="D3851" t="str">
        <f>HYPERLINK("http://service.sap.com/sap/support/notes/1708135","1708135")</f>
        <v>1708135</v>
      </c>
      <c r="E3851">
        <v>2</v>
      </c>
      <c r="F3851" t="s">
        <v>4356</v>
      </c>
    </row>
    <row r="3852" spans="1:6" x14ac:dyDescent="0.25">
      <c r="A3852" t="s">
        <v>4209</v>
      </c>
      <c r="B3852" t="s">
        <v>135</v>
      </c>
      <c r="C3852" t="s">
        <v>136</v>
      </c>
      <c r="D3852" t="str">
        <f>HYPERLINK("http://service.sap.com/sap/support/notes/1708884","1708884")</f>
        <v>1708884</v>
      </c>
      <c r="E3852">
        <v>2</v>
      </c>
      <c r="F3852" t="s">
        <v>4357</v>
      </c>
    </row>
    <row r="3853" spans="1:6" x14ac:dyDescent="0.25">
      <c r="A3853" t="s">
        <v>4209</v>
      </c>
      <c r="B3853" t="s">
        <v>135</v>
      </c>
      <c r="C3853" t="s">
        <v>136</v>
      </c>
      <c r="D3853" t="str">
        <f>HYPERLINK("http://service.sap.com/sap/support/notes/1710360","1710360")</f>
        <v>1710360</v>
      </c>
      <c r="E3853">
        <v>2</v>
      </c>
      <c r="F3853" t="s">
        <v>3027</v>
      </c>
    </row>
    <row r="3854" spans="1:6" x14ac:dyDescent="0.25">
      <c r="A3854" t="s">
        <v>4209</v>
      </c>
      <c r="B3854" t="s">
        <v>135</v>
      </c>
      <c r="C3854" t="s">
        <v>136</v>
      </c>
      <c r="D3854" t="str">
        <f>HYPERLINK("http://service.sap.com/sap/support/notes/1710503","1710503")</f>
        <v>1710503</v>
      </c>
      <c r="E3854">
        <v>2</v>
      </c>
      <c r="F3854" t="s">
        <v>4358</v>
      </c>
    </row>
    <row r="3855" spans="1:6" x14ac:dyDescent="0.25">
      <c r="A3855" t="s">
        <v>4209</v>
      </c>
      <c r="B3855" t="s">
        <v>135</v>
      </c>
      <c r="C3855" t="s">
        <v>136</v>
      </c>
      <c r="D3855" t="str">
        <f>HYPERLINK("http://service.sap.com/sap/support/notes/1711641","1711641")</f>
        <v>1711641</v>
      </c>
      <c r="E3855">
        <v>15</v>
      </c>
      <c r="F3855" t="s">
        <v>4359</v>
      </c>
    </row>
    <row r="3856" spans="1:6" x14ac:dyDescent="0.25">
      <c r="A3856" t="s">
        <v>4209</v>
      </c>
      <c r="B3856" t="s">
        <v>135</v>
      </c>
      <c r="C3856" t="s">
        <v>136</v>
      </c>
      <c r="D3856" t="str">
        <f>HYPERLINK("http://service.sap.com/sap/support/notes/1715485","1715485")</f>
        <v>1715485</v>
      </c>
      <c r="E3856">
        <v>3</v>
      </c>
      <c r="F3856" t="s">
        <v>4360</v>
      </c>
    </row>
    <row r="3857" spans="1:6" x14ac:dyDescent="0.25">
      <c r="A3857" t="s">
        <v>4209</v>
      </c>
      <c r="B3857" t="s">
        <v>135</v>
      </c>
      <c r="C3857" t="s">
        <v>136</v>
      </c>
      <c r="D3857" t="str">
        <f>HYPERLINK("http://service.sap.com/sap/support/notes/1716851","1716851")</f>
        <v>1716851</v>
      </c>
      <c r="E3857">
        <v>2</v>
      </c>
      <c r="F3857" t="s">
        <v>4361</v>
      </c>
    </row>
    <row r="3858" spans="1:6" x14ac:dyDescent="0.25">
      <c r="A3858" t="s">
        <v>4209</v>
      </c>
      <c r="B3858" t="s">
        <v>135</v>
      </c>
      <c r="C3858" t="s">
        <v>136</v>
      </c>
      <c r="D3858" t="str">
        <f>HYPERLINK("http://service.sap.com/sap/support/notes/1717105","1717105")</f>
        <v>1717105</v>
      </c>
      <c r="E3858">
        <v>3</v>
      </c>
      <c r="F3858" t="s">
        <v>4362</v>
      </c>
    </row>
    <row r="3859" spans="1:6" x14ac:dyDescent="0.25">
      <c r="A3859" t="s">
        <v>4209</v>
      </c>
      <c r="B3859" t="s">
        <v>135</v>
      </c>
      <c r="C3859" t="s">
        <v>136</v>
      </c>
      <c r="D3859" t="str">
        <f>HYPERLINK("http://service.sap.com/sap/support/notes/1718147","1718147")</f>
        <v>1718147</v>
      </c>
      <c r="E3859">
        <v>2</v>
      </c>
      <c r="F3859" t="s">
        <v>4363</v>
      </c>
    </row>
    <row r="3860" spans="1:6" x14ac:dyDescent="0.25">
      <c r="A3860" t="s">
        <v>4209</v>
      </c>
      <c r="B3860" t="s">
        <v>135</v>
      </c>
      <c r="C3860" t="s">
        <v>136</v>
      </c>
      <c r="D3860" t="str">
        <f>HYPERLINK("http://service.sap.com/sap/support/notes/1720198","1720198")</f>
        <v>1720198</v>
      </c>
      <c r="E3860">
        <v>2</v>
      </c>
      <c r="F3860" t="s">
        <v>4364</v>
      </c>
    </row>
    <row r="3861" spans="1:6" x14ac:dyDescent="0.25">
      <c r="A3861" t="s">
        <v>4209</v>
      </c>
      <c r="B3861" t="s">
        <v>135</v>
      </c>
      <c r="C3861" t="s">
        <v>136</v>
      </c>
      <c r="D3861" t="str">
        <f>HYPERLINK("http://service.sap.com/sap/support/notes/1720263","1720263")</f>
        <v>1720263</v>
      </c>
      <c r="E3861">
        <v>2</v>
      </c>
      <c r="F3861" t="s">
        <v>4365</v>
      </c>
    </row>
    <row r="3862" spans="1:6" x14ac:dyDescent="0.25">
      <c r="A3862" t="s">
        <v>4209</v>
      </c>
      <c r="B3862" t="s">
        <v>135</v>
      </c>
      <c r="C3862" t="s">
        <v>136</v>
      </c>
      <c r="D3862" t="str">
        <f>HYPERLINK("http://service.sap.com/sap/support/notes/1720723","1720723")</f>
        <v>1720723</v>
      </c>
      <c r="E3862">
        <v>3</v>
      </c>
      <c r="F3862" t="s">
        <v>4366</v>
      </c>
    </row>
    <row r="3863" spans="1:6" x14ac:dyDescent="0.25">
      <c r="A3863" t="s">
        <v>4209</v>
      </c>
      <c r="B3863" t="s">
        <v>135</v>
      </c>
      <c r="C3863" t="s">
        <v>136</v>
      </c>
      <c r="D3863" t="str">
        <f>HYPERLINK("http://service.sap.com/sap/support/notes/1721297","1721297")</f>
        <v>1721297</v>
      </c>
      <c r="E3863">
        <v>3</v>
      </c>
      <c r="F3863" t="s">
        <v>4367</v>
      </c>
    </row>
    <row r="3864" spans="1:6" x14ac:dyDescent="0.25">
      <c r="A3864" t="s">
        <v>4209</v>
      </c>
      <c r="B3864" t="s">
        <v>135</v>
      </c>
      <c r="C3864" t="s">
        <v>136</v>
      </c>
      <c r="D3864" t="str">
        <f>HYPERLINK("http://service.sap.com/sap/support/notes/1721802","1721802")</f>
        <v>1721802</v>
      </c>
      <c r="E3864">
        <v>4</v>
      </c>
      <c r="F3864" t="s">
        <v>4368</v>
      </c>
    </row>
    <row r="3865" spans="1:6" x14ac:dyDescent="0.25">
      <c r="A3865" t="s">
        <v>4209</v>
      </c>
      <c r="B3865" t="s">
        <v>135</v>
      </c>
      <c r="C3865" t="s">
        <v>136</v>
      </c>
      <c r="D3865" t="str">
        <f>HYPERLINK("http://service.sap.com/sap/support/notes/1722800","1722800")</f>
        <v>1722800</v>
      </c>
      <c r="E3865">
        <v>2</v>
      </c>
      <c r="F3865" t="s">
        <v>4369</v>
      </c>
    </row>
    <row r="3866" spans="1:6" x14ac:dyDescent="0.25">
      <c r="A3866" t="s">
        <v>4209</v>
      </c>
      <c r="B3866" t="s">
        <v>135</v>
      </c>
      <c r="C3866" t="s">
        <v>136</v>
      </c>
      <c r="D3866" t="str">
        <f>HYPERLINK("http://service.sap.com/sap/support/notes/1722862","1722862")</f>
        <v>1722862</v>
      </c>
      <c r="E3866">
        <v>2</v>
      </c>
      <c r="F3866" t="s">
        <v>4370</v>
      </c>
    </row>
    <row r="3867" spans="1:6" x14ac:dyDescent="0.25">
      <c r="A3867" t="s">
        <v>4209</v>
      </c>
      <c r="B3867" t="s">
        <v>135</v>
      </c>
      <c r="C3867" t="s">
        <v>136</v>
      </c>
      <c r="D3867" t="str">
        <f>HYPERLINK("http://service.sap.com/sap/support/notes/1722917","1722917")</f>
        <v>1722917</v>
      </c>
      <c r="E3867">
        <v>2</v>
      </c>
      <c r="F3867" t="s">
        <v>4371</v>
      </c>
    </row>
    <row r="3868" spans="1:6" x14ac:dyDescent="0.25">
      <c r="A3868" t="s">
        <v>4209</v>
      </c>
      <c r="B3868" t="s">
        <v>135</v>
      </c>
      <c r="C3868" t="s">
        <v>136</v>
      </c>
      <c r="D3868" t="str">
        <f>HYPERLINK("http://service.sap.com/sap/support/notes/1723266","1723266")</f>
        <v>1723266</v>
      </c>
      <c r="E3868">
        <v>3</v>
      </c>
      <c r="F3868" t="s">
        <v>4372</v>
      </c>
    </row>
    <row r="3869" spans="1:6" x14ac:dyDescent="0.25">
      <c r="A3869" t="s">
        <v>4209</v>
      </c>
      <c r="B3869" t="s">
        <v>135</v>
      </c>
      <c r="C3869" t="s">
        <v>136</v>
      </c>
      <c r="D3869" t="str">
        <f>HYPERLINK("http://service.sap.com/sap/support/notes/1724076","1724076")</f>
        <v>1724076</v>
      </c>
      <c r="E3869">
        <v>5</v>
      </c>
      <c r="F3869" t="s">
        <v>4373</v>
      </c>
    </row>
    <row r="3870" spans="1:6" x14ac:dyDescent="0.25">
      <c r="A3870" t="s">
        <v>4209</v>
      </c>
      <c r="B3870" t="s">
        <v>135</v>
      </c>
      <c r="C3870" t="s">
        <v>136</v>
      </c>
      <c r="D3870" t="str">
        <f>HYPERLINK("http://service.sap.com/sap/support/notes/1724724","1724724")</f>
        <v>1724724</v>
      </c>
      <c r="E3870">
        <v>3</v>
      </c>
      <c r="F3870" t="s">
        <v>4374</v>
      </c>
    </row>
    <row r="3871" spans="1:6" x14ac:dyDescent="0.25">
      <c r="A3871" t="s">
        <v>4209</v>
      </c>
      <c r="B3871" t="s">
        <v>135</v>
      </c>
      <c r="C3871" t="s">
        <v>136</v>
      </c>
      <c r="D3871" t="str">
        <f>HYPERLINK("http://service.sap.com/sap/support/notes/1725233","1725233")</f>
        <v>1725233</v>
      </c>
      <c r="E3871">
        <v>2</v>
      </c>
      <c r="F3871" t="s">
        <v>4375</v>
      </c>
    </row>
    <row r="3872" spans="1:6" x14ac:dyDescent="0.25">
      <c r="A3872" t="s">
        <v>4209</v>
      </c>
      <c r="B3872" t="s">
        <v>135</v>
      </c>
      <c r="C3872" t="s">
        <v>136</v>
      </c>
      <c r="D3872" t="str">
        <f>HYPERLINK("http://service.sap.com/sap/support/notes/1726945","1726945")</f>
        <v>1726945</v>
      </c>
      <c r="E3872">
        <v>2</v>
      </c>
      <c r="F3872" t="s">
        <v>4376</v>
      </c>
    </row>
    <row r="3873" spans="1:6" x14ac:dyDescent="0.25">
      <c r="A3873" t="s">
        <v>4209</v>
      </c>
      <c r="B3873" t="s">
        <v>135</v>
      </c>
      <c r="C3873" t="s">
        <v>136</v>
      </c>
      <c r="D3873" t="str">
        <f>HYPERLINK("http://service.sap.com/sap/support/notes/1729278","1729278")</f>
        <v>1729278</v>
      </c>
      <c r="E3873">
        <v>2</v>
      </c>
      <c r="F3873" t="s">
        <v>4377</v>
      </c>
    </row>
    <row r="3874" spans="1:6" x14ac:dyDescent="0.25">
      <c r="A3874" t="s">
        <v>4209</v>
      </c>
      <c r="B3874" t="s">
        <v>135</v>
      </c>
      <c r="C3874" t="s">
        <v>136</v>
      </c>
      <c r="D3874" t="str">
        <f>HYPERLINK("http://service.sap.com/sap/support/notes/1729330","1729330")</f>
        <v>1729330</v>
      </c>
      <c r="E3874">
        <v>1</v>
      </c>
      <c r="F3874" t="s">
        <v>4378</v>
      </c>
    </row>
    <row r="3875" spans="1:6" x14ac:dyDescent="0.25">
      <c r="A3875" t="s">
        <v>4209</v>
      </c>
      <c r="B3875" t="s">
        <v>135</v>
      </c>
      <c r="C3875" t="s">
        <v>136</v>
      </c>
      <c r="D3875" t="str">
        <f>HYPERLINK("http://service.sap.com/sap/support/notes/1729768","1729768")</f>
        <v>1729768</v>
      </c>
      <c r="E3875">
        <v>2</v>
      </c>
      <c r="F3875" t="s">
        <v>4379</v>
      </c>
    </row>
    <row r="3876" spans="1:6" x14ac:dyDescent="0.25">
      <c r="A3876" t="s">
        <v>4209</v>
      </c>
      <c r="B3876" t="s">
        <v>135</v>
      </c>
      <c r="C3876" t="s">
        <v>136</v>
      </c>
      <c r="D3876" t="str">
        <f>HYPERLINK("http://service.sap.com/sap/support/notes/1729920","1729920")</f>
        <v>1729920</v>
      </c>
      <c r="E3876">
        <v>1</v>
      </c>
      <c r="F3876" t="s">
        <v>4380</v>
      </c>
    </row>
    <row r="3877" spans="1:6" x14ac:dyDescent="0.25">
      <c r="A3877" t="s">
        <v>4209</v>
      </c>
      <c r="B3877" t="s">
        <v>137</v>
      </c>
      <c r="C3877" t="s">
        <v>40</v>
      </c>
      <c r="D3877" t="str">
        <f>HYPERLINK("http://service.sap.com/sap/support/notes/1719070","1719070")</f>
        <v>1719070</v>
      </c>
      <c r="E3877">
        <v>2</v>
      </c>
      <c r="F3877" t="s">
        <v>4381</v>
      </c>
    </row>
    <row r="3878" spans="1:6" x14ac:dyDescent="0.25">
      <c r="A3878" t="s">
        <v>4209</v>
      </c>
      <c r="B3878" t="s">
        <v>138</v>
      </c>
      <c r="C3878" t="s">
        <v>42</v>
      </c>
      <c r="D3878" t="str">
        <f>HYPERLINK("http://service.sap.com/sap/support/notes/1717464","1717464")</f>
        <v>1717464</v>
      </c>
      <c r="E3878">
        <v>5</v>
      </c>
      <c r="F3878" t="s">
        <v>3997</v>
      </c>
    </row>
    <row r="3879" spans="1:6" x14ac:dyDescent="0.25">
      <c r="A3879" t="s">
        <v>4209</v>
      </c>
      <c r="B3879" t="s">
        <v>138</v>
      </c>
      <c r="C3879" t="s">
        <v>42</v>
      </c>
      <c r="D3879" t="str">
        <f>HYPERLINK("http://service.sap.com/sap/support/notes/1718629","1718629")</f>
        <v>1718629</v>
      </c>
      <c r="E3879">
        <v>1</v>
      </c>
      <c r="F3879" t="s">
        <v>4382</v>
      </c>
    </row>
    <row r="3880" spans="1:6" x14ac:dyDescent="0.25">
      <c r="A3880" t="s">
        <v>4209</v>
      </c>
      <c r="B3880" t="s">
        <v>138</v>
      </c>
      <c r="C3880" t="s">
        <v>42</v>
      </c>
      <c r="D3880" t="str">
        <f>HYPERLINK("http://service.sap.com/sap/support/notes/1721717","1721717")</f>
        <v>1721717</v>
      </c>
      <c r="E3880">
        <v>1</v>
      </c>
      <c r="F3880" t="s">
        <v>4383</v>
      </c>
    </row>
    <row r="3881" spans="1:6" x14ac:dyDescent="0.25">
      <c r="A3881" t="s">
        <v>4209</v>
      </c>
      <c r="B3881" t="s">
        <v>138</v>
      </c>
      <c r="C3881" t="s">
        <v>42</v>
      </c>
      <c r="D3881" t="str">
        <f>HYPERLINK("http://service.sap.com/sap/support/notes/1721906","1721906")</f>
        <v>1721906</v>
      </c>
      <c r="E3881">
        <v>1</v>
      </c>
      <c r="F3881" t="s">
        <v>4384</v>
      </c>
    </row>
    <row r="3882" spans="1:6" x14ac:dyDescent="0.25">
      <c r="A3882" t="s">
        <v>4209</v>
      </c>
      <c r="B3882" t="s">
        <v>138</v>
      </c>
      <c r="C3882" t="s">
        <v>42</v>
      </c>
      <c r="D3882" t="str">
        <f>HYPERLINK("http://service.sap.com/sap/support/notes/1723882","1723882")</f>
        <v>1723882</v>
      </c>
      <c r="E3882">
        <v>3</v>
      </c>
      <c r="F3882" t="s">
        <v>4385</v>
      </c>
    </row>
    <row r="3883" spans="1:6" x14ac:dyDescent="0.25">
      <c r="A3883" t="s">
        <v>4209</v>
      </c>
      <c r="B3883" t="s">
        <v>138</v>
      </c>
      <c r="C3883" t="s">
        <v>42</v>
      </c>
      <c r="D3883" t="str">
        <f>HYPERLINK("http://service.sap.com/sap/support/notes/1725128","1725128")</f>
        <v>1725128</v>
      </c>
      <c r="E3883">
        <v>1</v>
      </c>
      <c r="F3883" t="s">
        <v>4386</v>
      </c>
    </row>
    <row r="3884" spans="1:6" x14ac:dyDescent="0.25">
      <c r="A3884" t="s">
        <v>4209</v>
      </c>
      <c r="B3884" t="s">
        <v>138</v>
      </c>
      <c r="C3884" t="s">
        <v>42</v>
      </c>
      <c r="D3884" t="str">
        <f>HYPERLINK("http://service.sap.com/sap/support/notes/1726333","1726333")</f>
        <v>1726333</v>
      </c>
      <c r="E3884">
        <v>2</v>
      </c>
      <c r="F3884" t="s">
        <v>4387</v>
      </c>
    </row>
    <row r="3885" spans="1:6" x14ac:dyDescent="0.25">
      <c r="A3885" t="s">
        <v>4209</v>
      </c>
      <c r="B3885" t="s">
        <v>138</v>
      </c>
      <c r="C3885" t="s">
        <v>42</v>
      </c>
      <c r="D3885" t="str">
        <f>HYPERLINK("http://service.sap.com/sap/support/notes/1726658","1726658")</f>
        <v>1726658</v>
      </c>
      <c r="E3885">
        <v>2</v>
      </c>
      <c r="F3885" t="s">
        <v>4388</v>
      </c>
    </row>
    <row r="3886" spans="1:6" x14ac:dyDescent="0.25">
      <c r="A3886" t="s">
        <v>4209</v>
      </c>
      <c r="B3886" t="s">
        <v>138</v>
      </c>
      <c r="C3886" t="s">
        <v>42</v>
      </c>
      <c r="D3886" t="str">
        <f>HYPERLINK("http://service.sap.com/sap/support/notes/1728560","1728560")</f>
        <v>1728560</v>
      </c>
      <c r="E3886">
        <v>3</v>
      </c>
      <c r="F3886" t="s">
        <v>4389</v>
      </c>
    </row>
    <row r="3887" spans="1:6" x14ac:dyDescent="0.25">
      <c r="A3887" t="s">
        <v>4209</v>
      </c>
      <c r="B3887" t="s">
        <v>138</v>
      </c>
      <c r="C3887" t="s">
        <v>42</v>
      </c>
      <c r="D3887" t="str">
        <f>HYPERLINK("http://service.sap.com/sap/support/notes/1729821","1729821")</f>
        <v>1729821</v>
      </c>
      <c r="E3887">
        <v>2</v>
      </c>
      <c r="F3887" t="s">
        <v>4390</v>
      </c>
    </row>
    <row r="3888" spans="1:6" x14ac:dyDescent="0.25">
      <c r="A3888" t="s">
        <v>4209</v>
      </c>
      <c r="B3888" t="s">
        <v>138</v>
      </c>
      <c r="C3888" t="s">
        <v>42</v>
      </c>
      <c r="D3888" t="str">
        <f>HYPERLINK("http://service.sap.com/sap/support/notes/1730051","1730051")</f>
        <v>1730051</v>
      </c>
      <c r="E3888">
        <v>1</v>
      </c>
      <c r="F3888" t="s">
        <v>4391</v>
      </c>
    </row>
    <row r="3889" spans="1:6" x14ac:dyDescent="0.25">
      <c r="A3889" t="s">
        <v>4209</v>
      </c>
      <c r="B3889" t="s">
        <v>138</v>
      </c>
      <c r="C3889" t="s">
        <v>42</v>
      </c>
      <c r="D3889" t="str">
        <f>HYPERLINK("http://service.sap.com/sap/support/notes/1730372","1730372")</f>
        <v>1730372</v>
      </c>
      <c r="E3889">
        <v>1</v>
      </c>
      <c r="F3889" t="s">
        <v>4392</v>
      </c>
    </row>
    <row r="3890" spans="1:6" x14ac:dyDescent="0.25">
      <c r="A3890" t="s">
        <v>4209</v>
      </c>
      <c r="B3890" t="s">
        <v>138</v>
      </c>
      <c r="C3890" t="s">
        <v>42</v>
      </c>
      <c r="D3890" t="str">
        <f>HYPERLINK("http://service.sap.com/sap/support/notes/1730454","1730454")</f>
        <v>1730454</v>
      </c>
      <c r="E3890">
        <v>2</v>
      </c>
      <c r="F3890" t="s">
        <v>4393</v>
      </c>
    </row>
    <row r="3891" spans="1:6" x14ac:dyDescent="0.25">
      <c r="A3891" t="s">
        <v>4209</v>
      </c>
      <c r="B3891" t="s">
        <v>138</v>
      </c>
      <c r="C3891" t="s">
        <v>42</v>
      </c>
      <c r="D3891" t="str">
        <f>HYPERLINK("http://service.sap.com/sap/support/notes/1730512","1730512")</f>
        <v>1730512</v>
      </c>
      <c r="E3891">
        <v>1</v>
      </c>
      <c r="F3891" t="s">
        <v>4394</v>
      </c>
    </row>
    <row r="3892" spans="1:6" x14ac:dyDescent="0.25">
      <c r="A3892" t="s">
        <v>4209</v>
      </c>
      <c r="B3892" t="s">
        <v>139</v>
      </c>
      <c r="C3892" t="s">
        <v>140</v>
      </c>
      <c r="D3892" t="str">
        <f>HYPERLINK("http://service.sap.com/sap/support/notes/1723546","1723546")</f>
        <v>1723546</v>
      </c>
      <c r="E3892">
        <v>2</v>
      </c>
      <c r="F3892" t="s">
        <v>4395</v>
      </c>
    </row>
    <row r="3893" spans="1:6" x14ac:dyDescent="0.25">
      <c r="A3893" t="s">
        <v>4209</v>
      </c>
      <c r="B3893" t="s">
        <v>4396</v>
      </c>
      <c r="C3893" t="s">
        <v>4397</v>
      </c>
      <c r="D3893" t="str">
        <f>HYPERLINK("http://service.sap.com/sap/support/notes/1716469","1716469")</f>
        <v>1716469</v>
      </c>
      <c r="E3893">
        <v>2</v>
      </c>
      <c r="F3893" t="s">
        <v>4398</v>
      </c>
    </row>
    <row r="3894" spans="1:6" x14ac:dyDescent="0.25">
      <c r="A3894" t="s">
        <v>4209</v>
      </c>
      <c r="B3894" t="s">
        <v>374</v>
      </c>
      <c r="C3894" t="s">
        <v>313</v>
      </c>
    </row>
    <row r="3895" spans="1:6" x14ac:dyDescent="0.25">
      <c r="A3895" t="s">
        <v>4209</v>
      </c>
      <c r="B3895" t="s">
        <v>375</v>
      </c>
      <c r="C3895" t="s">
        <v>376</v>
      </c>
      <c r="D3895" t="str">
        <f>HYPERLINK("http://service.sap.com/sap/support/notes/1716467","1716467")</f>
        <v>1716467</v>
      </c>
      <c r="E3895">
        <v>2</v>
      </c>
      <c r="F3895" t="s">
        <v>397</v>
      </c>
    </row>
    <row r="3896" spans="1:6" x14ac:dyDescent="0.25">
      <c r="A3896" t="s">
        <v>4209</v>
      </c>
      <c r="B3896" t="s">
        <v>322</v>
      </c>
      <c r="C3896" t="s">
        <v>115</v>
      </c>
    </row>
    <row r="3897" spans="1:6" x14ac:dyDescent="0.25">
      <c r="A3897" t="s">
        <v>4209</v>
      </c>
      <c r="B3897" t="s">
        <v>398</v>
      </c>
      <c r="C3897" t="s">
        <v>123</v>
      </c>
      <c r="D3897" t="str">
        <f>HYPERLINK("http://service.sap.com/sap/support/notes/1721812","1721812")</f>
        <v>1721812</v>
      </c>
      <c r="E3897">
        <v>1</v>
      </c>
      <c r="F3897" t="s">
        <v>4399</v>
      </c>
    </row>
    <row r="3898" spans="1:6" x14ac:dyDescent="0.25">
      <c r="A3898" t="s">
        <v>4209</v>
      </c>
      <c r="B3898" t="s">
        <v>142</v>
      </c>
      <c r="C3898" t="s">
        <v>82</v>
      </c>
      <c r="D3898" t="str">
        <f>HYPERLINK("http://service.sap.com/sap/support/notes/1711369","1711369")</f>
        <v>1711369</v>
      </c>
      <c r="E3898">
        <v>2</v>
      </c>
      <c r="F3898" t="s">
        <v>4001</v>
      </c>
    </row>
    <row r="3899" spans="1:6" x14ac:dyDescent="0.25">
      <c r="A3899" t="s">
        <v>4209</v>
      </c>
      <c r="B3899" t="s">
        <v>142</v>
      </c>
      <c r="C3899" t="s">
        <v>82</v>
      </c>
      <c r="D3899" t="str">
        <f>HYPERLINK("http://service.sap.com/sap/support/notes/1715512","1715512")</f>
        <v>1715512</v>
      </c>
      <c r="E3899">
        <v>1</v>
      </c>
      <c r="F3899" t="s">
        <v>4400</v>
      </c>
    </row>
    <row r="3900" spans="1:6" x14ac:dyDescent="0.25">
      <c r="A3900" t="s">
        <v>4209</v>
      </c>
      <c r="B3900" t="s">
        <v>142</v>
      </c>
      <c r="C3900" t="s">
        <v>82</v>
      </c>
      <c r="D3900" t="str">
        <f>HYPERLINK("http://service.sap.com/sap/support/notes/1723892","1723892")</f>
        <v>1723892</v>
      </c>
      <c r="E3900">
        <v>1</v>
      </c>
      <c r="F3900" t="s">
        <v>4401</v>
      </c>
    </row>
    <row r="3901" spans="1:6" x14ac:dyDescent="0.25">
      <c r="A3901" t="s">
        <v>4209</v>
      </c>
      <c r="B3901" t="s">
        <v>143</v>
      </c>
      <c r="C3901" t="s">
        <v>132</v>
      </c>
      <c r="D3901" t="str">
        <f>HYPERLINK("http://service.sap.com/sap/support/notes/1716087","1716087")</f>
        <v>1716087</v>
      </c>
      <c r="E3901">
        <v>3</v>
      </c>
      <c r="F3901" t="s">
        <v>4402</v>
      </c>
    </row>
    <row r="3902" spans="1:6" x14ac:dyDescent="0.25">
      <c r="A3902" t="s">
        <v>4209</v>
      </c>
      <c r="B3902" t="s">
        <v>143</v>
      </c>
      <c r="C3902" t="s">
        <v>132</v>
      </c>
      <c r="D3902" t="str">
        <f>HYPERLINK("http://service.sap.com/sap/support/notes/1718469","1718469")</f>
        <v>1718469</v>
      </c>
      <c r="E3902">
        <v>2</v>
      </c>
      <c r="F3902" t="s">
        <v>4403</v>
      </c>
    </row>
    <row r="3903" spans="1:6" x14ac:dyDescent="0.25">
      <c r="A3903" t="s">
        <v>4209</v>
      </c>
      <c r="B3903" t="s">
        <v>146</v>
      </c>
      <c r="C3903" t="s">
        <v>147</v>
      </c>
      <c r="D3903" t="str">
        <f>HYPERLINK("http://service.sap.com/sap/support/notes/1719398","1719398")</f>
        <v>1719398</v>
      </c>
      <c r="E3903">
        <v>2</v>
      </c>
      <c r="F3903" t="s">
        <v>4404</v>
      </c>
    </row>
    <row r="3904" spans="1:6" x14ac:dyDescent="0.25">
      <c r="A3904" t="s">
        <v>4209</v>
      </c>
      <c r="B3904" t="s">
        <v>146</v>
      </c>
      <c r="C3904" t="s">
        <v>147</v>
      </c>
      <c r="D3904" t="str">
        <f>HYPERLINK("http://service.sap.com/sap/support/notes/1721320","1721320")</f>
        <v>1721320</v>
      </c>
      <c r="E3904">
        <v>1</v>
      </c>
      <c r="F3904" t="s">
        <v>4405</v>
      </c>
    </row>
    <row r="3905" spans="1:6" x14ac:dyDescent="0.25">
      <c r="A3905" t="s">
        <v>4209</v>
      </c>
      <c r="B3905" t="s">
        <v>146</v>
      </c>
      <c r="C3905" t="s">
        <v>147</v>
      </c>
      <c r="D3905" t="str">
        <f>HYPERLINK("http://service.sap.com/sap/support/notes/1722525","1722525")</f>
        <v>1722525</v>
      </c>
      <c r="E3905">
        <v>2</v>
      </c>
      <c r="F3905" t="s">
        <v>4406</v>
      </c>
    </row>
    <row r="3906" spans="1:6" x14ac:dyDescent="0.25">
      <c r="A3906" t="s">
        <v>4209</v>
      </c>
      <c r="B3906" t="s">
        <v>146</v>
      </c>
      <c r="C3906" t="s">
        <v>147</v>
      </c>
      <c r="D3906" t="str">
        <f>HYPERLINK("http://service.sap.com/sap/support/notes/1730542","1730542")</f>
        <v>1730542</v>
      </c>
      <c r="E3906">
        <v>1</v>
      </c>
      <c r="F3906" t="s">
        <v>4407</v>
      </c>
    </row>
    <row r="3907" spans="1:6" x14ac:dyDescent="0.25">
      <c r="A3907" t="s">
        <v>4209</v>
      </c>
      <c r="B3907" t="s">
        <v>149</v>
      </c>
      <c r="C3907" t="s">
        <v>150</v>
      </c>
      <c r="D3907" t="str">
        <f>HYPERLINK("http://service.sap.com/sap/support/notes/1671237","1671237")</f>
        <v>1671237</v>
      </c>
      <c r="E3907">
        <v>4</v>
      </c>
      <c r="F3907" t="s">
        <v>4408</v>
      </c>
    </row>
    <row r="3908" spans="1:6" x14ac:dyDescent="0.25">
      <c r="A3908" t="s">
        <v>4209</v>
      </c>
      <c r="B3908" t="s">
        <v>149</v>
      </c>
      <c r="C3908" t="s">
        <v>150</v>
      </c>
      <c r="D3908" t="str">
        <f>HYPERLINK("http://service.sap.com/sap/support/notes/1717783","1717783")</f>
        <v>1717783</v>
      </c>
      <c r="E3908">
        <v>1</v>
      </c>
      <c r="F3908" t="s">
        <v>4409</v>
      </c>
    </row>
    <row r="3909" spans="1:6" x14ac:dyDescent="0.25">
      <c r="A3909" t="s">
        <v>4209</v>
      </c>
      <c r="B3909" t="s">
        <v>149</v>
      </c>
      <c r="C3909" t="s">
        <v>150</v>
      </c>
      <c r="D3909" t="str">
        <f>HYPERLINK("http://service.sap.com/sap/support/notes/1720816","1720816")</f>
        <v>1720816</v>
      </c>
      <c r="E3909">
        <v>2</v>
      </c>
      <c r="F3909" t="s">
        <v>4410</v>
      </c>
    </row>
    <row r="3910" spans="1:6" x14ac:dyDescent="0.25">
      <c r="A3910" t="s">
        <v>4209</v>
      </c>
      <c r="B3910" t="s">
        <v>149</v>
      </c>
      <c r="C3910" t="s">
        <v>150</v>
      </c>
      <c r="D3910" t="str">
        <f>HYPERLINK("http://service.sap.com/sap/support/notes/1724027","1724027")</f>
        <v>1724027</v>
      </c>
      <c r="E3910">
        <v>1</v>
      </c>
      <c r="F3910" t="s">
        <v>4411</v>
      </c>
    </row>
    <row r="3911" spans="1:6" x14ac:dyDescent="0.25">
      <c r="A3911" t="s">
        <v>4209</v>
      </c>
      <c r="B3911" t="s">
        <v>2103</v>
      </c>
      <c r="C3911" t="s">
        <v>132</v>
      </c>
      <c r="D3911" t="str">
        <f>HYPERLINK("http://service.sap.com/sap/support/notes/1684914","1684914")</f>
        <v>1684914</v>
      </c>
      <c r="E3911">
        <v>2</v>
      </c>
      <c r="F3911" t="s">
        <v>4412</v>
      </c>
    </row>
    <row r="3912" spans="1:6" x14ac:dyDescent="0.25">
      <c r="A3912" t="s">
        <v>4209</v>
      </c>
      <c r="B3912" t="s">
        <v>2103</v>
      </c>
      <c r="C3912" t="s">
        <v>132</v>
      </c>
      <c r="D3912" t="str">
        <f>HYPERLINK("http://service.sap.com/sap/support/notes/1689869","1689869")</f>
        <v>1689869</v>
      </c>
      <c r="E3912">
        <v>3</v>
      </c>
      <c r="F3912" t="s">
        <v>3464</v>
      </c>
    </row>
    <row r="3913" spans="1:6" x14ac:dyDescent="0.25">
      <c r="A3913" t="s">
        <v>4209</v>
      </c>
      <c r="B3913" t="s">
        <v>152</v>
      </c>
      <c r="C3913" t="s">
        <v>47</v>
      </c>
      <c r="D3913" t="str">
        <f>HYPERLINK("http://service.sap.com/sap/support/notes/1665182","1665182")</f>
        <v>1665182</v>
      </c>
      <c r="E3913">
        <v>3</v>
      </c>
      <c r="F3913" t="s">
        <v>4413</v>
      </c>
    </row>
    <row r="3914" spans="1:6" x14ac:dyDescent="0.25">
      <c r="A3914" t="s">
        <v>4209</v>
      </c>
      <c r="B3914" t="s">
        <v>152</v>
      </c>
      <c r="C3914" t="s">
        <v>47</v>
      </c>
      <c r="D3914" t="str">
        <f>HYPERLINK("http://service.sap.com/sap/support/notes/1682736","1682736")</f>
        <v>1682736</v>
      </c>
      <c r="E3914">
        <v>2</v>
      </c>
      <c r="F3914" t="s">
        <v>4414</v>
      </c>
    </row>
    <row r="3915" spans="1:6" x14ac:dyDescent="0.25">
      <c r="A3915" t="s">
        <v>4209</v>
      </c>
      <c r="B3915" t="s">
        <v>152</v>
      </c>
      <c r="C3915" t="s">
        <v>47</v>
      </c>
      <c r="D3915" t="str">
        <f>HYPERLINK("http://service.sap.com/sap/support/notes/1687077","1687077")</f>
        <v>1687077</v>
      </c>
      <c r="E3915">
        <v>2</v>
      </c>
      <c r="F3915" t="s">
        <v>4415</v>
      </c>
    </row>
    <row r="3916" spans="1:6" x14ac:dyDescent="0.25">
      <c r="A3916" t="s">
        <v>4209</v>
      </c>
      <c r="B3916" t="s">
        <v>152</v>
      </c>
      <c r="C3916" t="s">
        <v>47</v>
      </c>
      <c r="D3916" t="str">
        <f>HYPERLINK("http://service.sap.com/sap/support/notes/1704679","1704679")</f>
        <v>1704679</v>
      </c>
      <c r="E3916">
        <v>3</v>
      </c>
      <c r="F3916" t="s">
        <v>4416</v>
      </c>
    </row>
    <row r="3917" spans="1:6" x14ac:dyDescent="0.25">
      <c r="A3917" t="s">
        <v>4209</v>
      </c>
      <c r="B3917" t="s">
        <v>152</v>
      </c>
      <c r="C3917" t="s">
        <v>47</v>
      </c>
      <c r="D3917" t="str">
        <f>HYPERLINK("http://service.sap.com/sap/support/notes/1706762","1706762")</f>
        <v>1706762</v>
      </c>
      <c r="E3917">
        <v>2</v>
      </c>
      <c r="F3917" t="s">
        <v>4417</v>
      </c>
    </row>
    <row r="3918" spans="1:6" x14ac:dyDescent="0.25">
      <c r="A3918" t="s">
        <v>4209</v>
      </c>
      <c r="B3918" t="s">
        <v>152</v>
      </c>
      <c r="C3918" t="s">
        <v>47</v>
      </c>
      <c r="D3918" t="str">
        <f>HYPERLINK("http://service.sap.com/sap/support/notes/1708534","1708534")</f>
        <v>1708534</v>
      </c>
      <c r="E3918">
        <v>4</v>
      </c>
      <c r="F3918" t="s">
        <v>4418</v>
      </c>
    </row>
    <row r="3919" spans="1:6" x14ac:dyDescent="0.25">
      <c r="A3919" t="s">
        <v>4209</v>
      </c>
      <c r="B3919" t="s">
        <v>152</v>
      </c>
      <c r="C3919" t="s">
        <v>47</v>
      </c>
      <c r="D3919" t="str">
        <f>HYPERLINK("http://service.sap.com/sap/support/notes/1709621","1709621")</f>
        <v>1709621</v>
      </c>
      <c r="E3919">
        <v>2</v>
      </c>
      <c r="F3919" t="s">
        <v>4419</v>
      </c>
    </row>
    <row r="3920" spans="1:6" x14ac:dyDescent="0.25">
      <c r="A3920" t="s">
        <v>4209</v>
      </c>
      <c r="B3920" t="s">
        <v>152</v>
      </c>
      <c r="C3920" t="s">
        <v>47</v>
      </c>
      <c r="D3920" t="str">
        <f>HYPERLINK("http://service.sap.com/sap/support/notes/1710817","1710817")</f>
        <v>1710817</v>
      </c>
      <c r="E3920">
        <v>2</v>
      </c>
      <c r="F3920" t="s">
        <v>4420</v>
      </c>
    </row>
    <row r="3921" spans="1:6" x14ac:dyDescent="0.25">
      <c r="A3921" t="s">
        <v>4209</v>
      </c>
      <c r="B3921" t="s">
        <v>152</v>
      </c>
      <c r="C3921" t="s">
        <v>47</v>
      </c>
      <c r="D3921" t="str">
        <f>HYPERLINK("http://service.sap.com/sap/support/notes/1711193","1711193")</f>
        <v>1711193</v>
      </c>
      <c r="E3921">
        <v>3</v>
      </c>
      <c r="F3921" t="s">
        <v>4421</v>
      </c>
    </row>
    <row r="3922" spans="1:6" x14ac:dyDescent="0.25">
      <c r="A3922" t="s">
        <v>4209</v>
      </c>
      <c r="B3922" t="s">
        <v>152</v>
      </c>
      <c r="C3922" t="s">
        <v>47</v>
      </c>
      <c r="D3922" t="str">
        <f>HYPERLINK("http://service.sap.com/sap/support/notes/1712721","1712721")</f>
        <v>1712721</v>
      </c>
      <c r="E3922">
        <v>2</v>
      </c>
      <c r="F3922" t="s">
        <v>4422</v>
      </c>
    </row>
    <row r="3923" spans="1:6" x14ac:dyDescent="0.25">
      <c r="A3923" t="s">
        <v>4209</v>
      </c>
      <c r="B3923" t="s">
        <v>152</v>
      </c>
      <c r="C3923" t="s">
        <v>47</v>
      </c>
      <c r="D3923" t="str">
        <f>HYPERLINK("http://service.sap.com/sap/support/notes/1715724","1715724")</f>
        <v>1715724</v>
      </c>
      <c r="E3923">
        <v>5</v>
      </c>
      <c r="F3923" t="s">
        <v>4423</v>
      </c>
    </row>
    <row r="3924" spans="1:6" x14ac:dyDescent="0.25">
      <c r="A3924" t="s">
        <v>4209</v>
      </c>
      <c r="B3924" t="s">
        <v>152</v>
      </c>
      <c r="C3924" t="s">
        <v>47</v>
      </c>
      <c r="D3924" t="str">
        <f>HYPERLINK("http://service.sap.com/sap/support/notes/1718496","1718496")</f>
        <v>1718496</v>
      </c>
      <c r="E3924">
        <v>2</v>
      </c>
      <c r="F3924" t="s">
        <v>4424</v>
      </c>
    </row>
    <row r="3925" spans="1:6" x14ac:dyDescent="0.25">
      <c r="A3925" t="s">
        <v>4209</v>
      </c>
      <c r="B3925" t="s">
        <v>152</v>
      </c>
      <c r="C3925" t="s">
        <v>47</v>
      </c>
      <c r="D3925" t="str">
        <f>HYPERLINK("http://service.sap.com/sap/support/notes/1718988","1718988")</f>
        <v>1718988</v>
      </c>
      <c r="E3925">
        <v>3</v>
      </c>
      <c r="F3925" t="s">
        <v>4425</v>
      </c>
    </row>
    <row r="3926" spans="1:6" x14ac:dyDescent="0.25">
      <c r="A3926" t="s">
        <v>4209</v>
      </c>
      <c r="B3926" t="s">
        <v>152</v>
      </c>
      <c r="C3926" t="s">
        <v>47</v>
      </c>
      <c r="D3926" t="str">
        <f>HYPERLINK("http://service.sap.com/sap/support/notes/1720035","1720035")</f>
        <v>1720035</v>
      </c>
      <c r="E3926">
        <v>2</v>
      </c>
      <c r="F3926" t="s">
        <v>4426</v>
      </c>
    </row>
    <row r="3927" spans="1:6" x14ac:dyDescent="0.25">
      <c r="A3927" t="s">
        <v>4209</v>
      </c>
      <c r="B3927" t="s">
        <v>152</v>
      </c>
      <c r="C3927" t="s">
        <v>47</v>
      </c>
      <c r="D3927" t="str">
        <f>HYPERLINK("http://service.sap.com/sap/support/notes/1720052","1720052")</f>
        <v>1720052</v>
      </c>
      <c r="E3927">
        <v>2</v>
      </c>
      <c r="F3927" t="s">
        <v>4427</v>
      </c>
    </row>
    <row r="3928" spans="1:6" x14ac:dyDescent="0.25">
      <c r="A3928" t="s">
        <v>4209</v>
      </c>
      <c r="B3928" t="s">
        <v>152</v>
      </c>
      <c r="C3928" t="s">
        <v>47</v>
      </c>
      <c r="D3928" t="str">
        <f>HYPERLINK("http://service.sap.com/sap/support/notes/1720788","1720788")</f>
        <v>1720788</v>
      </c>
      <c r="E3928">
        <v>5</v>
      </c>
      <c r="F3928" t="s">
        <v>4428</v>
      </c>
    </row>
    <row r="3929" spans="1:6" x14ac:dyDescent="0.25">
      <c r="A3929" t="s">
        <v>4209</v>
      </c>
      <c r="B3929" t="s">
        <v>152</v>
      </c>
      <c r="C3929" t="s">
        <v>47</v>
      </c>
      <c r="D3929" t="str">
        <f>HYPERLINK("http://service.sap.com/sap/support/notes/1720958","1720958")</f>
        <v>1720958</v>
      </c>
      <c r="E3929">
        <v>1</v>
      </c>
      <c r="F3929" t="s">
        <v>4429</v>
      </c>
    </row>
    <row r="3930" spans="1:6" x14ac:dyDescent="0.25">
      <c r="A3930" t="s">
        <v>4209</v>
      </c>
      <c r="B3930" t="s">
        <v>152</v>
      </c>
      <c r="C3930" t="s">
        <v>47</v>
      </c>
      <c r="D3930" t="str">
        <f>HYPERLINK("http://service.sap.com/sap/support/notes/1725211","1725211")</f>
        <v>1725211</v>
      </c>
      <c r="E3930">
        <v>1</v>
      </c>
      <c r="F3930" t="s">
        <v>4430</v>
      </c>
    </row>
    <row r="3931" spans="1:6" x14ac:dyDescent="0.25">
      <c r="A3931" t="s">
        <v>4209</v>
      </c>
      <c r="B3931" t="s">
        <v>152</v>
      </c>
      <c r="C3931" t="s">
        <v>47</v>
      </c>
      <c r="D3931" t="str">
        <f>HYPERLINK("http://service.sap.com/sap/support/notes/1727550","1727550")</f>
        <v>1727550</v>
      </c>
      <c r="E3931">
        <v>2</v>
      </c>
      <c r="F3931" t="s">
        <v>4431</v>
      </c>
    </row>
    <row r="3932" spans="1:6" x14ac:dyDescent="0.25">
      <c r="A3932" t="s">
        <v>4209</v>
      </c>
      <c r="B3932" t="s">
        <v>153</v>
      </c>
      <c r="C3932" t="s">
        <v>154</v>
      </c>
      <c r="D3932" t="str">
        <f>HYPERLINK("http://service.sap.com/sap/support/notes/1699389","1699389")</f>
        <v>1699389</v>
      </c>
      <c r="E3932">
        <v>2</v>
      </c>
      <c r="F3932" t="s">
        <v>4432</v>
      </c>
    </row>
    <row r="3933" spans="1:6" x14ac:dyDescent="0.25">
      <c r="A3933" t="s">
        <v>4209</v>
      </c>
      <c r="B3933" t="s">
        <v>155</v>
      </c>
      <c r="C3933" t="s">
        <v>49</v>
      </c>
      <c r="D3933" t="str">
        <f>HYPERLINK("http://service.sap.com/sap/support/notes/1596910","1596910")</f>
        <v>1596910</v>
      </c>
      <c r="E3933">
        <v>5</v>
      </c>
      <c r="F3933" t="s">
        <v>4029</v>
      </c>
    </row>
    <row r="3934" spans="1:6" x14ac:dyDescent="0.25">
      <c r="A3934" t="s">
        <v>4209</v>
      </c>
      <c r="B3934" t="s">
        <v>155</v>
      </c>
      <c r="C3934" t="s">
        <v>49</v>
      </c>
      <c r="D3934" t="str">
        <f>HYPERLINK("http://service.sap.com/sap/support/notes/1600129","1600129")</f>
        <v>1600129</v>
      </c>
      <c r="E3934">
        <v>2</v>
      </c>
      <c r="F3934" t="s">
        <v>4030</v>
      </c>
    </row>
    <row r="3935" spans="1:6" x14ac:dyDescent="0.25">
      <c r="A3935" t="s">
        <v>4209</v>
      </c>
      <c r="B3935" t="s">
        <v>155</v>
      </c>
      <c r="C3935" t="s">
        <v>49</v>
      </c>
      <c r="D3935" t="str">
        <f>HYPERLINK("http://service.sap.com/sap/support/notes/1615948","1615948")</f>
        <v>1615948</v>
      </c>
      <c r="E3935">
        <v>1</v>
      </c>
      <c r="F3935" t="s">
        <v>4031</v>
      </c>
    </row>
    <row r="3936" spans="1:6" x14ac:dyDescent="0.25">
      <c r="A3936" t="s">
        <v>4209</v>
      </c>
      <c r="B3936" t="s">
        <v>155</v>
      </c>
      <c r="C3936" t="s">
        <v>49</v>
      </c>
      <c r="D3936" t="str">
        <f>HYPERLINK("http://service.sap.com/sap/support/notes/1623968","1623968")</f>
        <v>1623968</v>
      </c>
      <c r="E3936">
        <v>4</v>
      </c>
      <c r="F3936" t="s">
        <v>4032</v>
      </c>
    </row>
    <row r="3937" spans="1:6" x14ac:dyDescent="0.25">
      <c r="A3937" t="s">
        <v>4209</v>
      </c>
      <c r="B3937" t="s">
        <v>155</v>
      </c>
      <c r="C3937" t="s">
        <v>49</v>
      </c>
      <c r="D3937" t="str">
        <f>HYPERLINK("http://service.sap.com/sap/support/notes/1632768","1632768")</f>
        <v>1632768</v>
      </c>
      <c r="E3937">
        <v>3</v>
      </c>
      <c r="F3937" t="s">
        <v>4033</v>
      </c>
    </row>
    <row r="3938" spans="1:6" x14ac:dyDescent="0.25">
      <c r="A3938" t="s">
        <v>4209</v>
      </c>
      <c r="B3938" t="s">
        <v>155</v>
      </c>
      <c r="C3938" t="s">
        <v>49</v>
      </c>
      <c r="D3938" t="str">
        <f>HYPERLINK("http://service.sap.com/sap/support/notes/1658633","1658633")</f>
        <v>1658633</v>
      </c>
      <c r="E3938">
        <v>3</v>
      </c>
      <c r="F3938" t="s">
        <v>4034</v>
      </c>
    </row>
    <row r="3939" spans="1:6" x14ac:dyDescent="0.25">
      <c r="A3939" t="s">
        <v>4209</v>
      </c>
      <c r="B3939" t="s">
        <v>155</v>
      </c>
      <c r="C3939" t="s">
        <v>49</v>
      </c>
      <c r="D3939" t="str">
        <f>HYPERLINK("http://service.sap.com/sap/support/notes/1678513","1678513")</f>
        <v>1678513</v>
      </c>
      <c r="E3939">
        <v>3</v>
      </c>
      <c r="F3939" t="s">
        <v>4433</v>
      </c>
    </row>
    <row r="3940" spans="1:6" x14ac:dyDescent="0.25">
      <c r="A3940" t="s">
        <v>4209</v>
      </c>
      <c r="B3940" t="s">
        <v>155</v>
      </c>
      <c r="C3940" t="s">
        <v>49</v>
      </c>
      <c r="D3940" t="str">
        <f>HYPERLINK("http://service.sap.com/sap/support/notes/1718710","1718710")</f>
        <v>1718710</v>
      </c>
      <c r="E3940">
        <v>2</v>
      </c>
      <c r="F3940" t="s">
        <v>4434</v>
      </c>
    </row>
    <row r="3941" spans="1:6" x14ac:dyDescent="0.25">
      <c r="A3941" t="s">
        <v>4209</v>
      </c>
      <c r="B3941" t="s">
        <v>155</v>
      </c>
      <c r="C3941" t="s">
        <v>49</v>
      </c>
      <c r="D3941" t="str">
        <f>HYPERLINK("http://service.sap.com/sap/support/notes/1720705","1720705")</f>
        <v>1720705</v>
      </c>
      <c r="E3941">
        <v>1</v>
      </c>
      <c r="F3941" t="s">
        <v>4435</v>
      </c>
    </row>
    <row r="3942" spans="1:6" x14ac:dyDescent="0.25">
      <c r="A3942" t="s">
        <v>4209</v>
      </c>
      <c r="B3942" t="s">
        <v>155</v>
      </c>
      <c r="C3942" t="s">
        <v>49</v>
      </c>
      <c r="D3942" t="str">
        <f>HYPERLINK("http://service.sap.com/sap/support/notes/1722433","1722433")</f>
        <v>1722433</v>
      </c>
      <c r="E3942">
        <v>2</v>
      </c>
      <c r="F3942" t="s">
        <v>4038</v>
      </c>
    </row>
    <row r="3943" spans="1:6" x14ac:dyDescent="0.25">
      <c r="A3943" t="s">
        <v>4209</v>
      </c>
      <c r="B3943" t="s">
        <v>156</v>
      </c>
      <c r="C3943" t="s">
        <v>52</v>
      </c>
      <c r="D3943" t="str">
        <f>HYPERLINK("http://service.sap.com/sap/support/notes/1717780","1717780")</f>
        <v>1717780</v>
      </c>
      <c r="E3943">
        <v>2</v>
      </c>
      <c r="F3943" t="s">
        <v>4436</v>
      </c>
    </row>
    <row r="3944" spans="1:6" x14ac:dyDescent="0.25">
      <c r="A3944" t="s">
        <v>4209</v>
      </c>
      <c r="B3944" t="s">
        <v>156</v>
      </c>
      <c r="C3944" t="s">
        <v>52</v>
      </c>
      <c r="D3944" t="str">
        <f>HYPERLINK("http://service.sap.com/sap/support/notes/1721877","1721877")</f>
        <v>1721877</v>
      </c>
      <c r="E3944">
        <v>1</v>
      </c>
      <c r="F3944" t="s">
        <v>4437</v>
      </c>
    </row>
    <row r="3945" spans="1:6" x14ac:dyDescent="0.25">
      <c r="A3945" t="s">
        <v>4209</v>
      </c>
      <c r="B3945" t="s">
        <v>156</v>
      </c>
      <c r="C3945" t="s">
        <v>52</v>
      </c>
      <c r="D3945" t="str">
        <f>HYPERLINK("http://service.sap.com/sap/support/notes/1722536","1722536")</f>
        <v>1722536</v>
      </c>
      <c r="E3945">
        <v>1</v>
      </c>
      <c r="F3945" t="s">
        <v>4438</v>
      </c>
    </row>
    <row r="3946" spans="1:6" x14ac:dyDescent="0.25">
      <c r="A3946" t="s">
        <v>4209</v>
      </c>
      <c r="B3946" t="s">
        <v>156</v>
      </c>
      <c r="C3946" t="s">
        <v>52</v>
      </c>
      <c r="D3946" t="str">
        <f>HYPERLINK("http://service.sap.com/sap/support/notes/1723043","1723043")</f>
        <v>1723043</v>
      </c>
      <c r="E3946">
        <v>3</v>
      </c>
      <c r="F3946" t="s">
        <v>4439</v>
      </c>
    </row>
    <row r="3947" spans="1:6" x14ac:dyDescent="0.25">
      <c r="A3947" t="s">
        <v>4209</v>
      </c>
      <c r="B3947" t="s">
        <v>156</v>
      </c>
      <c r="C3947" t="s">
        <v>52</v>
      </c>
      <c r="D3947" t="str">
        <f>HYPERLINK("http://service.sap.com/sap/support/notes/1730537","1730537")</f>
        <v>1730537</v>
      </c>
      <c r="E3947">
        <v>1</v>
      </c>
      <c r="F3947" t="s">
        <v>4440</v>
      </c>
    </row>
    <row r="3948" spans="1:6" x14ac:dyDescent="0.25">
      <c r="A3948" t="s">
        <v>4209</v>
      </c>
      <c r="B3948" t="s">
        <v>158</v>
      </c>
      <c r="C3948" t="s">
        <v>54</v>
      </c>
      <c r="D3948" t="str">
        <f>HYPERLINK("http://service.sap.com/sap/support/notes/1721287","1721287")</f>
        <v>1721287</v>
      </c>
      <c r="E3948">
        <v>2</v>
      </c>
      <c r="F3948" t="s">
        <v>4441</v>
      </c>
    </row>
    <row r="3949" spans="1:6" x14ac:dyDescent="0.25">
      <c r="A3949" t="s">
        <v>4209</v>
      </c>
      <c r="B3949" t="s">
        <v>158</v>
      </c>
      <c r="C3949" t="s">
        <v>54</v>
      </c>
      <c r="D3949" t="str">
        <f>HYPERLINK("http://service.sap.com/sap/support/notes/1722461","1722461")</f>
        <v>1722461</v>
      </c>
      <c r="E3949">
        <v>4</v>
      </c>
      <c r="F3949" t="s">
        <v>4442</v>
      </c>
    </row>
    <row r="3950" spans="1:6" x14ac:dyDescent="0.25">
      <c r="A3950" t="s">
        <v>4209</v>
      </c>
      <c r="B3950" t="s">
        <v>158</v>
      </c>
      <c r="C3950" t="s">
        <v>54</v>
      </c>
      <c r="D3950" t="str">
        <f>HYPERLINK("http://service.sap.com/sap/support/notes/1728303","1728303")</f>
        <v>1728303</v>
      </c>
      <c r="E3950">
        <v>2</v>
      </c>
      <c r="F3950" t="s">
        <v>4443</v>
      </c>
    </row>
    <row r="3951" spans="1:6" x14ac:dyDescent="0.25">
      <c r="A3951" t="s">
        <v>4209</v>
      </c>
      <c r="B3951" t="s">
        <v>158</v>
      </c>
      <c r="C3951" t="s">
        <v>54</v>
      </c>
      <c r="D3951" t="str">
        <f>HYPERLINK("http://service.sap.com/sap/support/notes/1728304","1728304")</f>
        <v>1728304</v>
      </c>
      <c r="E3951">
        <v>1</v>
      </c>
      <c r="F3951" t="s">
        <v>4444</v>
      </c>
    </row>
    <row r="3952" spans="1:6" x14ac:dyDescent="0.25">
      <c r="A3952" t="s">
        <v>4209</v>
      </c>
      <c r="B3952" t="s">
        <v>159</v>
      </c>
      <c r="C3952" t="s">
        <v>160</v>
      </c>
      <c r="D3952" t="str">
        <f>HYPERLINK("http://service.sap.com/sap/support/notes/1505717","1505717")</f>
        <v>1505717</v>
      </c>
      <c r="E3952">
        <v>7</v>
      </c>
      <c r="F3952" t="s">
        <v>4445</v>
      </c>
    </row>
    <row r="3953" spans="1:6" x14ac:dyDescent="0.25">
      <c r="A3953" t="s">
        <v>4209</v>
      </c>
      <c r="B3953" t="s">
        <v>159</v>
      </c>
      <c r="C3953" t="s">
        <v>160</v>
      </c>
      <c r="D3953" t="str">
        <f>HYPERLINK("http://service.sap.com/sap/support/notes/1671080","1671080")</f>
        <v>1671080</v>
      </c>
      <c r="E3953">
        <v>12</v>
      </c>
      <c r="F3953" t="s">
        <v>4446</v>
      </c>
    </row>
    <row r="3954" spans="1:6" x14ac:dyDescent="0.25">
      <c r="A3954" t="s">
        <v>4209</v>
      </c>
      <c r="B3954" t="s">
        <v>159</v>
      </c>
      <c r="C3954" t="s">
        <v>160</v>
      </c>
      <c r="D3954" t="str">
        <f>HYPERLINK("http://service.sap.com/sap/support/notes/1697634","1697634")</f>
        <v>1697634</v>
      </c>
      <c r="E3954">
        <v>5</v>
      </c>
      <c r="F3954" t="s">
        <v>4447</v>
      </c>
    </row>
    <row r="3955" spans="1:6" x14ac:dyDescent="0.25">
      <c r="A3955" t="s">
        <v>4209</v>
      </c>
      <c r="B3955" t="s">
        <v>159</v>
      </c>
      <c r="C3955" t="s">
        <v>160</v>
      </c>
      <c r="D3955" t="str">
        <f>HYPERLINK("http://service.sap.com/sap/support/notes/1700060","1700060")</f>
        <v>1700060</v>
      </c>
      <c r="E3955">
        <v>2</v>
      </c>
      <c r="F3955" t="s">
        <v>4448</v>
      </c>
    </row>
    <row r="3956" spans="1:6" x14ac:dyDescent="0.25">
      <c r="A3956" t="s">
        <v>4209</v>
      </c>
      <c r="B3956" t="s">
        <v>159</v>
      </c>
      <c r="C3956" t="s">
        <v>160</v>
      </c>
      <c r="D3956" t="str">
        <f>HYPERLINK("http://service.sap.com/sap/support/notes/1701906","1701906")</f>
        <v>1701906</v>
      </c>
      <c r="E3956">
        <v>6</v>
      </c>
      <c r="F3956" t="s">
        <v>4449</v>
      </c>
    </row>
    <row r="3957" spans="1:6" x14ac:dyDescent="0.25">
      <c r="A3957" t="s">
        <v>4209</v>
      </c>
      <c r="B3957" t="s">
        <v>159</v>
      </c>
      <c r="C3957" t="s">
        <v>160</v>
      </c>
      <c r="D3957" t="str">
        <f>HYPERLINK("http://service.sap.com/sap/support/notes/1703362","1703362")</f>
        <v>1703362</v>
      </c>
      <c r="E3957">
        <v>2</v>
      </c>
      <c r="F3957" t="s">
        <v>4450</v>
      </c>
    </row>
    <row r="3958" spans="1:6" x14ac:dyDescent="0.25">
      <c r="A3958" t="s">
        <v>4209</v>
      </c>
      <c r="B3958" t="s">
        <v>159</v>
      </c>
      <c r="C3958" t="s">
        <v>160</v>
      </c>
      <c r="D3958" t="str">
        <f>HYPERLINK("http://service.sap.com/sap/support/notes/1722829","1722829")</f>
        <v>1722829</v>
      </c>
      <c r="E3958">
        <v>2</v>
      </c>
      <c r="F3958" t="s">
        <v>4451</v>
      </c>
    </row>
    <row r="3959" spans="1:6" x14ac:dyDescent="0.25">
      <c r="A3959" t="s">
        <v>4209</v>
      </c>
      <c r="B3959" t="s">
        <v>159</v>
      </c>
      <c r="C3959" t="s">
        <v>160</v>
      </c>
      <c r="D3959" t="str">
        <f>HYPERLINK("http://service.sap.com/sap/support/notes/1723445","1723445")</f>
        <v>1723445</v>
      </c>
      <c r="E3959">
        <v>1</v>
      </c>
      <c r="F3959" t="s">
        <v>4452</v>
      </c>
    </row>
    <row r="3960" spans="1:6" x14ac:dyDescent="0.25">
      <c r="A3960" t="s">
        <v>4209</v>
      </c>
      <c r="B3960" t="s">
        <v>159</v>
      </c>
      <c r="C3960" t="s">
        <v>160</v>
      </c>
      <c r="D3960" t="str">
        <f>HYPERLINK("http://service.sap.com/sap/support/notes/1730867","1730867")</f>
        <v>1730867</v>
      </c>
      <c r="E3960">
        <v>2</v>
      </c>
      <c r="F3960" t="s">
        <v>4453</v>
      </c>
    </row>
    <row r="3961" spans="1:6" x14ac:dyDescent="0.25">
      <c r="A3961" t="s">
        <v>4209</v>
      </c>
      <c r="B3961" t="s">
        <v>163</v>
      </c>
      <c r="C3961" t="s">
        <v>56</v>
      </c>
      <c r="D3961" t="str">
        <f>HYPERLINK("http://service.sap.com/sap/support/notes/1680138","1680138")</f>
        <v>1680138</v>
      </c>
      <c r="E3961">
        <v>2</v>
      </c>
      <c r="F3961" t="s">
        <v>4454</v>
      </c>
    </row>
    <row r="3962" spans="1:6" x14ac:dyDescent="0.25">
      <c r="A3962" t="s">
        <v>4209</v>
      </c>
      <c r="B3962" t="s">
        <v>163</v>
      </c>
      <c r="C3962" t="s">
        <v>56</v>
      </c>
      <c r="D3962" t="str">
        <f>HYPERLINK("http://service.sap.com/sap/support/notes/1708272","1708272")</f>
        <v>1708272</v>
      </c>
      <c r="E3962">
        <v>1</v>
      </c>
      <c r="F3962" t="s">
        <v>4455</v>
      </c>
    </row>
    <row r="3963" spans="1:6" x14ac:dyDescent="0.25">
      <c r="A3963" t="s">
        <v>4209</v>
      </c>
      <c r="B3963" t="s">
        <v>163</v>
      </c>
      <c r="C3963" t="s">
        <v>56</v>
      </c>
      <c r="D3963" t="str">
        <f>HYPERLINK("http://service.sap.com/sap/support/notes/1714987","1714987")</f>
        <v>1714987</v>
      </c>
      <c r="E3963">
        <v>3</v>
      </c>
      <c r="F3963" t="s">
        <v>4456</v>
      </c>
    </row>
    <row r="3964" spans="1:6" x14ac:dyDescent="0.25">
      <c r="A3964" t="s">
        <v>4209</v>
      </c>
      <c r="B3964" t="s">
        <v>164</v>
      </c>
      <c r="C3964" t="s">
        <v>165</v>
      </c>
      <c r="D3964" t="str">
        <f>HYPERLINK("http://service.sap.com/sap/support/notes/1721186","1721186")</f>
        <v>1721186</v>
      </c>
      <c r="E3964">
        <v>2</v>
      </c>
      <c r="F3964" t="s">
        <v>4457</v>
      </c>
    </row>
    <row r="3965" spans="1:6" x14ac:dyDescent="0.25">
      <c r="A3965" t="s">
        <v>4209</v>
      </c>
      <c r="B3965" t="s">
        <v>164</v>
      </c>
      <c r="C3965" t="s">
        <v>165</v>
      </c>
      <c r="D3965" t="str">
        <f>HYPERLINK("http://service.sap.com/sap/support/notes/1723900","1723900")</f>
        <v>1723900</v>
      </c>
      <c r="E3965">
        <v>4</v>
      </c>
      <c r="F3965" t="s">
        <v>4458</v>
      </c>
    </row>
    <row r="3966" spans="1:6" x14ac:dyDescent="0.25">
      <c r="A3966" t="s">
        <v>4209</v>
      </c>
      <c r="B3966" t="s">
        <v>166</v>
      </c>
      <c r="C3966" t="s">
        <v>167</v>
      </c>
      <c r="D3966" t="str">
        <f>HYPERLINK("http://service.sap.com/sap/support/notes/1713032","1713032")</f>
        <v>1713032</v>
      </c>
      <c r="E3966">
        <v>8</v>
      </c>
      <c r="F3966" t="s">
        <v>4459</v>
      </c>
    </row>
    <row r="3967" spans="1:6" x14ac:dyDescent="0.25">
      <c r="A3967" t="s">
        <v>4209</v>
      </c>
      <c r="B3967" t="s">
        <v>166</v>
      </c>
      <c r="C3967" t="s">
        <v>167</v>
      </c>
      <c r="D3967" t="str">
        <f>HYPERLINK("http://service.sap.com/sap/support/notes/1719100","1719100")</f>
        <v>1719100</v>
      </c>
      <c r="E3967">
        <v>2</v>
      </c>
      <c r="F3967" t="s">
        <v>4460</v>
      </c>
    </row>
    <row r="3968" spans="1:6" x14ac:dyDescent="0.25">
      <c r="A3968" t="s">
        <v>4209</v>
      </c>
      <c r="B3968" t="s">
        <v>166</v>
      </c>
      <c r="C3968" t="s">
        <v>167</v>
      </c>
      <c r="D3968" t="str">
        <f>HYPERLINK("http://service.sap.com/sap/support/notes/1722784","1722784")</f>
        <v>1722784</v>
      </c>
      <c r="E3968">
        <v>1</v>
      </c>
      <c r="F3968" t="s">
        <v>4461</v>
      </c>
    </row>
    <row r="3969" spans="1:6" x14ac:dyDescent="0.25">
      <c r="A3969" t="s">
        <v>4209</v>
      </c>
      <c r="B3969" t="s">
        <v>166</v>
      </c>
      <c r="C3969" t="s">
        <v>167</v>
      </c>
      <c r="D3969" t="str">
        <f>HYPERLINK("http://service.sap.com/sap/support/notes/1727125","1727125")</f>
        <v>1727125</v>
      </c>
      <c r="E3969">
        <v>1</v>
      </c>
      <c r="F3969" t="s">
        <v>4462</v>
      </c>
    </row>
    <row r="3970" spans="1:6" x14ac:dyDescent="0.25">
      <c r="A3970" t="s">
        <v>4209</v>
      </c>
      <c r="B3970" t="s">
        <v>166</v>
      </c>
      <c r="C3970" t="s">
        <v>167</v>
      </c>
      <c r="D3970" t="str">
        <f>HYPERLINK("http://service.sap.com/sap/support/notes/1727618","1727618")</f>
        <v>1727618</v>
      </c>
      <c r="E3970">
        <v>1</v>
      </c>
      <c r="F3970" t="s">
        <v>4463</v>
      </c>
    </row>
    <row r="3971" spans="1:6" x14ac:dyDescent="0.25">
      <c r="A3971" t="s">
        <v>4209</v>
      </c>
      <c r="B3971" t="s">
        <v>168</v>
      </c>
      <c r="C3971" t="s">
        <v>169</v>
      </c>
      <c r="D3971" t="str">
        <f>HYPERLINK("http://service.sap.com/sap/support/notes/1495519","1495519")</f>
        <v>1495519</v>
      </c>
      <c r="E3971">
        <v>2</v>
      </c>
      <c r="F3971" t="s">
        <v>329</v>
      </c>
    </row>
    <row r="3972" spans="1:6" x14ac:dyDescent="0.25">
      <c r="A3972" t="s">
        <v>4209</v>
      </c>
      <c r="B3972" t="s">
        <v>168</v>
      </c>
      <c r="C3972" t="s">
        <v>169</v>
      </c>
      <c r="D3972" t="str">
        <f>HYPERLINK("http://service.sap.com/sap/support/notes/1660939","1660939")</f>
        <v>1660939</v>
      </c>
      <c r="E3972">
        <v>1</v>
      </c>
      <c r="F3972" t="s">
        <v>4464</v>
      </c>
    </row>
    <row r="3973" spans="1:6" x14ac:dyDescent="0.25">
      <c r="A3973" t="s">
        <v>4209</v>
      </c>
      <c r="B3973" t="s">
        <v>168</v>
      </c>
      <c r="C3973" t="s">
        <v>169</v>
      </c>
      <c r="D3973" t="str">
        <f>HYPERLINK("http://service.sap.com/sap/support/notes/1679200","1679200")</f>
        <v>1679200</v>
      </c>
      <c r="E3973">
        <v>1</v>
      </c>
      <c r="F3973" t="s">
        <v>4465</v>
      </c>
    </row>
    <row r="3974" spans="1:6" x14ac:dyDescent="0.25">
      <c r="A3974" t="s">
        <v>4209</v>
      </c>
      <c r="B3974" t="s">
        <v>168</v>
      </c>
      <c r="C3974" t="s">
        <v>169</v>
      </c>
      <c r="D3974" t="str">
        <f>HYPERLINK("http://service.sap.com/sap/support/notes/1681667","1681667")</f>
        <v>1681667</v>
      </c>
      <c r="E3974">
        <v>2</v>
      </c>
      <c r="F3974" t="s">
        <v>2766</v>
      </c>
    </row>
    <row r="3975" spans="1:6" x14ac:dyDescent="0.25">
      <c r="A3975" t="s">
        <v>4209</v>
      </c>
      <c r="B3975" t="s">
        <v>168</v>
      </c>
      <c r="C3975" t="s">
        <v>169</v>
      </c>
      <c r="D3975" t="str">
        <f>HYPERLINK("http://service.sap.com/sap/support/notes/1688494","1688494")</f>
        <v>1688494</v>
      </c>
      <c r="E3975">
        <v>3</v>
      </c>
      <c r="F3975" t="s">
        <v>3150</v>
      </c>
    </row>
    <row r="3976" spans="1:6" x14ac:dyDescent="0.25">
      <c r="A3976" t="s">
        <v>4209</v>
      </c>
      <c r="B3976" t="s">
        <v>168</v>
      </c>
      <c r="C3976" t="s">
        <v>169</v>
      </c>
      <c r="D3976" t="str">
        <f>HYPERLINK("http://service.sap.com/sap/support/notes/1712537","1712537")</f>
        <v>1712537</v>
      </c>
      <c r="E3976">
        <v>2</v>
      </c>
      <c r="F3976" t="s">
        <v>4466</v>
      </c>
    </row>
    <row r="3977" spans="1:6" x14ac:dyDescent="0.25">
      <c r="A3977" t="s">
        <v>4209</v>
      </c>
      <c r="B3977" t="s">
        <v>168</v>
      </c>
      <c r="C3977" t="s">
        <v>169</v>
      </c>
      <c r="D3977" t="str">
        <f>HYPERLINK("http://service.sap.com/sap/support/notes/1717463","1717463")</f>
        <v>1717463</v>
      </c>
      <c r="E3977">
        <v>1</v>
      </c>
      <c r="F3977" t="s">
        <v>4467</v>
      </c>
    </row>
    <row r="3978" spans="1:6" x14ac:dyDescent="0.25">
      <c r="A3978" t="s">
        <v>4209</v>
      </c>
      <c r="B3978" t="s">
        <v>168</v>
      </c>
      <c r="C3978" t="s">
        <v>169</v>
      </c>
      <c r="D3978" t="str">
        <f>HYPERLINK("http://service.sap.com/sap/support/notes/1721739","1721739")</f>
        <v>1721739</v>
      </c>
      <c r="E3978">
        <v>1</v>
      </c>
      <c r="F3978" t="s">
        <v>4468</v>
      </c>
    </row>
    <row r="3979" spans="1:6" x14ac:dyDescent="0.25">
      <c r="A3979" t="s">
        <v>4209</v>
      </c>
      <c r="B3979" t="s">
        <v>168</v>
      </c>
      <c r="C3979" t="s">
        <v>169</v>
      </c>
      <c r="D3979" t="str">
        <f>HYPERLINK("http://service.sap.com/sap/support/notes/1730036","1730036")</f>
        <v>1730036</v>
      </c>
      <c r="E3979">
        <v>1</v>
      </c>
      <c r="F3979" t="s">
        <v>4469</v>
      </c>
    </row>
    <row r="3980" spans="1:6" x14ac:dyDescent="0.25">
      <c r="A3980" t="s">
        <v>4209</v>
      </c>
      <c r="B3980" t="s">
        <v>171</v>
      </c>
      <c r="C3980" t="s">
        <v>172</v>
      </c>
      <c r="D3980" t="str">
        <f>HYPERLINK("http://service.sap.com/sap/support/notes/1713980","1713980")</f>
        <v>1713980</v>
      </c>
      <c r="E3980">
        <v>1</v>
      </c>
      <c r="F3980" t="s">
        <v>4470</v>
      </c>
    </row>
    <row r="3981" spans="1:6" x14ac:dyDescent="0.25">
      <c r="A3981" t="s">
        <v>4209</v>
      </c>
      <c r="B3981" t="s">
        <v>171</v>
      </c>
      <c r="C3981" t="s">
        <v>172</v>
      </c>
      <c r="D3981" t="str">
        <f>HYPERLINK("http://service.sap.com/sap/support/notes/1721014","1721014")</f>
        <v>1721014</v>
      </c>
      <c r="E3981">
        <v>1</v>
      </c>
      <c r="F3981" t="s">
        <v>4471</v>
      </c>
    </row>
    <row r="3982" spans="1:6" x14ac:dyDescent="0.25">
      <c r="A3982" t="s">
        <v>4209</v>
      </c>
      <c r="B3982" t="s">
        <v>171</v>
      </c>
      <c r="C3982" t="s">
        <v>172</v>
      </c>
      <c r="D3982" t="str">
        <f>HYPERLINK("http://service.sap.com/sap/support/notes/1721345","1721345")</f>
        <v>1721345</v>
      </c>
      <c r="E3982">
        <v>1</v>
      </c>
      <c r="F3982" t="s">
        <v>4472</v>
      </c>
    </row>
    <row r="3983" spans="1:6" x14ac:dyDescent="0.25">
      <c r="A3983" t="s">
        <v>4209</v>
      </c>
      <c r="B3983" t="s">
        <v>171</v>
      </c>
      <c r="C3983" t="s">
        <v>172</v>
      </c>
      <c r="D3983" t="str">
        <f>HYPERLINK("http://service.sap.com/sap/support/notes/1723024","1723024")</f>
        <v>1723024</v>
      </c>
      <c r="E3983">
        <v>2</v>
      </c>
      <c r="F3983" t="s">
        <v>4473</v>
      </c>
    </row>
    <row r="3984" spans="1:6" x14ac:dyDescent="0.25">
      <c r="A3984" t="s">
        <v>4209</v>
      </c>
      <c r="B3984" t="s">
        <v>171</v>
      </c>
      <c r="C3984" t="s">
        <v>172</v>
      </c>
      <c r="D3984" t="str">
        <f>HYPERLINK("http://service.sap.com/sap/support/notes/1726534","1726534")</f>
        <v>1726534</v>
      </c>
      <c r="E3984">
        <v>2</v>
      </c>
      <c r="F3984" t="s">
        <v>4474</v>
      </c>
    </row>
    <row r="3985" spans="1:6" x14ac:dyDescent="0.25">
      <c r="A3985" t="s">
        <v>4209</v>
      </c>
      <c r="B3985" t="s">
        <v>173</v>
      </c>
      <c r="C3985" t="s">
        <v>174</v>
      </c>
      <c r="D3985" t="str">
        <f>HYPERLINK("http://service.sap.com/sap/support/notes/1726765","1726765")</f>
        <v>1726765</v>
      </c>
      <c r="E3985">
        <v>1</v>
      </c>
      <c r="F3985" t="s">
        <v>4475</v>
      </c>
    </row>
    <row r="3986" spans="1:6" x14ac:dyDescent="0.25">
      <c r="A3986" t="s">
        <v>4209</v>
      </c>
      <c r="B3986" t="s">
        <v>175</v>
      </c>
      <c r="C3986" t="s">
        <v>176</v>
      </c>
      <c r="D3986" t="str">
        <f>HYPERLINK("http://service.sap.com/sap/support/notes/1721725","1721725")</f>
        <v>1721725</v>
      </c>
      <c r="E3986">
        <v>15</v>
      </c>
      <c r="F3986" t="s">
        <v>4476</v>
      </c>
    </row>
    <row r="3987" spans="1:6" x14ac:dyDescent="0.25">
      <c r="A3987" t="s">
        <v>4209</v>
      </c>
      <c r="B3987" t="s">
        <v>177</v>
      </c>
      <c r="C3987" t="s">
        <v>178</v>
      </c>
      <c r="D3987" t="str">
        <f>HYPERLINK("http://service.sap.com/sap/support/notes/1690121","1690121")</f>
        <v>1690121</v>
      </c>
      <c r="E3987">
        <v>2</v>
      </c>
      <c r="F3987" t="s">
        <v>4477</v>
      </c>
    </row>
    <row r="3988" spans="1:6" x14ac:dyDescent="0.25">
      <c r="A3988" t="s">
        <v>4209</v>
      </c>
      <c r="B3988" t="s">
        <v>177</v>
      </c>
      <c r="C3988" t="s">
        <v>178</v>
      </c>
      <c r="D3988" t="str">
        <f>HYPERLINK("http://service.sap.com/sap/support/notes/1706687","1706687")</f>
        <v>1706687</v>
      </c>
      <c r="E3988">
        <v>5</v>
      </c>
      <c r="F3988" t="s">
        <v>4478</v>
      </c>
    </row>
    <row r="3989" spans="1:6" x14ac:dyDescent="0.25">
      <c r="A3989" t="s">
        <v>4209</v>
      </c>
      <c r="B3989" t="s">
        <v>177</v>
      </c>
      <c r="C3989" t="s">
        <v>178</v>
      </c>
      <c r="D3989" t="str">
        <f>HYPERLINK("http://service.sap.com/sap/support/notes/1721733","1721733")</f>
        <v>1721733</v>
      </c>
      <c r="E3989">
        <v>3</v>
      </c>
      <c r="F3989" t="s">
        <v>4479</v>
      </c>
    </row>
    <row r="3990" spans="1:6" x14ac:dyDescent="0.25">
      <c r="A3990" t="s">
        <v>4209</v>
      </c>
      <c r="B3990" t="s">
        <v>177</v>
      </c>
      <c r="C3990" t="s">
        <v>178</v>
      </c>
      <c r="D3990" t="str">
        <f>HYPERLINK("http://service.sap.com/sap/support/notes/1722924","1722924")</f>
        <v>1722924</v>
      </c>
      <c r="E3990">
        <v>2</v>
      </c>
      <c r="F3990" t="s">
        <v>4480</v>
      </c>
    </row>
    <row r="3991" spans="1:6" x14ac:dyDescent="0.25">
      <c r="A3991" t="s">
        <v>4209</v>
      </c>
      <c r="B3991" t="s">
        <v>177</v>
      </c>
      <c r="C3991" t="s">
        <v>178</v>
      </c>
      <c r="D3991" t="str">
        <f>HYPERLINK("http://service.sap.com/sap/support/notes/1723707","1723707")</f>
        <v>1723707</v>
      </c>
      <c r="E3991">
        <v>2</v>
      </c>
      <c r="F3991" t="s">
        <v>4481</v>
      </c>
    </row>
    <row r="3992" spans="1:6" x14ac:dyDescent="0.25">
      <c r="A3992" t="s">
        <v>4209</v>
      </c>
      <c r="B3992" t="s">
        <v>179</v>
      </c>
      <c r="C3992" t="s">
        <v>180</v>
      </c>
      <c r="D3992" t="str">
        <f>HYPERLINK("http://service.sap.com/sap/support/notes/1691551","1691551")</f>
        <v>1691551</v>
      </c>
      <c r="E3992">
        <v>2</v>
      </c>
      <c r="F3992" t="s">
        <v>3183</v>
      </c>
    </row>
    <row r="3993" spans="1:6" x14ac:dyDescent="0.25">
      <c r="A3993" t="s">
        <v>4209</v>
      </c>
      <c r="B3993" t="s">
        <v>179</v>
      </c>
      <c r="C3993" t="s">
        <v>180</v>
      </c>
      <c r="D3993" t="str">
        <f>HYPERLINK("http://service.sap.com/sap/support/notes/1723576","1723576")</f>
        <v>1723576</v>
      </c>
      <c r="E3993">
        <v>1</v>
      </c>
      <c r="F3993" t="s">
        <v>4482</v>
      </c>
    </row>
    <row r="3994" spans="1:6" x14ac:dyDescent="0.25">
      <c r="A3994" t="s">
        <v>4209</v>
      </c>
      <c r="B3994" t="s">
        <v>179</v>
      </c>
      <c r="C3994" t="s">
        <v>180</v>
      </c>
      <c r="D3994" t="str">
        <f>HYPERLINK("http://service.sap.com/sap/support/notes/1723584","1723584")</f>
        <v>1723584</v>
      </c>
      <c r="E3994">
        <v>3</v>
      </c>
      <c r="F3994" t="s">
        <v>4483</v>
      </c>
    </row>
    <row r="3995" spans="1:6" x14ac:dyDescent="0.25">
      <c r="A3995" t="s">
        <v>4209</v>
      </c>
      <c r="B3995" t="s">
        <v>179</v>
      </c>
      <c r="C3995" t="s">
        <v>180</v>
      </c>
      <c r="D3995" t="str">
        <f>HYPERLINK("http://service.sap.com/sap/support/notes/1728209","1728209")</f>
        <v>1728209</v>
      </c>
      <c r="E3995">
        <v>2</v>
      </c>
      <c r="F3995" t="s">
        <v>4484</v>
      </c>
    </row>
    <row r="3996" spans="1:6" x14ac:dyDescent="0.25">
      <c r="A3996" t="s">
        <v>4209</v>
      </c>
      <c r="B3996" t="s">
        <v>181</v>
      </c>
      <c r="C3996" t="s">
        <v>182</v>
      </c>
      <c r="D3996" t="str">
        <f>HYPERLINK("http://service.sap.com/sap/support/notes/1668221","1668221")</f>
        <v>1668221</v>
      </c>
      <c r="E3996">
        <v>4</v>
      </c>
      <c r="F3996" t="s">
        <v>4485</v>
      </c>
    </row>
    <row r="3997" spans="1:6" x14ac:dyDescent="0.25">
      <c r="A3997" t="s">
        <v>4209</v>
      </c>
      <c r="B3997" t="s">
        <v>181</v>
      </c>
      <c r="C3997" t="s">
        <v>182</v>
      </c>
      <c r="D3997" t="str">
        <f>HYPERLINK("http://service.sap.com/sap/support/notes/1682213","1682213")</f>
        <v>1682213</v>
      </c>
      <c r="E3997">
        <v>4</v>
      </c>
      <c r="F3997" t="s">
        <v>4486</v>
      </c>
    </row>
    <row r="3998" spans="1:6" x14ac:dyDescent="0.25">
      <c r="A3998" t="s">
        <v>4209</v>
      </c>
      <c r="B3998" t="s">
        <v>181</v>
      </c>
      <c r="C3998" t="s">
        <v>182</v>
      </c>
      <c r="D3998" t="str">
        <f>HYPERLINK("http://service.sap.com/sap/support/notes/1720388","1720388")</f>
        <v>1720388</v>
      </c>
      <c r="E3998">
        <v>1</v>
      </c>
      <c r="F3998" t="s">
        <v>4487</v>
      </c>
    </row>
    <row r="3999" spans="1:6" x14ac:dyDescent="0.25">
      <c r="A3999" t="s">
        <v>4209</v>
      </c>
      <c r="B3999" t="s">
        <v>181</v>
      </c>
      <c r="C3999" t="s">
        <v>182</v>
      </c>
      <c r="D3999" t="str">
        <f>HYPERLINK("http://service.sap.com/sap/support/notes/1721149","1721149")</f>
        <v>1721149</v>
      </c>
      <c r="E3999">
        <v>1</v>
      </c>
      <c r="F3999" t="s">
        <v>4488</v>
      </c>
    </row>
    <row r="4000" spans="1:6" x14ac:dyDescent="0.25">
      <c r="A4000" t="s">
        <v>4209</v>
      </c>
      <c r="B4000" t="s">
        <v>181</v>
      </c>
      <c r="C4000" t="s">
        <v>182</v>
      </c>
      <c r="D4000" t="str">
        <f>HYPERLINK("http://service.sap.com/sap/support/notes/1726058","1726058")</f>
        <v>1726058</v>
      </c>
      <c r="E4000">
        <v>1</v>
      </c>
      <c r="F4000" t="s">
        <v>4489</v>
      </c>
    </row>
    <row r="4001" spans="1:6" x14ac:dyDescent="0.25">
      <c r="A4001" t="s">
        <v>4209</v>
      </c>
      <c r="B4001" t="s">
        <v>181</v>
      </c>
      <c r="C4001" t="s">
        <v>182</v>
      </c>
      <c r="D4001" t="str">
        <f>HYPERLINK("http://service.sap.com/sap/support/notes/1727554","1727554")</f>
        <v>1727554</v>
      </c>
      <c r="E4001">
        <v>1</v>
      </c>
      <c r="F4001" t="s">
        <v>4490</v>
      </c>
    </row>
    <row r="4002" spans="1:6" x14ac:dyDescent="0.25">
      <c r="A4002" t="s">
        <v>4209</v>
      </c>
      <c r="B4002" t="s">
        <v>185</v>
      </c>
      <c r="C4002" t="s">
        <v>186</v>
      </c>
      <c r="D4002" t="str">
        <f>HYPERLINK("http://service.sap.com/sap/support/notes/1716085","1716085")</f>
        <v>1716085</v>
      </c>
      <c r="E4002">
        <v>3</v>
      </c>
      <c r="F4002" t="s">
        <v>4491</v>
      </c>
    </row>
    <row r="4003" spans="1:6" x14ac:dyDescent="0.25">
      <c r="A4003" t="s">
        <v>4209</v>
      </c>
      <c r="B4003" t="s">
        <v>185</v>
      </c>
      <c r="C4003" t="s">
        <v>186</v>
      </c>
      <c r="D4003" t="str">
        <f>HYPERLINK("http://service.sap.com/sap/support/notes/1728221","1728221")</f>
        <v>1728221</v>
      </c>
      <c r="E4003">
        <v>1</v>
      </c>
      <c r="F4003" t="s">
        <v>4492</v>
      </c>
    </row>
    <row r="4004" spans="1:6" x14ac:dyDescent="0.25">
      <c r="A4004" t="s">
        <v>4209</v>
      </c>
      <c r="B4004" t="s">
        <v>185</v>
      </c>
      <c r="C4004" t="s">
        <v>186</v>
      </c>
      <c r="D4004" t="str">
        <f>HYPERLINK("http://service.sap.com/sap/support/notes/1728251","1728251")</f>
        <v>1728251</v>
      </c>
      <c r="E4004">
        <v>1</v>
      </c>
      <c r="F4004" t="s">
        <v>4493</v>
      </c>
    </row>
    <row r="4005" spans="1:6" x14ac:dyDescent="0.25">
      <c r="A4005" t="s">
        <v>4209</v>
      </c>
      <c r="B4005" t="s">
        <v>188</v>
      </c>
      <c r="C4005" t="s">
        <v>60</v>
      </c>
      <c r="D4005" t="str">
        <f>HYPERLINK("http://service.sap.com/sap/support/notes/1726135","1726135")</f>
        <v>1726135</v>
      </c>
      <c r="E4005">
        <v>1</v>
      </c>
      <c r="F4005" t="s">
        <v>4494</v>
      </c>
    </row>
    <row r="4006" spans="1:6" x14ac:dyDescent="0.25">
      <c r="A4006" t="s">
        <v>4209</v>
      </c>
      <c r="B4006" t="s">
        <v>191</v>
      </c>
      <c r="C4006" t="s">
        <v>62</v>
      </c>
      <c r="D4006" t="str">
        <f>HYPERLINK("http://service.sap.com/sap/support/notes/1722970","1722970")</f>
        <v>1722970</v>
      </c>
      <c r="E4006">
        <v>1</v>
      </c>
      <c r="F4006" t="s">
        <v>4495</v>
      </c>
    </row>
    <row r="4007" spans="1:6" x14ac:dyDescent="0.25">
      <c r="A4007" t="s">
        <v>4209</v>
      </c>
      <c r="B4007" t="s">
        <v>332</v>
      </c>
      <c r="C4007" t="s">
        <v>333</v>
      </c>
      <c r="D4007" t="str">
        <f>HYPERLINK("http://service.sap.com/sap/support/notes/1688539","1688539")</f>
        <v>1688539</v>
      </c>
      <c r="E4007">
        <v>2</v>
      </c>
      <c r="F4007" t="s">
        <v>4496</v>
      </c>
    </row>
    <row r="4008" spans="1:6" x14ac:dyDescent="0.25">
      <c r="A4008" t="s">
        <v>4209</v>
      </c>
      <c r="B4008" t="s">
        <v>196</v>
      </c>
      <c r="C4008" t="s">
        <v>197</v>
      </c>
      <c r="D4008" t="str">
        <f>HYPERLINK("http://service.sap.com/sap/support/notes/1704522","1704522")</f>
        <v>1704522</v>
      </c>
      <c r="E4008">
        <v>1</v>
      </c>
      <c r="F4008" t="s">
        <v>4497</v>
      </c>
    </row>
    <row r="4009" spans="1:6" x14ac:dyDescent="0.25">
      <c r="A4009" t="s">
        <v>4209</v>
      </c>
      <c r="B4009" t="s">
        <v>196</v>
      </c>
      <c r="C4009" t="s">
        <v>197</v>
      </c>
      <c r="D4009" t="str">
        <f>HYPERLINK("http://service.sap.com/sap/support/notes/1714333","1714333")</f>
        <v>1714333</v>
      </c>
      <c r="E4009">
        <v>1</v>
      </c>
      <c r="F4009" t="s">
        <v>4498</v>
      </c>
    </row>
    <row r="4010" spans="1:6" x14ac:dyDescent="0.25">
      <c r="A4010" t="s">
        <v>4209</v>
      </c>
      <c r="B4010" t="s">
        <v>196</v>
      </c>
      <c r="C4010" t="s">
        <v>197</v>
      </c>
      <c r="D4010" t="str">
        <f>HYPERLINK("http://service.sap.com/sap/support/notes/1722692","1722692")</f>
        <v>1722692</v>
      </c>
      <c r="E4010">
        <v>2</v>
      </c>
      <c r="F4010" t="s">
        <v>4499</v>
      </c>
    </row>
    <row r="4011" spans="1:6" x14ac:dyDescent="0.25">
      <c r="A4011" t="s">
        <v>4209</v>
      </c>
      <c r="B4011" t="s">
        <v>198</v>
      </c>
      <c r="C4011" t="s">
        <v>199</v>
      </c>
      <c r="D4011" t="str">
        <f>HYPERLINK("http://service.sap.com/sap/support/notes/1691400","1691400")</f>
        <v>1691400</v>
      </c>
      <c r="E4011">
        <v>5</v>
      </c>
      <c r="F4011" t="s">
        <v>4500</v>
      </c>
    </row>
    <row r="4012" spans="1:6" x14ac:dyDescent="0.25">
      <c r="A4012" t="s">
        <v>4209</v>
      </c>
      <c r="B4012" t="s">
        <v>198</v>
      </c>
      <c r="C4012" t="s">
        <v>199</v>
      </c>
      <c r="D4012" t="str">
        <f>HYPERLINK("http://service.sap.com/sap/support/notes/1710386","1710386")</f>
        <v>1710386</v>
      </c>
      <c r="E4012">
        <v>4</v>
      </c>
      <c r="F4012" t="s">
        <v>4501</v>
      </c>
    </row>
    <row r="4013" spans="1:6" x14ac:dyDescent="0.25">
      <c r="A4013" t="s">
        <v>4209</v>
      </c>
      <c r="B4013" t="s">
        <v>198</v>
      </c>
      <c r="C4013" t="s">
        <v>199</v>
      </c>
      <c r="D4013" t="str">
        <f>HYPERLINK("http://service.sap.com/sap/support/notes/1713557","1713557")</f>
        <v>1713557</v>
      </c>
      <c r="E4013">
        <v>2</v>
      </c>
      <c r="F4013" t="s">
        <v>4502</v>
      </c>
    </row>
    <row r="4014" spans="1:6" x14ac:dyDescent="0.25">
      <c r="A4014" t="s">
        <v>4209</v>
      </c>
      <c r="B4014" t="s">
        <v>198</v>
      </c>
      <c r="C4014" t="s">
        <v>199</v>
      </c>
      <c r="D4014" t="str">
        <f>HYPERLINK("http://service.sap.com/sap/support/notes/1718756","1718756")</f>
        <v>1718756</v>
      </c>
      <c r="E4014">
        <v>3</v>
      </c>
      <c r="F4014" t="s">
        <v>4503</v>
      </c>
    </row>
    <row r="4015" spans="1:6" x14ac:dyDescent="0.25">
      <c r="A4015" t="s">
        <v>4209</v>
      </c>
      <c r="B4015" t="s">
        <v>198</v>
      </c>
      <c r="C4015" t="s">
        <v>199</v>
      </c>
      <c r="D4015" t="str">
        <f>HYPERLINK("http://service.sap.com/sap/support/notes/1729966","1729966")</f>
        <v>1729966</v>
      </c>
      <c r="E4015">
        <v>2</v>
      </c>
      <c r="F4015" t="s">
        <v>4504</v>
      </c>
    </row>
    <row r="4016" spans="1:6" x14ac:dyDescent="0.25">
      <c r="A4016" t="s">
        <v>4209</v>
      </c>
      <c r="B4016" t="s">
        <v>200</v>
      </c>
      <c r="C4016" t="s">
        <v>201</v>
      </c>
      <c r="D4016" t="str">
        <f>HYPERLINK("http://service.sap.com/sap/support/notes/1723617","1723617")</f>
        <v>1723617</v>
      </c>
      <c r="E4016">
        <v>1</v>
      </c>
      <c r="F4016" t="s">
        <v>4505</v>
      </c>
    </row>
    <row r="4017" spans="1:6" x14ac:dyDescent="0.25">
      <c r="A4017" t="s">
        <v>4209</v>
      </c>
      <c r="B4017" t="s">
        <v>200</v>
      </c>
      <c r="C4017" t="s">
        <v>201</v>
      </c>
      <c r="D4017" t="str">
        <f>HYPERLINK("http://service.sap.com/sap/support/notes/1724596","1724596")</f>
        <v>1724596</v>
      </c>
      <c r="E4017">
        <v>1</v>
      </c>
      <c r="F4017" t="s">
        <v>4120</v>
      </c>
    </row>
    <row r="4018" spans="1:6" x14ac:dyDescent="0.25">
      <c r="A4018" t="s">
        <v>4209</v>
      </c>
      <c r="B4018" t="s">
        <v>203</v>
      </c>
      <c r="C4018" t="s">
        <v>204</v>
      </c>
    </row>
    <row r="4019" spans="1:6" x14ac:dyDescent="0.25">
      <c r="A4019" t="s">
        <v>4209</v>
      </c>
      <c r="B4019" t="s">
        <v>339</v>
      </c>
      <c r="C4019" t="s">
        <v>340</v>
      </c>
      <c r="D4019" t="str">
        <f>HYPERLINK("http://service.sap.com/sap/support/notes/1724396","1724396")</f>
        <v>1724396</v>
      </c>
      <c r="E4019">
        <v>1</v>
      </c>
      <c r="F4019" t="s">
        <v>4506</v>
      </c>
    </row>
    <row r="4020" spans="1:6" x14ac:dyDescent="0.25">
      <c r="A4020" t="s">
        <v>4209</v>
      </c>
      <c r="B4020" t="s">
        <v>350</v>
      </c>
      <c r="C4020" t="s">
        <v>592</v>
      </c>
      <c r="D4020" t="str">
        <f>HYPERLINK("http://service.sap.com/sap/support/notes/1531966","1531966")</f>
        <v>1531966</v>
      </c>
      <c r="E4020">
        <v>4</v>
      </c>
      <c r="F4020" t="s">
        <v>4174</v>
      </c>
    </row>
    <row r="4021" spans="1:6" x14ac:dyDescent="0.25">
      <c r="A4021" t="s">
        <v>4209</v>
      </c>
      <c r="B4021" t="s">
        <v>205</v>
      </c>
      <c r="C4021" t="s">
        <v>206</v>
      </c>
      <c r="D4021" t="str">
        <f>HYPERLINK("http://service.sap.com/sap/support/notes/1717745","1717745")</f>
        <v>1717745</v>
      </c>
      <c r="E4021">
        <v>2</v>
      </c>
      <c r="F4021" t="s">
        <v>4507</v>
      </c>
    </row>
    <row r="4022" spans="1:6" x14ac:dyDescent="0.25">
      <c r="A4022" t="s">
        <v>4209</v>
      </c>
      <c r="B4022" t="s">
        <v>205</v>
      </c>
      <c r="C4022" t="s">
        <v>206</v>
      </c>
      <c r="D4022" t="str">
        <f>HYPERLINK("http://service.sap.com/sap/support/notes/1720728","1720728")</f>
        <v>1720728</v>
      </c>
      <c r="E4022">
        <v>4</v>
      </c>
      <c r="F4022" t="s">
        <v>4508</v>
      </c>
    </row>
    <row r="4023" spans="1:6" x14ac:dyDescent="0.25">
      <c r="A4023" t="s">
        <v>4209</v>
      </c>
      <c r="B4023" t="s">
        <v>205</v>
      </c>
      <c r="C4023" t="s">
        <v>206</v>
      </c>
      <c r="D4023" t="str">
        <f>HYPERLINK("http://service.sap.com/sap/support/notes/1721937","1721937")</f>
        <v>1721937</v>
      </c>
      <c r="E4023">
        <v>1</v>
      </c>
      <c r="F4023" t="s">
        <v>4509</v>
      </c>
    </row>
    <row r="4024" spans="1:6" x14ac:dyDescent="0.25">
      <c r="A4024" t="s">
        <v>4209</v>
      </c>
      <c r="B4024" t="s">
        <v>212</v>
      </c>
      <c r="C4024" t="s">
        <v>361</v>
      </c>
    </row>
    <row r="4025" spans="1:6" x14ac:dyDescent="0.25">
      <c r="A4025" t="s">
        <v>4209</v>
      </c>
      <c r="B4025" t="s">
        <v>213</v>
      </c>
      <c r="C4025" t="s">
        <v>362</v>
      </c>
    </row>
    <row r="4026" spans="1:6" x14ac:dyDescent="0.25">
      <c r="A4026" t="s">
        <v>4209</v>
      </c>
      <c r="B4026" t="s">
        <v>214</v>
      </c>
      <c r="C4026" t="s">
        <v>363</v>
      </c>
      <c r="D4026" t="str">
        <f>HYPERLINK("http://service.sap.com/sap/support/notes/1732987","1732987")</f>
        <v>1732987</v>
      </c>
      <c r="E4026">
        <v>1</v>
      </c>
      <c r="F4026" t="s">
        <v>4510</v>
      </c>
    </row>
    <row r="4027" spans="1:6" x14ac:dyDescent="0.25">
      <c r="A4027" t="s">
        <v>4209</v>
      </c>
      <c r="B4027" t="s">
        <v>21</v>
      </c>
      <c r="C4027" t="s">
        <v>12</v>
      </c>
    </row>
    <row r="4028" spans="1:6" x14ac:dyDescent="0.25">
      <c r="A4028" t="s">
        <v>4209</v>
      </c>
      <c r="B4028" t="s">
        <v>29</v>
      </c>
      <c r="C4028" t="s">
        <v>30</v>
      </c>
    </row>
    <row r="4029" spans="1:6" x14ac:dyDescent="0.25">
      <c r="A4029" t="s">
        <v>4209</v>
      </c>
      <c r="B4029" t="s">
        <v>250</v>
      </c>
      <c r="C4029" t="s">
        <v>79</v>
      </c>
      <c r="D4029" t="str">
        <f>HYPERLINK("http://service.sap.com/sap/support/notes/1551410","1551410")</f>
        <v>1551410</v>
      </c>
      <c r="E4029">
        <v>11</v>
      </c>
      <c r="F4029" t="s">
        <v>4511</v>
      </c>
    </row>
    <row r="4030" spans="1:6" x14ac:dyDescent="0.25">
      <c r="A4030" t="s">
        <v>4209</v>
      </c>
      <c r="B4030" t="s">
        <v>250</v>
      </c>
      <c r="C4030" t="s">
        <v>79</v>
      </c>
      <c r="D4030" t="str">
        <f>HYPERLINK("http://service.sap.com/sap/support/notes/1745318","1745318")</f>
        <v>1745318</v>
      </c>
      <c r="E4030">
        <v>1</v>
      </c>
      <c r="F4030" t="s">
        <v>4512</v>
      </c>
    </row>
    <row r="4031" spans="1:6" x14ac:dyDescent="0.25">
      <c r="A4031" t="s">
        <v>4209</v>
      </c>
      <c r="B4031" t="s">
        <v>31</v>
      </c>
      <c r="C4031" t="s">
        <v>32</v>
      </c>
      <c r="D4031" t="str">
        <f>HYPERLINK("http://service.sap.com/sap/support/notes/1726630","1726630")</f>
        <v>1726630</v>
      </c>
      <c r="E4031">
        <v>2</v>
      </c>
      <c r="F4031" t="s">
        <v>4513</v>
      </c>
    </row>
    <row r="4032" spans="1:6" x14ac:dyDescent="0.25">
      <c r="A4032" t="s">
        <v>4209</v>
      </c>
      <c r="B4032" t="s">
        <v>31</v>
      </c>
      <c r="C4032" t="s">
        <v>32</v>
      </c>
      <c r="D4032" t="str">
        <f>HYPERLINK("http://service.sap.com/sap/support/notes/1732369","1732369")</f>
        <v>1732369</v>
      </c>
      <c r="E4032">
        <v>1</v>
      </c>
      <c r="F4032" t="s">
        <v>4514</v>
      </c>
    </row>
    <row r="4033" spans="1:6" x14ac:dyDescent="0.25">
      <c r="A4033" t="s">
        <v>4209</v>
      </c>
      <c r="B4033" t="s">
        <v>33</v>
      </c>
      <c r="C4033" t="s">
        <v>34</v>
      </c>
      <c r="D4033" t="str">
        <f>HYPERLINK("http://service.sap.com/sap/support/notes/1734181","1734181")</f>
        <v>1734181</v>
      </c>
      <c r="E4033">
        <v>2</v>
      </c>
      <c r="F4033" t="s">
        <v>1839</v>
      </c>
    </row>
    <row r="4034" spans="1:6" x14ac:dyDescent="0.25">
      <c r="A4034" t="s">
        <v>4209</v>
      </c>
      <c r="B4034" t="s">
        <v>674</v>
      </c>
      <c r="C4034" t="s">
        <v>92</v>
      </c>
      <c r="D4034" t="str">
        <f>HYPERLINK("http://service.sap.com/sap/support/notes/1744714","1744714")</f>
        <v>1744714</v>
      </c>
      <c r="E4034">
        <v>1</v>
      </c>
      <c r="F4034" t="s">
        <v>4515</v>
      </c>
    </row>
    <row r="4035" spans="1:6" x14ac:dyDescent="0.25">
      <c r="A4035" t="s">
        <v>4209</v>
      </c>
      <c r="B4035" t="s">
        <v>251</v>
      </c>
      <c r="C4035" t="s">
        <v>99</v>
      </c>
      <c r="D4035" t="str">
        <f>HYPERLINK("http://service.sap.com/sap/support/notes/1721682","1721682")</f>
        <v>1721682</v>
      </c>
      <c r="E4035">
        <v>2</v>
      </c>
      <c r="F4035" t="s">
        <v>4516</v>
      </c>
    </row>
    <row r="4036" spans="1:6" x14ac:dyDescent="0.25">
      <c r="A4036" t="s">
        <v>4209</v>
      </c>
      <c r="B4036" t="s">
        <v>35</v>
      </c>
      <c r="C4036" t="s">
        <v>36</v>
      </c>
      <c r="D4036" t="str">
        <f>HYPERLINK("http://service.sap.com/sap/support/notes/1721403","1721403")</f>
        <v>1721403</v>
      </c>
      <c r="E4036">
        <v>1</v>
      </c>
      <c r="F4036" t="s">
        <v>4517</v>
      </c>
    </row>
    <row r="4037" spans="1:6" x14ac:dyDescent="0.25">
      <c r="A4037" t="s">
        <v>4209</v>
      </c>
      <c r="B4037" t="s">
        <v>35</v>
      </c>
      <c r="C4037" t="s">
        <v>36</v>
      </c>
      <c r="D4037" t="str">
        <f>HYPERLINK("http://service.sap.com/sap/support/notes/1724514","1724514")</f>
        <v>1724514</v>
      </c>
      <c r="E4037">
        <v>1</v>
      </c>
      <c r="F4037" t="s">
        <v>4518</v>
      </c>
    </row>
    <row r="4038" spans="1:6" x14ac:dyDescent="0.25">
      <c r="A4038" t="s">
        <v>4209</v>
      </c>
      <c r="B4038" t="s">
        <v>35</v>
      </c>
      <c r="C4038" t="s">
        <v>36</v>
      </c>
      <c r="D4038" t="str">
        <f>HYPERLINK("http://service.sap.com/sap/support/notes/1727496","1727496")</f>
        <v>1727496</v>
      </c>
      <c r="E4038">
        <v>1</v>
      </c>
      <c r="F4038" t="s">
        <v>4519</v>
      </c>
    </row>
    <row r="4039" spans="1:6" x14ac:dyDescent="0.25">
      <c r="A4039" t="s">
        <v>4209</v>
      </c>
      <c r="B4039" t="s">
        <v>35</v>
      </c>
      <c r="C4039" t="s">
        <v>36</v>
      </c>
      <c r="D4039" t="str">
        <f>HYPERLINK("http://service.sap.com/sap/support/notes/1727497","1727497")</f>
        <v>1727497</v>
      </c>
      <c r="E4039">
        <v>1</v>
      </c>
      <c r="F4039" t="s">
        <v>4520</v>
      </c>
    </row>
    <row r="4040" spans="1:6" x14ac:dyDescent="0.25">
      <c r="A4040" t="s">
        <v>4209</v>
      </c>
      <c r="B4040" t="s">
        <v>35</v>
      </c>
      <c r="C4040" t="s">
        <v>36</v>
      </c>
      <c r="D4040" t="str">
        <f>HYPERLINK("http://service.sap.com/sap/support/notes/1729495","1729495")</f>
        <v>1729495</v>
      </c>
      <c r="E4040">
        <v>1</v>
      </c>
      <c r="F4040" t="s">
        <v>4521</v>
      </c>
    </row>
    <row r="4041" spans="1:6" x14ac:dyDescent="0.25">
      <c r="A4041" t="s">
        <v>4209</v>
      </c>
      <c r="B4041" t="s">
        <v>35</v>
      </c>
      <c r="C4041" t="s">
        <v>36</v>
      </c>
      <c r="D4041" t="str">
        <f>HYPERLINK("http://service.sap.com/sap/support/notes/1737827","1737827")</f>
        <v>1737827</v>
      </c>
      <c r="E4041">
        <v>1</v>
      </c>
      <c r="F4041" t="s">
        <v>4522</v>
      </c>
    </row>
    <row r="4042" spans="1:6" x14ac:dyDescent="0.25">
      <c r="A4042" t="s">
        <v>4209</v>
      </c>
      <c r="B4042" t="s">
        <v>37</v>
      </c>
      <c r="C4042" t="s">
        <v>38</v>
      </c>
      <c r="D4042" t="str">
        <f>HYPERLINK("http://service.sap.com/sap/support/notes/1735424","1735424")</f>
        <v>1735424</v>
      </c>
      <c r="E4042">
        <v>2</v>
      </c>
      <c r="F4042" t="s">
        <v>4523</v>
      </c>
    </row>
    <row r="4043" spans="1:6" x14ac:dyDescent="0.25">
      <c r="A4043" t="s">
        <v>4209</v>
      </c>
      <c r="B4043" t="s">
        <v>41</v>
      </c>
      <c r="C4043" t="s">
        <v>42</v>
      </c>
      <c r="D4043" t="str">
        <f>HYPERLINK("http://service.sap.com/sap/support/notes/700094","700094")</f>
        <v>700094</v>
      </c>
      <c r="E4043">
        <v>8</v>
      </c>
      <c r="F4043" t="s">
        <v>252</v>
      </c>
    </row>
    <row r="4044" spans="1:6" x14ac:dyDescent="0.25">
      <c r="A4044" t="s">
        <v>4209</v>
      </c>
      <c r="B4044" t="s">
        <v>41</v>
      </c>
      <c r="C4044" t="s">
        <v>42</v>
      </c>
      <c r="D4044" t="str">
        <f>HYPERLINK("http://service.sap.com/sap/support/notes/1742883","1742883")</f>
        <v>1742883</v>
      </c>
      <c r="E4044">
        <v>1</v>
      </c>
      <c r="F4044" t="s">
        <v>4524</v>
      </c>
    </row>
    <row r="4045" spans="1:6" x14ac:dyDescent="0.25">
      <c r="A4045" t="s">
        <v>4209</v>
      </c>
      <c r="B4045" t="s">
        <v>43</v>
      </c>
      <c r="C4045" t="s">
        <v>44</v>
      </c>
      <c r="D4045" t="str">
        <f>HYPERLINK("http://service.sap.com/sap/support/notes/1642931","1642931")</f>
        <v>1642931</v>
      </c>
      <c r="E4045">
        <v>2</v>
      </c>
      <c r="F4045" t="s">
        <v>2837</v>
      </c>
    </row>
    <row r="4046" spans="1:6" x14ac:dyDescent="0.25">
      <c r="A4046" t="s">
        <v>4209</v>
      </c>
      <c r="B4046" t="s">
        <v>43</v>
      </c>
      <c r="C4046" t="s">
        <v>44</v>
      </c>
      <c r="D4046" t="str">
        <f>HYPERLINK("http://service.sap.com/sap/support/notes/1728831","1728831")</f>
        <v>1728831</v>
      </c>
      <c r="E4046">
        <v>3</v>
      </c>
      <c r="F4046" t="s">
        <v>4525</v>
      </c>
    </row>
    <row r="4047" spans="1:6" x14ac:dyDescent="0.25">
      <c r="A4047" t="s">
        <v>4209</v>
      </c>
      <c r="B4047" t="s">
        <v>43</v>
      </c>
      <c r="C4047" t="s">
        <v>44</v>
      </c>
      <c r="D4047" t="str">
        <f>HYPERLINK("http://service.sap.com/sap/support/notes/1729354","1729354")</f>
        <v>1729354</v>
      </c>
      <c r="E4047">
        <v>3</v>
      </c>
      <c r="F4047" t="s">
        <v>4526</v>
      </c>
    </row>
    <row r="4048" spans="1:6" x14ac:dyDescent="0.25">
      <c r="A4048" t="s">
        <v>4209</v>
      </c>
      <c r="B4048" t="s">
        <v>43</v>
      </c>
      <c r="C4048" t="s">
        <v>44</v>
      </c>
      <c r="D4048" t="str">
        <f>HYPERLINK("http://service.sap.com/sap/support/notes/1730940","1730940")</f>
        <v>1730940</v>
      </c>
      <c r="E4048">
        <v>3</v>
      </c>
      <c r="F4048" t="s">
        <v>4527</v>
      </c>
    </row>
    <row r="4049" spans="1:6" x14ac:dyDescent="0.25">
      <c r="A4049" t="s">
        <v>4209</v>
      </c>
      <c r="B4049" t="s">
        <v>43</v>
      </c>
      <c r="C4049" t="s">
        <v>44</v>
      </c>
      <c r="D4049" t="str">
        <f>HYPERLINK("http://service.sap.com/sap/support/notes/1736616","1736616")</f>
        <v>1736616</v>
      </c>
      <c r="E4049">
        <v>3</v>
      </c>
      <c r="F4049" t="s">
        <v>4528</v>
      </c>
    </row>
    <row r="4050" spans="1:6" x14ac:dyDescent="0.25">
      <c r="A4050" t="s">
        <v>4209</v>
      </c>
      <c r="B4050" t="s">
        <v>43</v>
      </c>
      <c r="C4050" t="s">
        <v>44</v>
      </c>
      <c r="D4050" t="str">
        <f>HYPERLINK("http://service.sap.com/sap/support/notes/1736670","1736670")</f>
        <v>1736670</v>
      </c>
      <c r="E4050">
        <v>4</v>
      </c>
      <c r="F4050" t="s">
        <v>4529</v>
      </c>
    </row>
    <row r="4051" spans="1:6" x14ac:dyDescent="0.25">
      <c r="A4051" t="s">
        <v>4209</v>
      </c>
      <c r="B4051" t="s">
        <v>43</v>
      </c>
      <c r="C4051" t="s">
        <v>44</v>
      </c>
      <c r="D4051" t="str">
        <f>HYPERLINK("http://service.sap.com/sap/support/notes/1737749","1737749")</f>
        <v>1737749</v>
      </c>
      <c r="E4051">
        <v>5</v>
      </c>
      <c r="F4051" t="s">
        <v>4530</v>
      </c>
    </row>
    <row r="4052" spans="1:6" x14ac:dyDescent="0.25">
      <c r="A4052" t="s">
        <v>4209</v>
      </c>
      <c r="B4052" t="s">
        <v>43</v>
      </c>
      <c r="C4052" t="s">
        <v>44</v>
      </c>
      <c r="D4052" t="str">
        <f>HYPERLINK("http://service.sap.com/sap/support/notes/1743972","1743972")</f>
        <v>1743972</v>
      </c>
      <c r="E4052">
        <v>1</v>
      </c>
      <c r="F4052" t="s">
        <v>4531</v>
      </c>
    </row>
    <row r="4053" spans="1:6" x14ac:dyDescent="0.25">
      <c r="A4053" t="s">
        <v>4209</v>
      </c>
      <c r="B4053" t="s">
        <v>254</v>
      </c>
      <c r="C4053" t="s">
        <v>255</v>
      </c>
      <c r="D4053" t="str">
        <f>HYPERLINK("http://service.sap.com/sap/support/notes/1680466","1680466")</f>
        <v>1680466</v>
      </c>
      <c r="E4053">
        <v>1</v>
      </c>
      <c r="F4053" t="s">
        <v>4532</v>
      </c>
    </row>
    <row r="4054" spans="1:6" x14ac:dyDescent="0.25">
      <c r="A4054" t="s">
        <v>4209</v>
      </c>
      <c r="B4054" t="s">
        <v>51</v>
      </c>
      <c r="C4054" t="s">
        <v>52</v>
      </c>
      <c r="D4054" t="str">
        <f>HYPERLINK("http://service.sap.com/sap/support/notes/1728923","1728923")</f>
        <v>1728923</v>
      </c>
      <c r="E4054">
        <v>2</v>
      </c>
      <c r="F4054" t="s">
        <v>4533</v>
      </c>
    </row>
    <row r="4055" spans="1:6" x14ac:dyDescent="0.25">
      <c r="A4055" t="s">
        <v>4209</v>
      </c>
      <c r="B4055" t="s">
        <v>51</v>
      </c>
      <c r="C4055" t="s">
        <v>52</v>
      </c>
      <c r="D4055" t="str">
        <f>HYPERLINK("http://service.sap.com/sap/support/notes/1734499","1734499")</f>
        <v>1734499</v>
      </c>
      <c r="E4055">
        <v>3</v>
      </c>
      <c r="F4055" t="s">
        <v>4534</v>
      </c>
    </row>
    <row r="4056" spans="1:6" x14ac:dyDescent="0.25">
      <c r="A4056" t="s">
        <v>4209</v>
      </c>
      <c r="B4056" t="s">
        <v>51</v>
      </c>
      <c r="C4056" t="s">
        <v>52</v>
      </c>
      <c r="D4056" t="str">
        <f>HYPERLINK("http://service.sap.com/sap/support/notes/1735728","1735728")</f>
        <v>1735728</v>
      </c>
      <c r="E4056">
        <v>1</v>
      </c>
      <c r="F4056" t="s">
        <v>4535</v>
      </c>
    </row>
    <row r="4057" spans="1:6" x14ac:dyDescent="0.25">
      <c r="A4057" t="s">
        <v>4209</v>
      </c>
      <c r="B4057" t="s">
        <v>53</v>
      </c>
      <c r="C4057" t="s">
        <v>54</v>
      </c>
      <c r="D4057" t="str">
        <f>HYPERLINK("http://service.sap.com/sap/support/notes/1736286","1736286")</f>
        <v>1736286</v>
      </c>
      <c r="E4057">
        <v>5</v>
      </c>
      <c r="F4057" t="s">
        <v>4536</v>
      </c>
    </row>
    <row r="4058" spans="1:6" x14ac:dyDescent="0.25">
      <c r="A4058" t="s">
        <v>4209</v>
      </c>
      <c r="B4058" t="s">
        <v>53</v>
      </c>
      <c r="C4058" t="s">
        <v>54</v>
      </c>
      <c r="D4058" t="str">
        <f>HYPERLINK("http://service.sap.com/sap/support/notes/1738348","1738348")</f>
        <v>1738348</v>
      </c>
      <c r="E4058">
        <v>3</v>
      </c>
      <c r="F4058" t="s">
        <v>4537</v>
      </c>
    </row>
    <row r="4059" spans="1:6" x14ac:dyDescent="0.25">
      <c r="A4059" t="s">
        <v>4209</v>
      </c>
      <c r="B4059" t="s">
        <v>839</v>
      </c>
      <c r="C4059" t="s">
        <v>160</v>
      </c>
      <c r="D4059" t="str">
        <f>HYPERLINK("http://service.sap.com/sap/support/notes/1708830","1708830")</f>
        <v>1708830</v>
      </c>
      <c r="E4059">
        <v>4</v>
      </c>
      <c r="F4059" t="s">
        <v>4538</v>
      </c>
    </row>
    <row r="4060" spans="1:6" x14ac:dyDescent="0.25">
      <c r="A4060" t="s">
        <v>4209</v>
      </c>
      <c r="B4060" t="s">
        <v>256</v>
      </c>
      <c r="C4060" t="s">
        <v>165</v>
      </c>
      <c r="D4060" t="str">
        <f>HYPERLINK("http://service.sap.com/sap/support/notes/1552735","1552735")</f>
        <v>1552735</v>
      </c>
      <c r="E4060">
        <v>1</v>
      </c>
      <c r="F4060" t="s">
        <v>4539</v>
      </c>
    </row>
    <row r="4061" spans="1:6" x14ac:dyDescent="0.25">
      <c r="A4061" t="s">
        <v>4209</v>
      </c>
      <c r="B4061" t="s">
        <v>256</v>
      </c>
      <c r="C4061" t="s">
        <v>165</v>
      </c>
      <c r="D4061" t="str">
        <f>HYPERLINK("http://service.sap.com/sap/support/notes/1718982","1718982")</f>
        <v>1718982</v>
      </c>
      <c r="E4061">
        <v>1</v>
      </c>
      <c r="F4061" t="s">
        <v>4540</v>
      </c>
    </row>
    <row r="4062" spans="1:6" x14ac:dyDescent="0.25">
      <c r="A4062" t="s">
        <v>4209</v>
      </c>
      <c r="B4062" t="s">
        <v>256</v>
      </c>
      <c r="C4062" t="s">
        <v>165</v>
      </c>
      <c r="D4062" t="str">
        <f>HYPERLINK("http://service.sap.com/sap/support/notes/1739455","1739455")</f>
        <v>1739455</v>
      </c>
      <c r="E4062">
        <v>2</v>
      </c>
      <c r="F4062" t="s">
        <v>4541</v>
      </c>
    </row>
    <row r="4063" spans="1:6" x14ac:dyDescent="0.25">
      <c r="A4063" t="s">
        <v>4209</v>
      </c>
      <c r="B4063" t="s">
        <v>256</v>
      </c>
      <c r="C4063" t="s">
        <v>165</v>
      </c>
      <c r="D4063" t="str">
        <f>HYPERLINK("http://service.sap.com/sap/support/notes/1740257","1740257")</f>
        <v>1740257</v>
      </c>
      <c r="E4063">
        <v>2</v>
      </c>
      <c r="F4063" t="s">
        <v>4542</v>
      </c>
    </row>
    <row r="4064" spans="1:6" x14ac:dyDescent="0.25">
      <c r="A4064" t="s">
        <v>4209</v>
      </c>
      <c r="B4064" t="s">
        <v>3252</v>
      </c>
      <c r="C4064" t="s">
        <v>3253</v>
      </c>
      <c r="D4064" t="str">
        <f>HYPERLINK("http://service.sap.com/sap/support/notes/1699757","1699757")</f>
        <v>1699757</v>
      </c>
      <c r="E4064">
        <v>1</v>
      </c>
      <c r="F4064" t="s">
        <v>3254</v>
      </c>
    </row>
    <row r="4065" spans="1:6" x14ac:dyDescent="0.25">
      <c r="A4065" t="s">
        <v>4209</v>
      </c>
      <c r="B4065" t="s">
        <v>3252</v>
      </c>
      <c r="C4065" t="s">
        <v>3253</v>
      </c>
      <c r="D4065" t="str">
        <f>HYPERLINK("http://service.sap.com/sap/support/notes/1740191","1740191")</f>
        <v>1740191</v>
      </c>
      <c r="E4065">
        <v>2</v>
      </c>
      <c r="F4065" t="s">
        <v>4543</v>
      </c>
    </row>
    <row r="4066" spans="1:6" x14ac:dyDescent="0.25">
      <c r="A4066" t="s">
        <v>4209</v>
      </c>
      <c r="B4066" t="s">
        <v>57</v>
      </c>
      <c r="C4066" t="s">
        <v>58</v>
      </c>
      <c r="D4066" t="str">
        <f>HYPERLINK("http://service.sap.com/sap/support/notes/1116407","1116407")</f>
        <v>1116407</v>
      </c>
      <c r="E4066">
        <v>129</v>
      </c>
      <c r="F4066" t="s">
        <v>664</v>
      </c>
    </row>
    <row r="4067" spans="1:6" x14ac:dyDescent="0.25">
      <c r="A4067" t="s">
        <v>4209</v>
      </c>
      <c r="B4067" t="s">
        <v>57</v>
      </c>
      <c r="C4067" t="s">
        <v>58</v>
      </c>
      <c r="D4067" t="str">
        <f>HYPERLINK("http://service.sap.com/sap/support/notes/1701518","1701518")</f>
        <v>1701518</v>
      </c>
      <c r="E4067">
        <v>4</v>
      </c>
      <c r="F4067" t="s">
        <v>4228</v>
      </c>
    </row>
    <row r="4068" spans="1:6" x14ac:dyDescent="0.25">
      <c r="A4068" t="s">
        <v>4209</v>
      </c>
      <c r="B4068" t="s">
        <v>57</v>
      </c>
      <c r="C4068" t="s">
        <v>58</v>
      </c>
      <c r="D4068" t="str">
        <f>HYPERLINK("http://service.sap.com/sap/support/notes/1732877","1732877")</f>
        <v>1732877</v>
      </c>
      <c r="E4068">
        <v>2</v>
      </c>
      <c r="F4068" t="s">
        <v>4544</v>
      </c>
    </row>
    <row r="4069" spans="1:6" x14ac:dyDescent="0.25">
      <c r="A4069" t="s">
        <v>4209</v>
      </c>
      <c r="B4069" t="s">
        <v>57</v>
      </c>
      <c r="C4069" t="s">
        <v>58</v>
      </c>
      <c r="D4069" t="str">
        <f>HYPERLINK("http://service.sap.com/sap/support/notes/1735949","1735949")</f>
        <v>1735949</v>
      </c>
      <c r="E4069">
        <v>4</v>
      </c>
      <c r="F4069" t="s">
        <v>4545</v>
      </c>
    </row>
    <row r="4070" spans="1:6" x14ac:dyDescent="0.25">
      <c r="A4070" t="s">
        <v>4209</v>
      </c>
      <c r="B4070" t="s">
        <v>57</v>
      </c>
      <c r="C4070" t="s">
        <v>58</v>
      </c>
      <c r="D4070" t="str">
        <f>HYPERLINK("http://service.sap.com/sap/support/notes/1742535","1742535")</f>
        <v>1742535</v>
      </c>
      <c r="E4070">
        <v>1</v>
      </c>
      <c r="F4070" t="s">
        <v>4546</v>
      </c>
    </row>
    <row r="4071" spans="1:6" x14ac:dyDescent="0.25">
      <c r="A4071" t="s">
        <v>4209</v>
      </c>
      <c r="B4071" t="s">
        <v>57</v>
      </c>
      <c r="C4071" t="s">
        <v>58</v>
      </c>
      <c r="D4071" t="str">
        <f>HYPERLINK("http://service.sap.com/sap/support/notes/1742926","1742926")</f>
        <v>1742926</v>
      </c>
      <c r="E4071">
        <v>1</v>
      </c>
      <c r="F4071" t="s">
        <v>4547</v>
      </c>
    </row>
    <row r="4072" spans="1:6" x14ac:dyDescent="0.25">
      <c r="A4072" t="s">
        <v>4209</v>
      </c>
      <c r="B4072" t="s">
        <v>57</v>
      </c>
      <c r="C4072" t="s">
        <v>58</v>
      </c>
      <c r="D4072" t="str">
        <f>HYPERLINK("http://service.sap.com/sap/support/notes/1744215","1744215")</f>
        <v>1744215</v>
      </c>
      <c r="E4072">
        <v>1</v>
      </c>
      <c r="F4072" t="s">
        <v>4548</v>
      </c>
    </row>
    <row r="4073" spans="1:6" x14ac:dyDescent="0.25">
      <c r="A4073" t="s">
        <v>4209</v>
      </c>
      <c r="B4073" t="s">
        <v>258</v>
      </c>
      <c r="C4073" t="s">
        <v>186</v>
      </c>
      <c r="D4073" t="str">
        <f>HYPERLINK("http://service.sap.com/sap/support/notes/1637047","1637047")</f>
        <v>1637047</v>
      </c>
      <c r="E4073">
        <v>4</v>
      </c>
      <c r="F4073" t="s">
        <v>4549</v>
      </c>
    </row>
    <row r="4074" spans="1:6" x14ac:dyDescent="0.25">
      <c r="A4074" t="s">
        <v>4209</v>
      </c>
      <c r="B4074" t="s">
        <v>258</v>
      </c>
      <c r="C4074" t="s">
        <v>186</v>
      </c>
      <c r="D4074" t="str">
        <f>HYPERLINK("http://service.sap.com/sap/support/notes/1742919","1742919")</f>
        <v>1742919</v>
      </c>
      <c r="E4074">
        <v>1</v>
      </c>
      <c r="F4074" t="s">
        <v>4550</v>
      </c>
    </row>
    <row r="4075" spans="1:6" x14ac:dyDescent="0.25">
      <c r="A4075" t="s">
        <v>4209</v>
      </c>
      <c r="B4075" t="s">
        <v>61</v>
      </c>
      <c r="C4075" t="s">
        <v>62</v>
      </c>
      <c r="D4075" t="str">
        <f>HYPERLINK("http://service.sap.com/sap/support/notes/1705123","1705123")</f>
        <v>1705123</v>
      </c>
      <c r="E4075">
        <v>2</v>
      </c>
      <c r="F4075" t="s">
        <v>4551</v>
      </c>
    </row>
    <row r="4076" spans="1:6" x14ac:dyDescent="0.25">
      <c r="A4076" t="s">
        <v>4209</v>
      </c>
      <c r="B4076" t="s">
        <v>61</v>
      </c>
      <c r="C4076" t="s">
        <v>62</v>
      </c>
      <c r="D4076" t="str">
        <f>HYPERLINK("http://service.sap.com/sap/support/notes/1727484","1727484")</f>
        <v>1727484</v>
      </c>
      <c r="E4076">
        <v>2</v>
      </c>
      <c r="F4076" t="s">
        <v>4552</v>
      </c>
    </row>
    <row r="4077" spans="1:6" x14ac:dyDescent="0.25">
      <c r="A4077" t="s">
        <v>4209</v>
      </c>
      <c r="B4077" t="s">
        <v>61</v>
      </c>
      <c r="C4077" t="s">
        <v>62</v>
      </c>
      <c r="D4077" t="str">
        <f>HYPERLINK("http://service.sap.com/sap/support/notes/1734456","1734456")</f>
        <v>1734456</v>
      </c>
      <c r="E4077">
        <v>1</v>
      </c>
      <c r="F4077" t="s">
        <v>4553</v>
      </c>
    </row>
    <row r="4078" spans="1:6" x14ac:dyDescent="0.25">
      <c r="A4078" t="s">
        <v>4209</v>
      </c>
      <c r="B4078" t="s">
        <v>63</v>
      </c>
      <c r="C4078" t="s">
        <v>64</v>
      </c>
      <c r="D4078" t="str">
        <f>HYPERLINK("http://service.sap.com/sap/support/notes/1429145","1429145")</f>
        <v>1429145</v>
      </c>
      <c r="E4078">
        <v>2</v>
      </c>
      <c r="F4078" t="s">
        <v>4554</v>
      </c>
    </row>
    <row r="4079" spans="1:6" x14ac:dyDescent="0.25">
      <c r="A4079" t="s">
        <v>4209</v>
      </c>
      <c r="B4079" t="s">
        <v>66</v>
      </c>
      <c r="C4079" t="s">
        <v>67</v>
      </c>
    </row>
    <row r="4080" spans="1:6" x14ac:dyDescent="0.25">
      <c r="A4080" t="s">
        <v>4209</v>
      </c>
      <c r="B4080" t="s">
        <v>68</v>
      </c>
      <c r="C4080" t="s">
        <v>69</v>
      </c>
      <c r="D4080" t="str">
        <f>HYPERLINK("http://service.sap.com/sap/support/notes/1684621","1684621")</f>
        <v>1684621</v>
      </c>
      <c r="E4080">
        <v>3</v>
      </c>
      <c r="F4080" t="s">
        <v>4555</v>
      </c>
    </row>
    <row r="4081" spans="1:6" x14ac:dyDescent="0.25">
      <c r="A4081" t="s">
        <v>4209</v>
      </c>
      <c r="B4081" t="s">
        <v>70</v>
      </c>
      <c r="C4081" t="s">
        <v>71</v>
      </c>
      <c r="D4081" t="str">
        <f>HYPERLINK("http://service.sap.com/sap/support/notes/1681322","1681322")</f>
        <v>1681322</v>
      </c>
      <c r="E4081">
        <v>9</v>
      </c>
      <c r="F4081" t="s">
        <v>4556</v>
      </c>
    </row>
    <row r="4082" spans="1:6" x14ac:dyDescent="0.25">
      <c r="A4082" t="s">
        <v>4209</v>
      </c>
      <c r="B4082" t="s">
        <v>70</v>
      </c>
      <c r="C4082" t="s">
        <v>71</v>
      </c>
      <c r="D4082" t="str">
        <f>HYPERLINK("http://service.sap.com/sap/support/notes/1720429","1720429")</f>
        <v>1720429</v>
      </c>
      <c r="E4082">
        <v>1</v>
      </c>
      <c r="F4082" t="s">
        <v>4557</v>
      </c>
    </row>
    <row r="4083" spans="1:6" x14ac:dyDescent="0.25">
      <c r="A4083" t="s">
        <v>4209</v>
      </c>
      <c r="B4083" t="s">
        <v>72</v>
      </c>
      <c r="C4083" t="s">
        <v>73</v>
      </c>
    </row>
    <row r="4084" spans="1:6" x14ac:dyDescent="0.25">
      <c r="A4084" t="s">
        <v>4209</v>
      </c>
      <c r="B4084" t="s">
        <v>364</v>
      </c>
      <c r="C4084" t="s">
        <v>365</v>
      </c>
      <c r="D4084" t="str">
        <f>HYPERLINK("http://service.sap.com/sap/support/notes/1675297","1675297")</f>
        <v>1675297</v>
      </c>
      <c r="E4084">
        <v>1</v>
      </c>
      <c r="F4084" t="s">
        <v>4558</v>
      </c>
    </row>
    <row r="4085" spans="1:6" x14ac:dyDescent="0.25">
      <c r="A4085" t="s">
        <v>4209</v>
      </c>
      <c r="B4085" t="s">
        <v>284</v>
      </c>
      <c r="C4085" t="s">
        <v>393</v>
      </c>
    </row>
    <row r="4086" spans="1:6" x14ac:dyDescent="0.25">
      <c r="A4086" t="s">
        <v>4209</v>
      </c>
      <c r="B4086" t="s">
        <v>301</v>
      </c>
      <c r="C4086" t="s">
        <v>302</v>
      </c>
      <c r="D4086" t="str">
        <f>HYPERLINK("http://service.sap.com/sap/support/notes/1716333","1716333")</f>
        <v>1716333</v>
      </c>
      <c r="E4086">
        <v>2</v>
      </c>
      <c r="F4086" t="s">
        <v>4559</v>
      </c>
    </row>
    <row r="4087" spans="1:6" x14ac:dyDescent="0.25">
      <c r="A4087" t="s">
        <v>4209</v>
      </c>
      <c r="B4087" t="s">
        <v>301</v>
      </c>
      <c r="C4087" t="s">
        <v>302</v>
      </c>
      <c r="D4087" t="str">
        <f>HYPERLINK("http://service.sap.com/sap/support/notes/1725684","1725684")</f>
        <v>1725684</v>
      </c>
      <c r="E4087">
        <v>4</v>
      </c>
      <c r="F4087" t="s">
        <v>4237</v>
      </c>
    </row>
    <row r="4088" spans="1:6" x14ac:dyDescent="0.25">
      <c r="A4088" t="s">
        <v>4209</v>
      </c>
      <c r="B4088" t="s">
        <v>301</v>
      </c>
      <c r="C4088" t="s">
        <v>302</v>
      </c>
      <c r="D4088" t="str">
        <f>HYPERLINK("http://service.sap.com/sap/support/notes/1726407","1726407")</f>
        <v>1726407</v>
      </c>
      <c r="E4088">
        <v>4</v>
      </c>
      <c r="F4088" t="s">
        <v>4560</v>
      </c>
    </row>
    <row r="4089" spans="1:6" x14ac:dyDescent="0.25">
      <c r="A4089" t="s">
        <v>4209</v>
      </c>
      <c r="B4089" t="s">
        <v>301</v>
      </c>
      <c r="C4089" t="s">
        <v>302</v>
      </c>
      <c r="D4089" t="str">
        <f>HYPERLINK("http://service.sap.com/sap/support/notes/1738642","1738642")</f>
        <v>1738642</v>
      </c>
      <c r="E4089">
        <v>2</v>
      </c>
      <c r="F4089" t="s">
        <v>4561</v>
      </c>
    </row>
    <row r="4090" spans="1:6" x14ac:dyDescent="0.25">
      <c r="A4090" t="s">
        <v>4209</v>
      </c>
      <c r="B4090" t="s">
        <v>301</v>
      </c>
      <c r="C4090" t="s">
        <v>302</v>
      </c>
      <c r="D4090" t="str">
        <f>HYPERLINK("http://service.sap.com/sap/support/notes/1742494","1742494")</f>
        <v>1742494</v>
      </c>
      <c r="E4090">
        <v>2</v>
      </c>
      <c r="F4090" t="s">
        <v>4562</v>
      </c>
    </row>
    <row r="4091" spans="1:6" x14ac:dyDescent="0.25">
      <c r="A4091" t="s">
        <v>4209</v>
      </c>
      <c r="B4091" t="s">
        <v>76</v>
      </c>
      <c r="C4091" t="s">
        <v>77</v>
      </c>
    </row>
    <row r="4092" spans="1:6" x14ac:dyDescent="0.25">
      <c r="A4092" t="s">
        <v>4209</v>
      </c>
      <c r="B4092" t="s">
        <v>78</v>
      </c>
      <c r="C4092" t="s">
        <v>79</v>
      </c>
      <c r="D4092" t="str">
        <f>HYPERLINK("http://service.sap.com/sap/support/notes/1731552","1731552")</f>
        <v>1731552</v>
      </c>
      <c r="E4092">
        <v>2</v>
      </c>
      <c r="F4092" t="s">
        <v>4563</v>
      </c>
    </row>
    <row r="4093" spans="1:6" x14ac:dyDescent="0.25">
      <c r="A4093" t="s">
        <v>4209</v>
      </c>
      <c r="B4093" t="s">
        <v>78</v>
      </c>
      <c r="C4093" t="s">
        <v>79</v>
      </c>
      <c r="D4093" t="str">
        <f>HYPERLINK("http://service.sap.com/sap/support/notes/1732728","1732728")</f>
        <v>1732728</v>
      </c>
      <c r="E4093">
        <v>2</v>
      </c>
      <c r="F4093" t="s">
        <v>4564</v>
      </c>
    </row>
    <row r="4094" spans="1:6" x14ac:dyDescent="0.25">
      <c r="A4094" t="s">
        <v>4209</v>
      </c>
      <c r="B4094" t="s">
        <v>80</v>
      </c>
      <c r="C4094" t="s">
        <v>32</v>
      </c>
      <c r="D4094" t="str">
        <f>HYPERLINK("http://service.sap.com/sap/support/notes/1477890","1477890")</f>
        <v>1477890</v>
      </c>
      <c r="E4094">
        <v>5</v>
      </c>
      <c r="F4094" t="s">
        <v>4565</v>
      </c>
    </row>
    <row r="4095" spans="1:6" x14ac:dyDescent="0.25">
      <c r="A4095" t="s">
        <v>4209</v>
      </c>
      <c r="B4095" t="s">
        <v>80</v>
      </c>
      <c r="C4095" t="s">
        <v>32</v>
      </c>
      <c r="D4095" t="str">
        <f>HYPERLINK("http://service.sap.com/sap/support/notes/1506362","1506362")</f>
        <v>1506362</v>
      </c>
      <c r="E4095">
        <v>4</v>
      </c>
      <c r="F4095" t="s">
        <v>4566</v>
      </c>
    </row>
    <row r="4096" spans="1:6" x14ac:dyDescent="0.25">
      <c r="A4096" t="s">
        <v>4209</v>
      </c>
      <c r="B4096" t="s">
        <v>80</v>
      </c>
      <c r="C4096" t="s">
        <v>32</v>
      </c>
      <c r="D4096" t="str">
        <f>HYPERLINK("http://service.sap.com/sap/support/notes/1683859","1683859")</f>
        <v>1683859</v>
      </c>
      <c r="E4096">
        <v>2</v>
      </c>
      <c r="F4096" t="s">
        <v>4567</v>
      </c>
    </row>
    <row r="4097" spans="1:6" x14ac:dyDescent="0.25">
      <c r="A4097" t="s">
        <v>4209</v>
      </c>
      <c r="B4097" t="s">
        <v>80</v>
      </c>
      <c r="C4097" t="s">
        <v>32</v>
      </c>
      <c r="D4097" t="str">
        <f>HYPERLINK("http://service.sap.com/sap/support/notes/1694748","1694748")</f>
        <v>1694748</v>
      </c>
      <c r="E4097">
        <v>2</v>
      </c>
      <c r="F4097" t="s">
        <v>4243</v>
      </c>
    </row>
    <row r="4098" spans="1:6" x14ac:dyDescent="0.25">
      <c r="A4098" t="s">
        <v>4209</v>
      </c>
      <c r="B4098" t="s">
        <v>80</v>
      </c>
      <c r="C4098" t="s">
        <v>32</v>
      </c>
      <c r="D4098" t="str">
        <f>HYPERLINK("http://service.sap.com/sap/support/notes/1699668","1699668")</f>
        <v>1699668</v>
      </c>
      <c r="E4098">
        <v>2</v>
      </c>
      <c r="F4098" t="s">
        <v>4568</v>
      </c>
    </row>
    <row r="4099" spans="1:6" x14ac:dyDescent="0.25">
      <c r="A4099" t="s">
        <v>4209</v>
      </c>
      <c r="B4099" t="s">
        <v>80</v>
      </c>
      <c r="C4099" t="s">
        <v>32</v>
      </c>
      <c r="D4099" t="str">
        <f>HYPERLINK("http://service.sap.com/sap/support/notes/1706567","1706567")</f>
        <v>1706567</v>
      </c>
      <c r="E4099">
        <v>3</v>
      </c>
      <c r="F4099" t="s">
        <v>4569</v>
      </c>
    </row>
    <row r="4100" spans="1:6" x14ac:dyDescent="0.25">
      <c r="A4100" t="s">
        <v>4209</v>
      </c>
      <c r="B4100" t="s">
        <v>80</v>
      </c>
      <c r="C4100" t="s">
        <v>32</v>
      </c>
      <c r="D4100" t="str">
        <f>HYPERLINK("http://service.sap.com/sap/support/notes/1723327","1723327")</f>
        <v>1723327</v>
      </c>
      <c r="E4100">
        <v>3</v>
      </c>
      <c r="F4100" t="s">
        <v>4570</v>
      </c>
    </row>
    <row r="4101" spans="1:6" x14ac:dyDescent="0.25">
      <c r="A4101" t="s">
        <v>4209</v>
      </c>
      <c r="B4101" t="s">
        <v>80</v>
      </c>
      <c r="C4101" t="s">
        <v>32</v>
      </c>
      <c r="D4101" t="str">
        <f>HYPERLINK("http://service.sap.com/sap/support/notes/1725178","1725178")</f>
        <v>1725178</v>
      </c>
      <c r="E4101">
        <v>6</v>
      </c>
      <c r="F4101" t="s">
        <v>4571</v>
      </c>
    </row>
    <row r="4102" spans="1:6" x14ac:dyDescent="0.25">
      <c r="A4102" t="s">
        <v>4209</v>
      </c>
      <c r="B4102" t="s">
        <v>80</v>
      </c>
      <c r="C4102" t="s">
        <v>32</v>
      </c>
      <c r="D4102" t="str">
        <f>HYPERLINK("http://service.sap.com/sap/support/notes/1729211","1729211")</f>
        <v>1729211</v>
      </c>
      <c r="E4102">
        <v>2</v>
      </c>
      <c r="F4102" t="s">
        <v>4572</v>
      </c>
    </row>
    <row r="4103" spans="1:6" x14ac:dyDescent="0.25">
      <c r="A4103" t="s">
        <v>4209</v>
      </c>
      <c r="B4103" t="s">
        <v>80</v>
      </c>
      <c r="C4103" t="s">
        <v>32</v>
      </c>
      <c r="D4103" t="str">
        <f>HYPERLINK("http://service.sap.com/sap/support/notes/1733669","1733669")</f>
        <v>1733669</v>
      </c>
      <c r="E4103">
        <v>1</v>
      </c>
      <c r="F4103" t="s">
        <v>4573</v>
      </c>
    </row>
    <row r="4104" spans="1:6" x14ac:dyDescent="0.25">
      <c r="A4104" t="s">
        <v>4209</v>
      </c>
      <c r="B4104" t="s">
        <v>80</v>
      </c>
      <c r="C4104" t="s">
        <v>32</v>
      </c>
      <c r="D4104" t="str">
        <f>HYPERLINK("http://service.sap.com/sap/support/notes/1740601","1740601")</f>
        <v>1740601</v>
      </c>
      <c r="E4104">
        <v>2</v>
      </c>
      <c r="F4104" t="s">
        <v>4574</v>
      </c>
    </row>
    <row r="4105" spans="1:6" x14ac:dyDescent="0.25">
      <c r="A4105" t="s">
        <v>4209</v>
      </c>
      <c r="B4105" t="s">
        <v>81</v>
      </c>
      <c r="C4105" t="s">
        <v>82</v>
      </c>
      <c r="D4105" t="str">
        <f>HYPERLINK("http://service.sap.com/sap/support/notes/1706997","1706997")</f>
        <v>1706997</v>
      </c>
      <c r="E4105">
        <v>2</v>
      </c>
      <c r="F4105" t="s">
        <v>4575</v>
      </c>
    </row>
    <row r="4106" spans="1:6" x14ac:dyDescent="0.25">
      <c r="A4106" t="s">
        <v>4209</v>
      </c>
      <c r="B4106" t="s">
        <v>81</v>
      </c>
      <c r="C4106" t="s">
        <v>82</v>
      </c>
      <c r="D4106" t="str">
        <f>HYPERLINK("http://service.sap.com/sap/support/notes/1726564","1726564")</f>
        <v>1726564</v>
      </c>
      <c r="E4106">
        <v>9</v>
      </c>
      <c r="F4106" t="s">
        <v>4576</v>
      </c>
    </row>
    <row r="4107" spans="1:6" x14ac:dyDescent="0.25">
      <c r="A4107" t="s">
        <v>4209</v>
      </c>
      <c r="B4107" t="s">
        <v>81</v>
      </c>
      <c r="C4107" t="s">
        <v>82</v>
      </c>
      <c r="D4107" t="str">
        <f>HYPERLINK("http://service.sap.com/sap/support/notes/1740231","1740231")</f>
        <v>1740231</v>
      </c>
      <c r="E4107">
        <v>3</v>
      </c>
      <c r="F4107" t="s">
        <v>4577</v>
      </c>
    </row>
    <row r="4108" spans="1:6" x14ac:dyDescent="0.25">
      <c r="A4108" t="s">
        <v>4209</v>
      </c>
      <c r="B4108" t="s">
        <v>83</v>
      </c>
      <c r="C4108" t="s">
        <v>84</v>
      </c>
      <c r="D4108" t="str">
        <f>HYPERLINK("http://service.sap.com/sap/support/notes/1718262","1718262")</f>
        <v>1718262</v>
      </c>
      <c r="E4108">
        <v>1</v>
      </c>
      <c r="F4108" t="s">
        <v>4578</v>
      </c>
    </row>
    <row r="4109" spans="1:6" x14ac:dyDescent="0.25">
      <c r="A4109" t="s">
        <v>4209</v>
      </c>
      <c r="B4109" t="s">
        <v>83</v>
      </c>
      <c r="C4109" t="s">
        <v>84</v>
      </c>
      <c r="D4109" t="str">
        <f>HYPERLINK("http://service.sap.com/sap/support/notes/1723808","1723808")</f>
        <v>1723808</v>
      </c>
      <c r="E4109">
        <v>3</v>
      </c>
      <c r="F4109" t="s">
        <v>4579</v>
      </c>
    </row>
    <row r="4110" spans="1:6" x14ac:dyDescent="0.25">
      <c r="A4110" t="s">
        <v>4209</v>
      </c>
      <c r="B4110" t="s">
        <v>83</v>
      </c>
      <c r="C4110" t="s">
        <v>84</v>
      </c>
      <c r="D4110" t="str">
        <f>HYPERLINK("http://service.sap.com/sap/support/notes/1725162","1725162")</f>
        <v>1725162</v>
      </c>
      <c r="E4110">
        <v>2</v>
      </c>
      <c r="F4110" t="s">
        <v>4580</v>
      </c>
    </row>
    <row r="4111" spans="1:6" x14ac:dyDescent="0.25">
      <c r="A4111" t="s">
        <v>4209</v>
      </c>
      <c r="B4111" t="s">
        <v>83</v>
      </c>
      <c r="C4111" t="s">
        <v>84</v>
      </c>
      <c r="D4111" t="str">
        <f>HYPERLINK("http://service.sap.com/sap/support/notes/1726668","1726668")</f>
        <v>1726668</v>
      </c>
      <c r="E4111">
        <v>2</v>
      </c>
      <c r="F4111" t="s">
        <v>4581</v>
      </c>
    </row>
    <row r="4112" spans="1:6" x14ac:dyDescent="0.25">
      <c r="A4112" t="s">
        <v>4209</v>
      </c>
      <c r="B4112" t="s">
        <v>83</v>
      </c>
      <c r="C4112" t="s">
        <v>84</v>
      </c>
      <c r="D4112" t="str">
        <f>HYPERLINK("http://service.sap.com/sap/support/notes/1727244","1727244")</f>
        <v>1727244</v>
      </c>
      <c r="E4112">
        <v>1</v>
      </c>
      <c r="F4112" t="s">
        <v>4582</v>
      </c>
    </row>
    <row r="4113" spans="1:6" x14ac:dyDescent="0.25">
      <c r="A4113" t="s">
        <v>4209</v>
      </c>
      <c r="B4113" t="s">
        <v>83</v>
      </c>
      <c r="C4113" t="s">
        <v>84</v>
      </c>
      <c r="D4113" t="str">
        <f>HYPERLINK("http://service.sap.com/sap/support/notes/1729633","1729633")</f>
        <v>1729633</v>
      </c>
      <c r="E4113">
        <v>1</v>
      </c>
      <c r="F4113" t="s">
        <v>4583</v>
      </c>
    </row>
    <row r="4114" spans="1:6" x14ac:dyDescent="0.25">
      <c r="A4114" t="s">
        <v>4209</v>
      </c>
      <c r="B4114" t="s">
        <v>83</v>
      </c>
      <c r="C4114" t="s">
        <v>84</v>
      </c>
      <c r="D4114" t="str">
        <f>HYPERLINK("http://service.sap.com/sap/support/notes/1730472","1730472")</f>
        <v>1730472</v>
      </c>
      <c r="E4114">
        <v>1</v>
      </c>
      <c r="F4114" t="s">
        <v>4584</v>
      </c>
    </row>
    <row r="4115" spans="1:6" x14ac:dyDescent="0.25">
      <c r="A4115" t="s">
        <v>4209</v>
      </c>
      <c r="B4115" t="s">
        <v>83</v>
      </c>
      <c r="C4115" t="s">
        <v>84</v>
      </c>
      <c r="D4115" t="str">
        <f>HYPERLINK("http://service.sap.com/sap/support/notes/1731123","1731123")</f>
        <v>1731123</v>
      </c>
      <c r="E4115">
        <v>1</v>
      </c>
      <c r="F4115" t="s">
        <v>4585</v>
      </c>
    </row>
    <row r="4116" spans="1:6" x14ac:dyDescent="0.25">
      <c r="A4116" t="s">
        <v>4209</v>
      </c>
      <c r="B4116" t="s">
        <v>83</v>
      </c>
      <c r="C4116" t="s">
        <v>84</v>
      </c>
      <c r="D4116" t="str">
        <f>HYPERLINK("http://service.sap.com/sap/support/notes/1731711","1731711")</f>
        <v>1731711</v>
      </c>
      <c r="E4116">
        <v>1</v>
      </c>
      <c r="F4116" t="s">
        <v>4586</v>
      </c>
    </row>
    <row r="4117" spans="1:6" x14ac:dyDescent="0.25">
      <c r="A4117" t="s">
        <v>4209</v>
      </c>
      <c r="B4117" t="s">
        <v>83</v>
      </c>
      <c r="C4117" t="s">
        <v>84</v>
      </c>
      <c r="D4117" t="str">
        <f>HYPERLINK("http://service.sap.com/sap/support/notes/1732436","1732436")</f>
        <v>1732436</v>
      </c>
      <c r="E4117">
        <v>1</v>
      </c>
      <c r="F4117" t="s">
        <v>4587</v>
      </c>
    </row>
    <row r="4118" spans="1:6" x14ac:dyDescent="0.25">
      <c r="A4118" t="s">
        <v>4209</v>
      </c>
      <c r="B4118" t="s">
        <v>83</v>
      </c>
      <c r="C4118" t="s">
        <v>84</v>
      </c>
      <c r="D4118" t="str">
        <f>HYPERLINK("http://service.sap.com/sap/support/notes/1732943","1732943")</f>
        <v>1732943</v>
      </c>
      <c r="E4118">
        <v>1</v>
      </c>
      <c r="F4118" t="s">
        <v>4588</v>
      </c>
    </row>
    <row r="4119" spans="1:6" x14ac:dyDescent="0.25">
      <c r="A4119" t="s">
        <v>4209</v>
      </c>
      <c r="B4119" t="s">
        <v>83</v>
      </c>
      <c r="C4119" t="s">
        <v>84</v>
      </c>
      <c r="D4119" t="str">
        <f>HYPERLINK("http://service.sap.com/sap/support/notes/1733083","1733083")</f>
        <v>1733083</v>
      </c>
      <c r="E4119">
        <v>2</v>
      </c>
      <c r="F4119" t="s">
        <v>4589</v>
      </c>
    </row>
    <row r="4120" spans="1:6" x14ac:dyDescent="0.25">
      <c r="A4120" t="s">
        <v>4209</v>
      </c>
      <c r="B4120" t="s">
        <v>83</v>
      </c>
      <c r="C4120" t="s">
        <v>84</v>
      </c>
      <c r="D4120" t="str">
        <f>HYPERLINK("http://service.sap.com/sap/support/notes/1733091","1733091")</f>
        <v>1733091</v>
      </c>
      <c r="E4120">
        <v>1</v>
      </c>
      <c r="F4120" t="s">
        <v>4590</v>
      </c>
    </row>
    <row r="4121" spans="1:6" x14ac:dyDescent="0.25">
      <c r="A4121" t="s">
        <v>4209</v>
      </c>
      <c r="B4121" t="s">
        <v>83</v>
      </c>
      <c r="C4121" t="s">
        <v>84</v>
      </c>
      <c r="D4121" t="str">
        <f>HYPERLINK("http://service.sap.com/sap/support/notes/1733511","1733511")</f>
        <v>1733511</v>
      </c>
      <c r="E4121">
        <v>1</v>
      </c>
      <c r="F4121" t="s">
        <v>4591</v>
      </c>
    </row>
    <row r="4122" spans="1:6" x14ac:dyDescent="0.25">
      <c r="A4122" t="s">
        <v>4209</v>
      </c>
      <c r="B4122" t="s">
        <v>83</v>
      </c>
      <c r="C4122" t="s">
        <v>84</v>
      </c>
      <c r="D4122" t="str">
        <f>HYPERLINK("http://service.sap.com/sap/support/notes/1733847","1733847")</f>
        <v>1733847</v>
      </c>
      <c r="E4122">
        <v>1</v>
      </c>
      <c r="F4122" t="s">
        <v>4592</v>
      </c>
    </row>
    <row r="4123" spans="1:6" x14ac:dyDescent="0.25">
      <c r="A4123" t="s">
        <v>4209</v>
      </c>
      <c r="B4123" t="s">
        <v>83</v>
      </c>
      <c r="C4123" t="s">
        <v>84</v>
      </c>
      <c r="D4123" t="str">
        <f>HYPERLINK("http://service.sap.com/sap/support/notes/1733851","1733851")</f>
        <v>1733851</v>
      </c>
      <c r="E4123">
        <v>1</v>
      </c>
      <c r="F4123" t="s">
        <v>4593</v>
      </c>
    </row>
    <row r="4124" spans="1:6" x14ac:dyDescent="0.25">
      <c r="A4124" t="s">
        <v>4209</v>
      </c>
      <c r="B4124" t="s">
        <v>83</v>
      </c>
      <c r="C4124" t="s">
        <v>84</v>
      </c>
      <c r="D4124" t="str">
        <f>HYPERLINK("http://service.sap.com/sap/support/notes/1733980","1733980")</f>
        <v>1733980</v>
      </c>
      <c r="E4124">
        <v>1</v>
      </c>
      <c r="F4124" t="s">
        <v>4594</v>
      </c>
    </row>
    <row r="4125" spans="1:6" x14ac:dyDescent="0.25">
      <c r="A4125" t="s">
        <v>4209</v>
      </c>
      <c r="B4125" t="s">
        <v>83</v>
      </c>
      <c r="C4125" t="s">
        <v>84</v>
      </c>
      <c r="D4125" t="str">
        <f>HYPERLINK("http://service.sap.com/sap/support/notes/1734044","1734044")</f>
        <v>1734044</v>
      </c>
      <c r="E4125">
        <v>2</v>
      </c>
      <c r="F4125" t="s">
        <v>4595</v>
      </c>
    </row>
    <row r="4126" spans="1:6" x14ac:dyDescent="0.25">
      <c r="A4126" t="s">
        <v>4209</v>
      </c>
      <c r="B4126" t="s">
        <v>83</v>
      </c>
      <c r="C4126" t="s">
        <v>84</v>
      </c>
      <c r="D4126" t="str">
        <f>HYPERLINK("http://service.sap.com/sap/support/notes/1734111","1734111")</f>
        <v>1734111</v>
      </c>
      <c r="E4126">
        <v>1</v>
      </c>
      <c r="F4126" t="s">
        <v>4596</v>
      </c>
    </row>
    <row r="4127" spans="1:6" x14ac:dyDescent="0.25">
      <c r="A4127" t="s">
        <v>4209</v>
      </c>
      <c r="B4127" t="s">
        <v>83</v>
      </c>
      <c r="C4127" t="s">
        <v>84</v>
      </c>
      <c r="D4127" t="str">
        <f>HYPERLINK("http://service.sap.com/sap/support/notes/1734556","1734556")</f>
        <v>1734556</v>
      </c>
      <c r="E4127">
        <v>1</v>
      </c>
      <c r="F4127" t="s">
        <v>4597</v>
      </c>
    </row>
    <row r="4128" spans="1:6" x14ac:dyDescent="0.25">
      <c r="A4128" t="s">
        <v>4209</v>
      </c>
      <c r="B4128" t="s">
        <v>83</v>
      </c>
      <c r="C4128" t="s">
        <v>84</v>
      </c>
      <c r="D4128" t="str">
        <f>HYPERLINK("http://service.sap.com/sap/support/notes/1735696","1735696")</f>
        <v>1735696</v>
      </c>
      <c r="E4128">
        <v>1</v>
      </c>
      <c r="F4128" t="s">
        <v>4598</v>
      </c>
    </row>
    <row r="4129" spans="1:6" x14ac:dyDescent="0.25">
      <c r="A4129" t="s">
        <v>4209</v>
      </c>
      <c r="B4129" t="s">
        <v>83</v>
      </c>
      <c r="C4129" t="s">
        <v>84</v>
      </c>
      <c r="D4129" t="str">
        <f>HYPERLINK("http://service.sap.com/sap/support/notes/1736043","1736043")</f>
        <v>1736043</v>
      </c>
      <c r="E4129">
        <v>1</v>
      </c>
      <c r="F4129" t="s">
        <v>4599</v>
      </c>
    </row>
    <row r="4130" spans="1:6" x14ac:dyDescent="0.25">
      <c r="A4130" t="s">
        <v>4209</v>
      </c>
      <c r="B4130" t="s">
        <v>83</v>
      </c>
      <c r="C4130" t="s">
        <v>84</v>
      </c>
      <c r="D4130" t="str">
        <f>HYPERLINK("http://service.sap.com/sap/support/notes/1736296","1736296")</f>
        <v>1736296</v>
      </c>
      <c r="E4130">
        <v>1</v>
      </c>
      <c r="F4130" t="s">
        <v>4600</v>
      </c>
    </row>
    <row r="4131" spans="1:6" x14ac:dyDescent="0.25">
      <c r="A4131" t="s">
        <v>4209</v>
      </c>
      <c r="B4131" t="s">
        <v>83</v>
      </c>
      <c r="C4131" t="s">
        <v>84</v>
      </c>
      <c r="D4131" t="str">
        <f>HYPERLINK("http://service.sap.com/sap/support/notes/1736456","1736456")</f>
        <v>1736456</v>
      </c>
      <c r="E4131">
        <v>1</v>
      </c>
      <c r="F4131" t="s">
        <v>4601</v>
      </c>
    </row>
    <row r="4132" spans="1:6" x14ac:dyDescent="0.25">
      <c r="A4132" t="s">
        <v>4209</v>
      </c>
      <c r="B4132" t="s">
        <v>83</v>
      </c>
      <c r="C4132" t="s">
        <v>84</v>
      </c>
      <c r="D4132" t="str">
        <f>HYPERLINK("http://service.sap.com/sap/support/notes/1736463","1736463")</f>
        <v>1736463</v>
      </c>
      <c r="E4132">
        <v>1</v>
      </c>
      <c r="F4132" t="s">
        <v>4602</v>
      </c>
    </row>
    <row r="4133" spans="1:6" x14ac:dyDescent="0.25">
      <c r="A4133" t="s">
        <v>4209</v>
      </c>
      <c r="B4133" t="s">
        <v>83</v>
      </c>
      <c r="C4133" t="s">
        <v>84</v>
      </c>
      <c r="D4133" t="str">
        <f>HYPERLINK("http://service.sap.com/sap/support/notes/1736937","1736937")</f>
        <v>1736937</v>
      </c>
      <c r="E4133">
        <v>1</v>
      </c>
      <c r="F4133" t="s">
        <v>4603</v>
      </c>
    </row>
    <row r="4134" spans="1:6" x14ac:dyDescent="0.25">
      <c r="A4134" t="s">
        <v>4209</v>
      </c>
      <c r="B4134" t="s">
        <v>83</v>
      </c>
      <c r="C4134" t="s">
        <v>84</v>
      </c>
      <c r="D4134" t="str">
        <f>HYPERLINK("http://service.sap.com/sap/support/notes/1737976","1737976")</f>
        <v>1737976</v>
      </c>
      <c r="E4134">
        <v>1</v>
      </c>
      <c r="F4134" t="s">
        <v>4604</v>
      </c>
    </row>
    <row r="4135" spans="1:6" x14ac:dyDescent="0.25">
      <c r="A4135" t="s">
        <v>4209</v>
      </c>
      <c r="B4135" t="s">
        <v>83</v>
      </c>
      <c r="C4135" t="s">
        <v>84</v>
      </c>
      <c r="D4135" t="str">
        <f>HYPERLINK("http://service.sap.com/sap/support/notes/1738030","1738030")</f>
        <v>1738030</v>
      </c>
      <c r="E4135">
        <v>1</v>
      </c>
      <c r="F4135" t="s">
        <v>4605</v>
      </c>
    </row>
    <row r="4136" spans="1:6" x14ac:dyDescent="0.25">
      <c r="A4136" t="s">
        <v>4209</v>
      </c>
      <c r="B4136" t="s">
        <v>83</v>
      </c>
      <c r="C4136" t="s">
        <v>84</v>
      </c>
      <c r="D4136" t="str">
        <f>HYPERLINK("http://service.sap.com/sap/support/notes/1739953","1739953")</f>
        <v>1739953</v>
      </c>
      <c r="E4136">
        <v>1</v>
      </c>
      <c r="F4136" t="s">
        <v>4606</v>
      </c>
    </row>
    <row r="4137" spans="1:6" x14ac:dyDescent="0.25">
      <c r="A4137" t="s">
        <v>4209</v>
      </c>
      <c r="B4137" t="s">
        <v>83</v>
      </c>
      <c r="C4137" t="s">
        <v>84</v>
      </c>
      <c r="D4137" t="str">
        <f>HYPERLINK("http://service.sap.com/sap/support/notes/1740225","1740225")</f>
        <v>1740225</v>
      </c>
      <c r="E4137">
        <v>1</v>
      </c>
      <c r="F4137" t="s">
        <v>4607</v>
      </c>
    </row>
    <row r="4138" spans="1:6" x14ac:dyDescent="0.25">
      <c r="A4138" t="s">
        <v>4209</v>
      </c>
      <c r="B4138" t="s">
        <v>83</v>
      </c>
      <c r="C4138" t="s">
        <v>84</v>
      </c>
      <c r="D4138" t="str">
        <f>HYPERLINK("http://service.sap.com/sap/support/notes/1740537","1740537")</f>
        <v>1740537</v>
      </c>
      <c r="E4138">
        <v>2</v>
      </c>
      <c r="F4138" t="s">
        <v>4608</v>
      </c>
    </row>
    <row r="4139" spans="1:6" x14ac:dyDescent="0.25">
      <c r="A4139" t="s">
        <v>4209</v>
      </c>
      <c r="B4139" t="s">
        <v>83</v>
      </c>
      <c r="C4139" t="s">
        <v>84</v>
      </c>
      <c r="D4139" t="str">
        <f>HYPERLINK("http://service.sap.com/sap/support/notes/1741262","1741262")</f>
        <v>1741262</v>
      </c>
      <c r="E4139">
        <v>1</v>
      </c>
      <c r="F4139" t="s">
        <v>4609</v>
      </c>
    </row>
    <row r="4140" spans="1:6" x14ac:dyDescent="0.25">
      <c r="A4140" t="s">
        <v>4209</v>
      </c>
      <c r="B4140" t="s">
        <v>83</v>
      </c>
      <c r="C4140" t="s">
        <v>84</v>
      </c>
      <c r="D4140" t="str">
        <f>HYPERLINK("http://service.sap.com/sap/support/notes/1743781","1743781")</f>
        <v>1743781</v>
      </c>
      <c r="E4140">
        <v>1</v>
      </c>
      <c r="F4140" t="s">
        <v>4610</v>
      </c>
    </row>
    <row r="4141" spans="1:6" x14ac:dyDescent="0.25">
      <c r="A4141" t="s">
        <v>4209</v>
      </c>
      <c r="B4141" t="s">
        <v>83</v>
      </c>
      <c r="C4141" t="s">
        <v>84</v>
      </c>
      <c r="D4141" t="str">
        <f>HYPERLINK("http://service.sap.com/sap/support/notes/1743799","1743799")</f>
        <v>1743799</v>
      </c>
      <c r="E4141">
        <v>1</v>
      </c>
      <c r="F4141" t="s">
        <v>4611</v>
      </c>
    </row>
    <row r="4142" spans="1:6" x14ac:dyDescent="0.25">
      <c r="A4142" t="s">
        <v>4209</v>
      </c>
      <c r="B4142" t="s">
        <v>86</v>
      </c>
      <c r="C4142" t="s">
        <v>87</v>
      </c>
      <c r="D4142" t="str">
        <f>HYPERLINK("http://service.sap.com/sap/support/notes/1735000","1735000")</f>
        <v>1735000</v>
      </c>
      <c r="E4142">
        <v>2</v>
      </c>
      <c r="F4142" t="s">
        <v>4612</v>
      </c>
    </row>
    <row r="4143" spans="1:6" x14ac:dyDescent="0.25">
      <c r="A4143" t="s">
        <v>4209</v>
      </c>
      <c r="B4143" t="s">
        <v>88</v>
      </c>
      <c r="C4143" t="s">
        <v>82</v>
      </c>
      <c r="D4143" t="str">
        <f>HYPERLINK("http://service.sap.com/sap/support/notes/1726664","1726664")</f>
        <v>1726664</v>
      </c>
      <c r="E4143">
        <v>1</v>
      </c>
      <c r="F4143" t="s">
        <v>4613</v>
      </c>
    </row>
    <row r="4144" spans="1:6" x14ac:dyDescent="0.25">
      <c r="A4144" t="s">
        <v>4209</v>
      </c>
      <c r="B4144" t="s">
        <v>88</v>
      </c>
      <c r="C4144" t="s">
        <v>82</v>
      </c>
      <c r="D4144" t="str">
        <f>HYPERLINK("http://service.sap.com/sap/support/notes/1732246","1732246")</f>
        <v>1732246</v>
      </c>
      <c r="E4144">
        <v>1</v>
      </c>
      <c r="F4144" t="s">
        <v>4614</v>
      </c>
    </row>
    <row r="4145" spans="1:6" x14ac:dyDescent="0.25">
      <c r="A4145" t="s">
        <v>4209</v>
      </c>
      <c r="B4145" t="s">
        <v>89</v>
      </c>
      <c r="C4145" t="s">
        <v>34</v>
      </c>
      <c r="D4145" t="str">
        <f>HYPERLINK("http://service.sap.com/sap/support/notes/1720185","1720185")</f>
        <v>1720185</v>
      </c>
      <c r="E4145">
        <v>3</v>
      </c>
      <c r="F4145" t="s">
        <v>4615</v>
      </c>
    </row>
    <row r="4146" spans="1:6" x14ac:dyDescent="0.25">
      <c r="A4146" t="s">
        <v>4209</v>
      </c>
      <c r="B4146" t="s">
        <v>89</v>
      </c>
      <c r="C4146" t="s">
        <v>34</v>
      </c>
      <c r="D4146" t="str">
        <f>HYPERLINK("http://service.sap.com/sap/support/notes/1724540","1724540")</f>
        <v>1724540</v>
      </c>
      <c r="E4146">
        <v>2</v>
      </c>
      <c r="F4146" t="s">
        <v>4616</v>
      </c>
    </row>
    <row r="4147" spans="1:6" x14ac:dyDescent="0.25">
      <c r="A4147" t="s">
        <v>4209</v>
      </c>
      <c r="B4147" t="s">
        <v>89</v>
      </c>
      <c r="C4147" t="s">
        <v>34</v>
      </c>
      <c r="D4147" t="str">
        <f>HYPERLINK("http://service.sap.com/sap/support/notes/1725569","1725569")</f>
        <v>1725569</v>
      </c>
      <c r="E4147">
        <v>1</v>
      </c>
      <c r="F4147" t="s">
        <v>4617</v>
      </c>
    </row>
    <row r="4148" spans="1:6" x14ac:dyDescent="0.25">
      <c r="A4148" t="s">
        <v>4209</v>
      </c>
      <c r="B4148" t="s">
        <v>89</v>
      </c>
      <c r="C4148" t="s">
        <v>34</v>
      </c>
      <c r="D4148" t="str">
        <f>HYPERLINK("http://service.sap.com/sap/support/notes/1729637","1729637")</f>
        <v>1729637</v>
      </c>
      <c r="E4148">
        <v>3</v>
      </c>
      <c r="F4148" t="s">
        <v>4618</v>
      </c>
    </row>
    <row r="4149" spans="1:6" x14ac:dyDescent="0.25">
      <c r="A4149" t="s">
        <v>4209</v>
      </c>
      <c r="B4149" t="s">
        <v>89</v>
      </c>
      <c r="C4149" t="s">
        <v>34</v>
      </c>
      <c r="D4149" t="str">
        <f>HYPERLINK("http://service.sap.com/sap/support/notes/1732358","1732358")</f>
        <v>1732358</v>
      </c>
      <c r="E4149">
        <v>1</v>
      </c>
      <c r="F4149" t="s">
        <v>4619</v>
      </c>
    </row>
    <row r="4150" spans="1:6" x14ac:dyDescent="0.25">
      <c r="A4150" t="s">
        <v>4209</v>
      </c>
      <c r="B4150" t="s">
        <v>89</v>
      </c>
      <c r="C4150" t="s">
        <v>34</v>
      </c>
      <c r="D4150" t="str">
        <f>HYPERLINK("http://service.sap.com/sap/support/notes/1732959","1732959")</f>
        <v>1732959</v>
      </c>
      <c r="E4150">
        <v>1</v>
      </c>
      <c r="F4150" t="s">
        <v>4620</v>
      </c>
    </row>
    <row r="4151" spans="1:6" x14ac:dyDescent="0.25">
      <c r="A4151" t="s">
        <v>4209</v>
      </c>
      <c r="B4151" t="s">
        <v>89</v>
      </c>
      <c r="C4151" t="s">
        <v>34</v>
      </c>
      <c r="D4151" t="str">
        <f>HYPERLINK("http://service.sap.com/sap/support/notes/1733060","1733060")</f>
        <v>1733060</v>
      </c>
      <c r="E4151">
        <v>2</v>
      </c>
      <c r="F4151" t="s">
        <v>4621</v>
      </c>
    </row>
    <row r="4152" spans="1:6" x14ac:dyDescent="0.25">
      <c r="A4152" t="s">
        <v>4209</v>
      </c>
      <c r="B4152" t="s">
        <v>89</v>
      </c>
      <c r="C4152" t="s">
        <v>34</v>
      </c>
      <c r="D4152" t="str">
        <f>HYPERLINK("http://service.sap.com/sap/support/notes/1733355","1733355")</f>
        <v>1733355</v>
      </c>
      <c r="E4152">
        <v>2</v>
      </c>
      <c r="F4152" t="s">
        <v>4622</v>
      </c>
    </row>
    <row r="4153" spans="1:6" x14ac:dyDescent="0.25">
      <c r="A4153" t="s">
        <v>4209</v>
      </c>
      <c r="B4153" t="s">
        <v>89</v>
      </c>
      <c r="C4153" t="s">
        <v>34</v>
      </c>
      <c r="D4153" t="str">
        <f>HYPERLINK("http://service.sap.com/sap/support/notes/1733525","1733525")</f>
        <v>1733525</v>
      </c>
      <c r="E4153">
        <v>1</v>
      </c>
      <c r="F4153" t="s">
        <v>4623</v>
      </c>
    </row>
    <row r="4154" spans="1:6" x14ac:dyDescent="0.25">
      <c r="A4154" t="s">
        <v>4209</v>
      </c>
      <c r="B4154" t="s">
        <v>89</v>
      </c>
      <c r="C4154" t="s">
        <v>34</v>
      </c>
      <c r="D4154" t="str">
        <f>HYPERLINK("http://service.sap.com/sap/support/notes/1735187","1735187")</f>
        <v>1735187</v>
      </c>
      <c r="E4154">
        <v>1</v>
      </c>
      <c r="F4154" t="s">
        <v>4624</v>
      </c>
    </row>
    <row r="4155" spans="1:6" x14ac:dyDescent="0.25">
      <c r="A4155" t="s">
        <v>4209</v>
      </c>
      <c r="B4155" t="s">
        <v>89</v>
      </c>
      <c r="C4155" t="s">
        <v>34</v>
      </c>
      <c r="D4155" t="str">
        <f>HYPERLINK("http://service.sap.com/sap/support/notes/1736382","1736382")</f>
        <v>1736382</v>
      </c>
      <c r="E4155">
        <v>3</v>
      </c>
      <c r="F4155" t="s">
        <v>4625</v>
      </c>
    </row>
    <row r="4156" spans="1:6" x14ac:dyDescent="0.25">
      <c r="A4156" t="s">
        <v>4209</v>
      </c>
      <c r="B4156" t="s">
        <v>89</v>
      </c>
      <c r="C4156" t="s">
        <v>34</v>
      </c>
      <c r="D4156" t="str">
        <f>HYPERLINK("http://service.sap.com/sap/support/notes/1736409","1736409")</f>
        <v>1736409</v>
      </c>
      <c r="E4156">
        <v>2</v>
      </c>
      <c r="F4156" t="s">
        <v>4626</v>
      </c>
    </row>
    <row r="4157" spans="1:6" x14ac:dyDescent="0.25">
      <c r="A4157" t="s">
        <v>4209</v>
      </c>
      <c r="B4157" t="s">
        <v>89</v>
      </c>
      <c r="C4157" t="s">
        <v>34</v>
      </c>
      <c r="D4157" t="str">
        <f>HYPERLINK("http://service.sap.com/sap/support/notes/1736584","1736584")</f>
        <v>1736584</v>
      </c>
      <c r="E4157">
        <v>3</v>
      </c>
      <c r="F4157" t="s">
        <v>4627</v>
      </c>
    </row>
    <row r="4158" spans="1:6" x14ac:dyDescent="0.25">
      <c r="A4158" t="s">
        <v>4209</v>
      </c>
      <c r="B4158" t="s">
        <v>89</v>
      </c>
      <c r="C4158" t="s">
        <v>34</v>
      </c>
      <c r="D4158" t="str">
        <f>HYPERLINK("http://service.sap.com/sap/support/notes/1739675","1739675")</f>
        <v>1739675</v>
      </c>
      <c r="E4158">
        <v>4</v>
      </c>
      <c r="F4158" t="s">
        <v>4628</v>
      </c>
    </row>
    <row r="4159" spans="1:6" x14ac:dyDescent="0.25">
      <c r="A4159" t="s">
        <v>4209</v>
      </c>
      <c r="B4159" t="s">
        <v>89</v>
      </c>
      <c r="C4159" t="s">
        <v>34</v>
      </c>
      <c r="D4159" t="str">
        <f>HYPERLINK("http://service.sap.com/sap/support/notes/1742940","1742940")</f>
        <v>1742940</v>
      </c>
      <c r="E4159">
        <v>1</v>
      </c>
      <c r="F4159" t="s">
        <v>4629</v>
      </c>
    </row>
    <row r="4160" spans="1:6" x14ac:dyDescent="0.25">
      <c r="A4160" t="s">
        <v>4209</v>
      </c>
      <c r="B4160" t="s">
        <v>91</v>
      </c>
      <c r="C4160" t="s">
        <v>92</v>
      </c>
      <c r="D4160" t="str">
        <f>HYPERLINK("http://service.sap.com/sap/support/notes/1679986","1679986")</f>
        <v>1679986</v>
      </c>
      <c r="E4160">
        <v>4</v>
      </c>
      <c r="F4160" t="s">
        <v>4630</v>
      </c>
    </row>
    <row r="4161" spans="1:6" x14ac:dyDescent="0.25">
      <c r="A4161" t="s">
        <v>4209</v>
      </c>
      <c r="B4161" t="s">
        <v>91</v>
      </c>
      <c r="C4161" t="s">
        <v>92</v>
      </c>
      <c r="D4161" t="str">
        <f>HYPERLINK("http://service.sap.com/sap/support/notes/1700689","1700689")</f>
        <v>1700689</v>
      </c>
      <c r="E4161">
        <v>4</v>
      </c>
      <c r="F4161" t="s">
        <v>4631</v>
      </c>
    </row>
    <row r="4162" spans="1:6" x14ac:dyDescent="0.25">
      <c r="A4162" t="s">
        <v>4209</v>
      </c>
      <c r="B4162" t="s">
        <v>91</v>
      </c>
      <c r="C4162" t="s">
        <v>92</v>
      </c>
      <c r="D4162" t="str">
        <f>HYPERLINK("http://service.sap.com/sap/support/notes/1716498","1716498")</f>
        <v>1716498</v>
      </c>
      <c r="E4162">
        <v>3</v>
      </c>
      <c r="F4162" t="s">
        <v>4632</v>
      </c>
    </row>
    <row r="4163" spans="1:6" x14ac:dyDescent="0.25">
      <c r="A4163" t="s">
        <v>4209</v>
      </c>
      <c r="B4163" t="s">
        <v>91</v>
      </c>
      <c r="C4163" t="s">
        <v>92</v>
      </c>
      <c r="D4163" t="str">
        <f>HYPERLINK("http://service.sap.com/sap/support/notes/1726939","1726939")</f>
        <v>1726939</v>
      </c>
      <c r="E4163">
        <v>2</v>
      </c>
      <c r="F4163" t="s">
        <v>4633</v>
      </c>
    </row>
    <row r="4164" spans="1:6" x14ac:dyDescent="0.25">
      <c r="A4164" t="s">
        <v>4209</v>
      </c>
      <c r="B4164" t="s">
        <v>91</v>
      </c>
      <c r="C4164" t="s">
        <v>92</v>
      </c>
      <c r="D4164" t="str">
        <f>HYPERLINK("http://service.sap.com/sap/support/notes/1728187","1728187")</f>
        <v>1728187</v>
      </c>
      <c r="E4164">
        <v>2</v>
      </c>
      <c r="F4164" t="s">
        <v>4634</v>
      </c>
    </row>
    <row r="4165" spans="1:6" x14ac:dyDescent="0.25">
      <c r="A4165" t="s">
        <v>4209</v>
      </c>
      <c r="B4165" t="s">
        <v>91</v>
      </c>
      <c r="C4165" t="s">
        <v>92</v>
      </c>
      <c r="D4165" t="str">
        <f>HYPERLINK("http://service.sap.com/sap/support/notes/1730967","1730967")</f>
        <v>1730967</v>
      </c>
      <c r="E4165">
        <v>2</v>
      </c>
      <c r="F4165" t="s">
        <v>4635</v>
      </c>
    </row>
    <row r="4166" spans="1:6" x14ac:dyDescent="0.25">
      <c r="A4166" t="s">
        <v>4209</v>
      </c>
      <c r="B4166" t="s">
        <v>91</v>
      </c>
      <c r="C4166" t="s">
        <v>92</v>
      </c>
      <c r="D4166" t="str">
        <f>HYPERLINK("http://service.sap.com/sap/support/notes/1731618","1731618")</f>
        <v>1731618</v>
      </c>
      <c r="E4166">
        <v>1</v>
      </c>
      <c r="F4166" t="s">
        <v>4300</v>
      </c>
    </row>
    <row r="4167" spans="1:6" x14ac:dyDescent="0.25">
      <c r="A4167" t="s">
        <v>4209</v>
      </c>
      <c r="B4167" t="s">
        <v>91</v>
      </c>
      <c r="C4167" t="s">
        <v>92</v>
      </c>
      <c r="D4167" t="str">
        <f>HYPERLINK("http://service.sap.com/sap/support/notes/1733170","1733170")</f>
        <v>1733170</v>
      </c>
      <c r="E4167">
        <v>2</v>
      </c>
      <c r="F4167" t="s">
        <v>4636</v>
      </c>
    </row>
    <row r="4168" spans="1:6" x14ac:dyDescent="0.25">
      <c r="A4168" t="s">
        <v>4209</v>
      </c>
      <c r="B4168" t="s">
        <v>91</v>
      </c>
      <c r="C4168" t="s">
        <v>92</v>
      </c>
      <c r="D4168" t="str">
        <f>HYPERLINK("http://service.sap.com/sap/support/notes/1733202","1733202")</f>
        <v>1733202</v>
      </c>
      <c r="E4168">
        <v>1</v>
      </c>
      <c r="F4168" t="s">
        <v>4637</v>
      </c>
    </row>
    <row r="4169" spans="1:6" x14ac:dyDescent="0.25">
      <c r="A4169" t="s">
        <v>4209</v>
      </c>
      <c r="B4169" t="s">
        <v>91</v>
      </c>
      <c r="C4169" t="s">
        <v>92</v>
      </c>
      <c r="D4169" t="str">
        <f>HYPERLINK("http://service.sap.com/sap/support/notes/1733845","1733845")</f>
        <v>1733845</v>
      </c>
      <c r="E4169">
        <v>2</v>
      </c>
      <c r="F4169" t="s">
        <v>4638</v>
      </c>
    </row>
    <row r="4170" spans="1:6" x14ac:dyDescent="0.25">
      <c r="A4170" t="s">
        <v>4209</v>
      </c>
      <c r="B4170" t="s">
        <v>91</v>
      </c>
      <c r="C4170" t="s">
        <v>92</v>
      </c>
      <c r="D4170" t="str">
        <f>HYPERLINK("http://service.sap.com/sap/support/notes/1735420","1735420")</f>
        <v>1735420</v>
      </c>
      <c r="E4170">
        <v>3</v>
      </c>
      <c r="F4170" t="s">
        <v>4639</v>
      </c>
    </row>
    <row r="4171" spans="1:6" x14ac:dyDescent="0.25">
      <c r="A4171" t="s">
        <v>4209</v>
      </c>
      <c r="B4171" t="s">
        <v>91</v>
      </c>
      <c r="C4171" t="s">
        <v>92</v>
      </c>
      <c r="D4171" t="str">
        <f>HYPERLINK("http://service.sap.com/sap/support/notes/1736239","1736239")</f>
        <v>1736239</v>
      </c>
      <c r="E4171">
        <v>4</v>
      </c>
      <c r="F4171" t="s">
        <v>4640</v>
      </c>
    </row>
    <row r="4172" spans="1:6" x14ac:dyDescent="0.25">
      <c r="A4172" t="s">
        <v>4209</v>
      </c>
      <c r="B4172" t="s">
        <v>91</v>
      </c>
      <c r="C4172" t="s">
        <v>92</v>
      </c>
      <c r="D4172" t="str">
        <f>HYPERLINK("http://service.sap.com/sap/support/notes/1737765","1737765")</f>
        <v>1737765</v>
      </c>
      <c r="E4172">
        <v>10</v>
      </c>
      <c r="F4172" t="s">
        <v>4641</v>
      </c>
    </row>
    <row r="4173" spans="1:6" x14ac:dyDescent="0.25">
      <c r="A4173" t="s">
        <v>4209</v>
      </c>
      <c r="B4173" t="s">
        <v>94</v>
      </c>
      <c r="C4173" t="s">
        <v>95</v>
      </c>
    </row>
    <row r="4174" spans="1:6" x14ac:dyDescent="0.25">
      <c r="A4174" t="s">
        <v>4209</v>
      </c>
      <c r="B4174" t="s">
        <v>306</v>
      </c>
      <c r="C4174" t="s">
        <v>132</v>
      </c>
      <c r="D4174" t="str">
        <f>HYPERLINK("http://service.sap.com/sap/support/notes/1726053","1726053")</f>
        <v>1726053</v>
      </c>
      <c r="E4174">
        <v>4</v>
      </c>
      <c r="F4174" t="s">
        <v>4642</v>
      </c>
    </row>
    <row r="4175" spans="1:6" x14ac:dyDescent="0.25">
      <c r="A4175" t="s">
        <v>4209</v>
      </c>
      <c r="B4175" t="s">
        <v>96</v>
      </c>
      <c r="C4175" t="s">
        <v>97</v>
      </c>
      <c r="D4175" t="str">
        <f>HYPERLINK("http://service.sap.com/sap/support/notes/1696564","1696564")</f>
        <v>1696564</v>
      </c>
      <c r="E4175">
        <v>2</v>
      </c>
      <c r="F4175" t="s">
        <v>4643</v>
      </c>
    </row>
    <row r="4176" spans="1:6" x14ac:dyDescent="0.25">
      <c r="A4176" t="s">
        <v>4209</v>
      </c>
      <c r="B4176" t="s">
        <v>96</v>
      </c>
      <c r="C4176" t="s">
        <v>97</v>
      </c>
      <c r="D4176" t="str">
        <f>HYPERLINK("http://service.sap.com/sap/support/notes/1734709","1734709")</f>
        <v>1734709</v>
      </c>
      <c r="E4176">
        <v>1</v>
      </c>
      <c r="F4176" t="s">
        <v>4644</v>
      </c>
    </row>
    <row r="4177" spans="1:6" x14ac:dyDescent="0.25">
      <c r="A4177" t="s">
        <v>4209</v>
      </c>
      <c r="B4177" t="s">
        <v>96</v>
      </c>
      <c r="C4177" t="s">
        <v>97</v>
      </c>
      <c r="D4177" t="str">
        <f>HYPERLINK("http://service.sap.com/sap/support/notes/1738762","1738762")</f>
        <v>1738762</v>
      </c>
      <c r="E4177">
        <v>1</v>
      </c>
      <c r="F4177" t="s">
        <v>4645</v>
      </c>
    </row>
    <row r="4178" spans="1:6" x14ac:dyDescent="0.25">
      <c r="A4178" t="s">
        <v>4209</v>
      </c>
      <c r="B4178" t="s">
        <v>98</v>
      </c>
      <c r="C4178" t="s">
        <v>99</v>
      </c>
      <c r="D4178" t="str">
        <f>HYPERLINK("http://service.sap.com/sap/support/notes/1667988","1667988")</f>
        <v>1667988</v>
      </c>
      <c r="E4178">
        <v>4</v>
      </c>
      <c r="F4178" t="s">
        <v>4646</v>
      </c>
    </row>
    <row r="4179" spans="1:6" x14ac:dyDescent="0.25">
      <c r="A4179" t="s">
        <v>4209</v>
      </c>
      <c r="B4179" t="s">
        <v>98</v>
      </c>
      <c r="C4179" t="s">
        <v>99</v>
      </c>
      <c r="D4179" t="str">
        <f>HYPERLINK("http://service.sap.com/sap/support/notes/1723306","1723306")</f>
        <v>1723306</v>
      </c>
      <c r="E4179">
        <v>2</v>
      </c>
      <c r="F4179" t="s">
        <v>4647</v>
      </c>
    </row>
    <row r="4180" spans="1:6" x14ac:dyDescent="0.25">
      <c r="A4180" t="s">
        <v>4209</v>
      </c>
      <c r="B4180" t="s">
        <v>98</v>
      </c>
      <c r="C4180" t="s">
        <v>99</v>
      </c>
      <c r="D4180" t="str">
        <f>HYPERLINK("http://service.sap.com/sap/support/notes/1727438","1727438")</f>
        <v>1727438</v>
      </c>
      <c r="E4180">
        <v>3</v>
      </c>
      <c r="F4180" t="s">
        <v>4648</v>
      </c>
    </row>
    <row r="4181" spans="1:6" x14ac:dyDescent="0.25">
      <c r="A4181" t="s">
        <v>4209</v>
      </c>
      <c r="B4181" t="s">
        <v>101</v>
      </c>
      <c r="C4181" t="s">
        <v>38</v>
      </c>
    </row>
    <row r="4182" spans="1:6" x14ac:dyDescent="0.25">
      <c r="A4182" t="s">
        <v>4209</v>
      </c>
      <c r="B4182" t="s">
        <v>102</v>
      </c>
      <c r="C4182" t="s">
        <v>103</v>
      </c>
      <c r="D4182" t="str">
        <f>HYPERLINK("http://service.sap.com/sap/support/notes/1732569","1732569")</f>
        <v>1732569</v>
      </c>
      <c r="E4182">
        <v>7</v>
      </c>
      <c r="F4182" t="s">
        <v>4649</v>
      </c>
    </row>
    <row r="4183" spans="1:6" x14ac:dyDescent="0.25">
      <c r="A4183" t="s">
        <v>4209</v>
      </c>
      <c r="B4183" t="s">
        <v>104</v>
      </c>
      <c r="C4183" t="s">
        <v>105</v>
      </c>
      <c r="D4183" t="str">
        <f>HYPERLINK("http://service.sap.com/sap/support/notes/1721145","1721145")</f>
        <v>1721145</v>
      </c>
      <c r="E4183">
        <v>4</v>
      </c>
      <c r="F4183" t="s">
        <v>4650</v>
      </c>
    </row>
    <row r="4184" spans="1:6" x14ac:dyDescent="0.25">
      <c r="A4184" t="s">
        <v>4209</v>
      </c>
      <c r="B4184" t="s">
        <v>104</v>
      </c>
      <c r="C4184" t="s">
        <v>105</v>
      </c>
      <c r="D4184" t="str">
        <f>HYPERLINK("http://service.sap.com/sap/support/notes/1731166","1731166")</f>
        <v>1731166</v>
      </c>
      <c r="E4184">
        <v>3</v>
      </c>
      <c r="F4184" t="s">
        <v>4651</v>
      </c>
    </row>
    <row r="4185" spans="1:6" x14ac:dyDescent="0.25">
      <c r="A4185" t="s">
        <v>4209</v>
      </c>
      <c r="B4185" t="s">
        <v>106</v>
      </c>
      <c r="C4185" t="s">
        <v>107</v>
      </c>
    </row>
    <row r="4186" spans="1:6" x14ac:dyDescent="0.25">
      <c r="A4186" t="s">
        <v>4209</v>
      </c>
      <c r="B4186" t="s">
        <v>108</v>
      </c>
      <c r="C4186" t="s">
        <v>109</v>
      </c>
      <c r="D4186" t="str">
        <f>HYPERLINK("http://service.sap.com/sap/support/notes/1734520","1734520")</f>
        <v>1734520</v>
      </c>
      <c r="E4186">
        <v>1</v>
      </c>
      <c r="F4186" t="s">
        <v>4652</v>
      </c>
    </row>
    <row r="4187" spans="1:6" x14ac:dyDescent="0.25">
      <c r="A4187" t="s">
        <v>4209</v>
      </c>
      <c r="B4187" t="s">
        <v>110</v>
      </c>
      <c r="C4187" t="s">
        <v>111</v>
      </c>
      <c r="D4187" t="str">
        <f>HYPERLINK("http://service.sap.com/sap/support/notes/1728715","1728715")</f>
        <v>1728715</v>
      </c>
      <c r="E4187">
        <v>3</v>
      </c>
      <c r="F4187" t="s">
        <v>4653</v>
      </c>
    </row>
    <row r="4188" spans="1:6" x14ac:dyDescent="0.25">
      <c r="A4188" t="s">
        <v>4209</v>
      </c>
      <c r="B4188" t="s">
        <v>609</v>
      </c>
      <c r="C4188" t="s">
        <v>610</v>
      </c>
      <c r="D4188" t="str">
        <f>HYPERLINK("http://service.sap.com/sap/support/notes/1642185","1642185")</f>
        <v>1642185</v>
      </c>
      <c r="E4188">
        <v>1</v>
      </c>
      <c r="F4188" t="s">
        <v>4654</v>
      </c>
    </row>
    <row r="4189" spans="1:6" x14ac:dyDescent="0.25">
      <c r="A4189" t="s">
        <v>4209</v>
      </c>
      <c r="B4189" t="s">
        <v>609</v>
      </c>
      <c r="C4189" t="s">
        <v>610</v>
      </c>
      <c r="D4189" t="str">
        <f>HYPERLINK("http://service.sap.com/sap/support/notes/1732087","1732087")</f>
        <v>1732087</v>
      </c>
      <c r="E4189">
        <v>2</v>
      </c>
      <c r="F4189" t="s">
        <v>4655</v>
      </c>
    </row>
    <row r="4190" spans="1:6" x14ac:dyDescent="0.25">
      <c r="A4190" t="s">
        <v>4209</v>
      </c>
      <c r="B4190" t="s">
        <v>609</v>
      </c>
      <c r="C4190" t="s">
        <v>610</v>
      </c>
      <c r="D4190" t="str">
        <f>HYPERLINK("http://service.sap.com/sap/support/notes/1732417","1732417")</f>
        <v>1732417</v>
      </c>
      <c r="E4190">
        <v>2</v>
      </c>
      <c r="F4190" t="s">
        <v>4656</v>
      </c>
    </row>
    <row r="4191" spans="1:6" x14ac:dyDescent="0.25">
      <c r="A4191" t="s">
        <v>4209</v>
      </c>
      <c r="B4191" t="s">
        <v>312</v>
      </c>
      <c r="C4191" t="s">
        <v>313</v>
      </c>
      <c r="D4191" t="str">
        <f>HYPERLINK("http://service.sap.com/sap/support/notes/1714411","1714411")</f>
        <v>1714411</v>
      </c>
      <c r="E4191">
        <v>2</v>
      </c>
      <c r="F4191" t="s">
        <v>4657</v>
      </c>
    </row>
    <row r="4192" spans="1:6" x14ac:dyDescent="0.25">
      <c r="A4192" t="s">
        <v>4209</v>
      </c>
      <c r="B4192" t="s">
        <v>312</v>
      </c>
      <c r="C4192" t="s">
        <v>313</v>
      </c>
      <c r="D4192" t="str">
        <f>HYPERLINK("http://service.sap.com/sap/support/notes/1720780","1720780")</f>
        <v>1720780</v>
      </c>
      <c r="E4192">
        <v>3</v>
      </c>
      <c r="F4192" t="s">
        <v>4658</v>
      </c>
    </row>
    <row r="4193" spans="1:6" x14ac:dyDescent="0.25">
      <c r="A4193" t="s">
        <v>4209</v>
      </c>
      <c r="B4193" t="s">
        <v>312</v>
      </c>
      <c r="C4193" t="s">
        <v>313</v>
      </c>
      <c r="D4193" t="str">
        <f>HYPERLINK("http://service.sap.com/sap/support/notes/1740349","1740349")</f>
        <v>1740349</v>
      </c>
      <c r="E4193">
        <v>1</v>
      </c>
      <c r="F4193" t="s">
        <v>4659</v>
      </c>
    </row>
    <row r="4194" spans="1:6" x14ac:dyDescent="0.25">
      <c r="A4194" t="s">
        <v>4209</v>
      </c>
      <c r="B4194" t="s">
        <v>114</v>
      </c>
      <c r="C4194" t="s">
        <v>115</v>
      </c>
    </row>
    <row r="4195" spans="1:6" x14ac:dyDescent="0.25">
      <c r="A4195" t="s">
        <v>4209</v>
      </c>
      <c r="B4195" t="s">
        <v>118</v>
      </c>
      <c r="C4195" t="s">
        <v>119</v>
      </c>
      <c r="D4195" t="str">
        <f>HYPERLINK("http://service.sap.com/sap/support/notes/1706138","1706138")</f>
        <v>1706138</v>
      </c>
      <c r="E4195">
        <v>7</v>
      </c>
      <c r="F4195" t="s">
        <v>4660</v>
      </c>
    </row>
    <row r="4196" spans="1:6" x14ac:dyDescent="0.25">
      <c r="A4196" t="s">
        <v>4209</v>
      </c>
      <c r="B4196" t="s">
        <v>118</v>
      </c>
      <c r="C4196" t="s">
        <v>119</v>
      </c>
      <c r="D4196" t="str">
        <f>HYPERLINK("http://service.sap.com/sap/support/notes/1728497","1728497")</f>
        <v>1728497</v>
      </c>
      <c r="E4196">
        <v>1</v>
      </c>
      <c r="F4196" t="s">
        <v>4661</v>
      </c>
    </row>
    <row r="4197" spans="1:6" x14ac:dyDescent="0.25">
      <c r="A4197" t="s">
        <v>4209</v>
      </c>
      <c r="B4197" t="s">
        <v>118</v>
      </c>
      <c r="C4197" t="s">
        <v>119</v>
      </c>
      <c r="D4197" t="str">
        <f>HYPERLINK("http://service.sap.com/sap/support/notes/1737490","1737490")</f>
        <v>1737490</v>
      </c>
      <c r="E4197">
        <v>3</v>
      </c>
      <c r="F4197" t="s">
        <v>4662</v>
      </c>
    </row>
    <row r="4198" spans="1:6" x14ac:dyDescent="0.25">
      <c r="A4198" t="s">
        <v>4209</v>
      </c>
      <c r="B4198" t="s">
        <v>120</v>
      </c>
      <c r="C4198" t="s">
        <v>121</v>
      </c>
      <c r="D4198" t="str">
        <f>HYPERLINK("http://service.sap.com/sap/support/notes/1727183","1727183")</f>
        <v>1727183</v>
      </c>
      <c r="E4198">
        <v>1</v>
      </c>
      <c r="F4198" t="s">
        <v>4663</v>
      </c>
    </row>
    <row r="4199" spans="1:6" x14ac:dyDescent="0.25">
      <c r="A4199" t="s">
        <v>4209</v>
      </c>
      <c r="B4199" t="s">
        <v>120</v>
      </c>
      <c r="C4199" t="s">
        <v>121</v>
      </c>
      <c r="D4199" t="str">
        <f>HYPERLINK("http://service.sap.com/sap/support/notes/1729219","1729219")</f>
        <v>1729219</v>
      </c>
      <c r="E4199">
        <v>1</v>
      </c>
      <c r="F4199" t="s">
        <v>4664</v>
      </c>
    </row>
    <row r="4200" spans="1:6" x14ac:dyDescent="0.25">
      <c r="A4200" t="s">
        <v>4209</v>
      </c>
      <c r="B4200" t="s">
        <v>120</v>
      </c>
      <c r="C4200" t="s">
        <v>121</v>
      </c>
      <c r="D4200" t="str">
        <f>HYPERLINK("http://service.sap.com/sap/support/notes/1730765","1730765")</f>
        <v>1730765</v>
      </c>
      <c r="E4200">
        <v>3</v>
      </c>
      <c r="F4200" t="s">
        <v>4665</v>
      </c>
    </row>
    <row r="4201" spans="1:6" x14ac:dyDescent="0.25">
      <c r="A4201" t="s">
        <v>4209</v>
      </c>
      <c r="B4201" t="s">
        <v>120</v>
      </c>
      <c r="C4201" t="s">
        <v>121</v>
      </c>
      <c r="D4201" t="str">
        <f>HYPERLINK("http://service.sap.com/sap/support/notes/1733440","1733440")</f>
        <v>1733440</v>
      </c>
      <c r="E4201">
        <v>1</v>
      </c>
      <c r="F4201" t="s">
        <v>4666</v>
      </c>
    </row>
    <row r="4202" spans="1:6" x14ac:dyDescent="0.25">
      <c r="A4202" t="s">
        <v>4209</v>
      </c>
      <c r="B4202" t="s">
        <v>120</v>
      </c>
      <c r="C4202" t="s">
        <v>121</v>
      </c>
      <c r="D4202" t="str">
        <f>HYPERLINK("http://service.sap.com/sap/support/notes/1739858","1739858")</f>
        <v>1739858</v>
      </c>
      <c r="E4202">
        <v>2</v>
      </c>
      <c r="F4202" t="s">
        <v>4667</v>
      </c>
    </row>
    <row r="4203" spans="1:6" x14ac:dyDescent="0.25">
      <c r="A4203" t="s">
        <v>4209</v>
      </c>
      <c r="B4203" t="s">
        <v>314</v>
      </c>
      <c r="C4203" t="s">
        <v>396</v>
      </c>
      <c r="D4203" t="str">
        <f>HYPERLINK("http://service.sap.com/sap/support/notes/1741465","1741465")</f>
        <v>1741465</v>
      </c>
      <c r="E4203">
        <v>1</v>
      </c>
      <c r="F4203" t="s">
        <v>4668</v>
      </c>
    </row>
    <row r="4204" spans="1:6" x14ac:dyDescent="0.25">
      <c r="A4204" t="s">
        <v>4209</v>
      </c>
      <c r="B4204" t="s">
        <v>122</v>
      </c>
      <c r="C4204" t="s">
        <v>123</v>
      </c>
      <c r="D4204" t="str">
        <f>HYPERLINK("http://service.sap.com/sap/support/notes/1716912","1716912")</f>
        <v>1716912</v>
      </c>
      <c r="E4204">
        <v>3</v>
      </c>
      <c r="F4204" t="s">
        <v>4669</v>
      </c>
    </row>
    <row r="4205" spans="1:6" x14ac:dyDescent="0.25">
      <c r="A4205" t="s">
        <v>4209</v>
      </c>
      <c r="B4205" t="s">
        <v>122</v>
      </c>
      <c r="C4205" t="s">
        <v>123</v>
      </c>
      <c r="D4205" t="str">
        <f>HYPERLINK("http://service.sap.com/sap/support/notes/1724436","1724436")</f>
        <v>1724436</v>
      </c>
      <c r="E4205">
        <v>1</v>
      </c>
      <c r="F4205" t="s">
        <v>4670</v>
      </c>
    </row>
    <row r="4206" spans="1:6" x14ac:dyDescent="0.25">
      <c r="A4206" t="s">
        <v>4209</v>
      </c>
      <c r="B4206" t="s">
        <v>122</v>
      </c>
      <c r="C4206" t="s">
        <v>123</v>
      </c>
      <c r="D4206" t="str">
        <f>HYPERLINK("http://service.sap.com/sap/support/notes/1733098","1733098")</f>
        <v>1733098</v>
      </c>
      <c r="E4206">
        <v>2</v>
      </c>
      <c r="F4206" t="s">
        <v>4671</v>
      </c>
    </row>
    <row r="4207" spans="1:6" x14ac:dyDescent="0.25">
      <c r="A4207" t="s">
        <v>4209</v>
      </c>
      <c r="B4207" t="s">
        <v>122</v>
      </c>
      <c r="C4207" t="s">
        <v>123</v>
      </c>
      <c r="D4207" t="str">
        <f>HYPERLINK("http://service.sap.com/sap/support/notes/1738728","1738728")</f>
        <v>1738728</v>
      </c>
      <c r="E4207">
        <v>1</v>
      </c>
      <c r="F4207" t="s">
        <v>4672</v>
      </c>
    </row>
    <row r="4208" spans="1:6" x14ac:dyDescent="0.25">
      <c r="A4208" t="s">
        <v>4209</v>
      </c>
      <c r="B4208" t="s">
        <v>122</v>
      </c>
      <c r="C4208" t="s">
        <v>123</v>
      </c>
      <c r="D4208" t="str">
        <f>HYPERLINK("http://service.sap.com/sap/support/notes/1741360","1741360")</f>
        <v>1741360</v>
      </c>
      <c r="E4208">
        <v>1</v>
      </c>
      <c r="F4208" t="s">
        <v>4673</v>
      </c>
    </row>
    <row r="4209" spans="1:6" x14ac:dyDescent="0.25">
      <c r="A4209" t="s">
        <v>4209</v>
      </c>
      <c r="B4209" t="s">
        <v>122</v>
      </c>
      <c r="C4209" t="s">
        <v>123</v>
      </c>
      <c r="D4209" t="str">
        <f>HYPERLINK("http://service.sap.com/sap/support/notes/1744291","1744291")</f>
        <v>1744291</v>
      </c>
      <c r="E4209">
        <v>1</v>
      </c>
      <c r="F4209" t="s">
        <v>4674</v>
      </c>
    </row>
    <row r="4210" spans="1:6" x14ac:dyDescent="0.25">
      <c r="A4210" t="s">
        <v>4209</v>
      </c>
      <c r="B4210" t="s">
        <v>124</v>
      </c>
      <c r="C4210" t="s">
        <v>82</v>
      </c>
      <c r="D4210" t="str">
        <f>HYPERLINK("http://service.sap.com/sap/support/notes/1720532","1720532")</f>
        <v>1720532</v>
      </c>
      <c r="E4210">
        <v>1</v>
      </c>
      <c r="F4210" t="s">
        <v>4675</v>
      </c>
    </row>
    <row r="4211" spans="1:6" x14ac:dyDescent="0.25">
      <c r="A4211" t="s">
        <v>4209</v>
      </c>
      <c r="B4211" t="s">
        <v>124</v>
      </c>
      <c r="C4211" t="s">
        <v>82</v>
      </c>
      <c r="D4211" t="str">
        <f>HYPERLINK("http://service.sap.com/sap/support/notes/1721047","1721047")</f>
        <v>1721047</v>
      </c>
      <c r="E4211">
        <v>2</v>
      </c>
      <c r="F4211" t="s">
        <v>4676</v>
      </c>
    </row>
    <row r="4212" spans="1:6" x14ac:dyDescent="0.25">
      <c r="A4212" t="s">
        <v>4209</v>
      </c>
      <c r="B4212" t="s">
        <v>124</v>
      </c>
      <c r="C4212" t="s">
        <v>82</v>
      </c>
      <c r="D4212" t="str">
        <f>HYPERLINK("http://service.sap.com/sap/support/notes/1729863","1729863")</f>
        <v>1729863</v>
      </c>
      <c r="E4212">
        <v>6</v>
      </c>
      <c r="F4212" t="s">
        <v>4677</v>
      </c>
    </row>
    <row r="4213" spans="1:6" x14ac:dyDescent="0.25">
      <c r="A4213" t="s">
        <v>4209</v>
      </c>
      <c r="B4213" t="s">
        <v>124</v>
      </c>
      <c r="C4213" t="s">
        <v>82</v>
      </c>
      <c r="D4213" t="str">
        <f>HYPERLINK("http://service.sap.com/sap/support/notes/1730145","1730145")</f>
        <v>1730145</v>
      </c>
      <c r="E4213">
        <v>1</v>
      </c>
      <c r="F4213" t="s">
        <v>4678</v>
      </c>
    </row>
    <row r="4214" spans="1:6" x14ac:dyDescent="0.25">
      <c r="A4214" t="s">
        <v>4209</v>
      </c>
      <c r="B4214" t="s">
        <v>124</v>
      </c>
      <c r="C4214" t="s">
        <v>82</v>
      </c>
      <c r="D4214" t="str">
        <f>HYPERLINK("http://service.sap.com/sap/support/notes/1730598","1730598")</f>
        <v>1730598</v>
      </c>
      <c r="E4214">
        <v>2</v>
      </c>
      <c r="F4214" t="s">
        <v>4679</v>
      </c>
    </row>
    <row r="4215" spans="1:6" x14ac:dyDescent="0.25">
      <c r="A4215" t="s">
        <v>4209</v>
      </c>
      <c r="B4215" t="s">
        <v>124</v>
      </c>
      <c r="C4215" t="s">
        <v>82</v>
      </c>
      <c r="D4215" t="str">
        <f>HYPERLINK("http://service.sap.com/sap/support/notes/1733218","1733218")</f>
        <v>1733218</v>
      </c>
      <c r="E4215">
        <v>1</v>
      </c>
      <c r="F4215" t="s">
        <v>4680</v>
      </c>
    </row>
    <row r="4216" spans="1:6" x14ac:dyDescent="0.25">
      <c r="A4216" t="s">
        <v>4209</v>
      </c>
      <c r="B4216" t="s">
        <v>124</v>
      </c>
      <c r="C4216" t="s">
        <v>82</v>
      </c>
      <c r="D4216" t="str">
        <f>HYPERLINK("http://service.sap.com/sap/support/notes/1737320","1737320")</f>
        <v>1737320</v>
      </c>
      <c r="E4216">
        <v>2</v>
      </c>
      <c r="F4216" t="s">
        <v>4681</v>
      </c>
    </row>
    <row r="4217" spans="1:6" x14ac:dyDescent="0.25">
      <c r="A4217" t="s">
        <v>4209</v>
      </c>
      <c r="B4217" t="s">
        <v>124</v>
      </c>
      <c r="C4217" t="s">
        <v>82</v>
      </c>
      <c r="D4217" t="str">
        <f>HYPERLINK("http://service.sap.com/sap/support/notes/1740891","1740891")</f>
        <v>1740891</v>
      </c>
      <c r="E4217">
        <v>2</v>
      </c>
      <c r="F4217" t="s">
        <v>4682</v>
      </c>
    </row>
    <row r="4218" spans="1:6" x14ac:dyDescent="0.25">
      <c r="A4218" t="s">
        <v>4209</v>
      </c>
      <c r="B4218" t="s">
        <v>124</v>
      </c>
      <c r="C4218" t="s">
        <v>82</v>
      </c>
      <c r="D4218" t="str">
        <f>HYPERLINK("http://service.sap.com/sap/support/notes/1741202","1741202")</f>
        <v>1741202</v>
      </c>
      <c r="E4218">
        <v>1</v>
      </c>
      <c r="F4218" t="s">
        <v>4683</v>
      </c>
    </row>
    <row r="4219" spans="1:6" x14ac:dyDescent="0.25">
      <c r="A4219" t="s">
        <v>4209</v>
      </c>
      <c r="B4219" t="s">
        <v>124</v>
      </c>
      <c r="C4219" t="s">
        <v>82</v>
      </c>
      <c r="D4219" t="str">
        <f>HYPERLINK("http://service.sap.com/sap/support/notes/1741254","1741254")</f>
        <v>1741254</v>
      </c>
      <c r="E4219">
        <v>1</v>
      </c>
      <c r="F4219" t="s">
        <v>4684</v>
      </c>
    </row>
    <row r="4220" spans="1:6" x14ac:dyDescent="0.25">
      <c r="A4220" t="s">
        <v>4209</v>
      </c>
      <c r="B4220" t="s">
        <v>124</v>
      </c>
      <c r="C4220" t="s">
        <v>82</v>
      </c>
      <c r="D4220" t="str">
        <f>HYPERLINK("http://service.sap.com/sap/support/notes/1741726","1741726")</f>
        <v>1741726</v>
      </c>
      <c r="E4220">
        <v>2</v>
      </c>
      <c r="F4220" t="s">
        <v>4685</v>
      </c>
    </row>
    <row r="4221" spans="1:6" x14ac:dyDescent="0.25">
      <c r="A4221" t="s">
        <v>4209</v>
      </c>
      <c r="B4221" t="s">
        <v>124</v>
      </c>
      <c r="C4221" t="s">
        <v>82</v>
      </c>
      <c r="D4221" t="str">
        <f>HYPERLINK("http://service.sap.com/sap/support/notes/1741908","1741908")</f>
        <v>1741908</v>
      </c>
      <c r="E4221">
        <v>2</v>
      </c>
      <c r="F4221" t="s">
        <v>4686</v>
      </c>
    </row>
    <row r="4222" spans="1:6" x14ac:dyDescent="0.25">
      <c r="A4222" t="s">
        <v>4209</v>
      </c>
      <c r="B4222" t="s">
        <v>125</v>
      </c>
      <c r="C4222" t="s">
        <v>126</v>
      </c>
      <c r="D4222" t="str">
        <f>HYPERLINK("http://service.sap.com/sap/support/notes/1721237","1721237")</f>
        <v>1721237</v>
      </c>
      <c r="E4222">
        <v>2</v>
      </c>
      <c r="F4222" t="s">
        <v>4687</v>
      </c>
    </row>
    <row r="4223" spans="1:6" x14ac:dyDescent="0.25">
      <c r="A4223" t="s">
        <v>4209</v>
      </c>
      <c r="B4223" t="s">
        <v>127</v>
      </c>
      <c r="C4223" t="s">
        <v>128</v>
      </c>
      <c r="D4223" t="str">
        <f>HYPERLINK("http://service.sap.com/sap/support/notes/1690663","1690663")</f>
        <v>1690663</v>
      </c>
      <c r="E4223">
        <v>1</v>
      </c>
      <c r="F4223" t="s">
        <v>4688</v>
      </c>
    </row>
    <row r="4224" spans="1:6" x14ac:dyDescent="0.25">
      <c r="A4224" t="s">
        <v>4209</v>
      </c>
      <c r="B4224" t="s">
        <v>127</v>
      </c>
      <c r="C4224" t="s">
        <v>128</v>
      </c>
      <c r="D4224" t="str">
        <f>HYPERLINK("http://service.sap.com/sap/support/notes/1722129","1722129")</f>
        <v>1722129</v>
      </c>
      <c r="E4224">
        <v>3</v>
      </c>
      <c r="F4224" t="s">
        <v>4689</v>
      </c>
    </row>
    <row r="4225" spans="1:6" x14ac:dyDescent="0.25">
      <c r="A4225" t="s">
        <v>4209</v>
      </c>
      <c r="B4225" t="s">
        <v>127</v>
      </c>
      <c r="C4225" t="s">
        <v>128</v>
      </c>
      <c r="D4225" t="str">
        <f>HYPERLINK("http://service.sap.com/sap/support/notes/1728371","1728371")</f>
        <v>1728371</v>
      </c>
      <c r="E4225">
        <v>2</v>
      </c>
      <c r="F4225" t="s">
        <v>4690</v>
      </c>
    </row>
    <row r="4226" spans="1:6" x14ac:dyDescent="0.25">
      <c r="A4226" t="s">
        <v>4209</v>
      </c>
      <c r="B4226" t="s">
        <v>127</v>
      </c>
      <c r="C4226" t="s">
        <v>128</v>
      </c>
      <c r="D4226" t="str">
        <f>HYPERLINK("http://service.sap.com/sap/support/notes/1739745","1739745")</f>
        <v>1739745</v>
      </c>
      <c r="E4226">
        <v>2</v>
      </c>
      <c r="F4226" t="s">
        <v>4691</v>
      </c>
    </row>
    <row r="4227" spans="1:6" x14ac:dyDescent="0.25">
      <c r="A4227" t="s">
        <v>4209</v>
      </c>
      <c r="B4227" t="s">
        <v>127</v>
      </c>
      <c r="C4227" t="s">
        <v>128</v>
      </c>
      <c r="D4227" t="str">
        <f>HYPERLINK("http://service.sap.com/sap/support/notes/1740312","1740312")</f>
        <v>1740312</v>
      </c>
      <c r="E4227">
        <v>1</v>
      </c>
      <c r="F4227" t="s">
        <v>4692</v>
      </c>
    </row>
    <row r="4228" spans="1:6" x14ac:dyDescent="0.25">
      <c r="A4228" t="s">
        <v>4209</v>
      </c>
      <c r="B4228" t="s">
        <v>127</v>
      </c>
      <c r="C4228" t="s">
        <v>128</v>
      </c>
      <c r="D4228" t="str">
        <f>HYPERLINK("http://service.sap.com/sap/support/notes/1744659","1744659")</f>
        <v>1744659</v>
      </c>
      <c r="E4228">
        <v>1</v>
      </c>
      <c r="F4228" t="s">
        <v>4693</v>
      </c>
    </row>
    <row r="4229" spans="1:6" x14ac:dyDescent="0.25">
      <c r="A4229" t="s">
        <v>4209</v>
      </c>
      <c r="B4229" t="s">
        <v>127</v>
      </c>
      <c r="C4229" t="s">
        <v>128</v>
      </c>
      <c r="D4229" t="str">
        <f>HYPERLINK("http://service.sap.com/sap/support/notes/1744662","1744662")</f>
        <v>1744662</v>
      </c>
      <c r="E4229">
        <v>1</v>
      </c>
      <c r="F4229" t="s">
        <v>4694</v>
      </c>
    </row>
    <row r="4230" spans="1:6" x14ac:dyDescent="0.25">
      <c r="A4230" t="s">
        <v>4209</v>
      </c>
      <c r="B4230" t="s">
        <v>129</v>
      </c>
      <c r="C4230" t="s">
        <v>130</v>
      </c>
      <c r="D4230" t="str">
        <f>HYPERLINK("http://service.sap.com/sap/support/notes/1726240","1726240")</f>
        <v>1726240</v>
      </c>
      <c r="E4230">
        <v>13</v>
      </c>
      <c r="F4230" t="s">
        <v>4695</v>
      </c>
    </row>
    <row r="4231" spans="1:6" x14ac:dyDescent="0.25">
      <c r="A4231" t="s">
        <v>4209</v>
      </c>
      <c r="B4231" t="s">
        <v>129</v>
      </c>
      <c r="C4231" t="s">
        <v>130</v>
      </c>
      <c r="D4231" t="str">
        <f>HYPERLINK("http://service.sap.com/sap/support/notes/1732097","1732097")</f>
        <v>1732097</v>
      </c>
      <c r="E4231">
        <v>2</v>
      </c>
      <c r="F4231" t="s">
        <v>4696</v>
      </c>
    </row>
    <row r="4232" spans="1:6" x14ac:dyDescent="0.25">
      <c r="A4232" t="s">
        <v>4209</v>
      </c>
      <c r="B4232" t="s">
        <v>131</v>
      </c>
      <c r="C4232" t="s">
        <v>132</v>
      </c>
    </row>
    <row r="4233" spans="1:6" x14ac:dyDescent="0.25">
      <c r="A4233" t="s">
        <v>4209</v>
      </c>
      <c r="B4233" t="s">
        <v>320</v>
      </c>
      <c r="C4233" t="s">
        <v>359</v>
      </c>
      <c r="D4233" t="str">
        <f>HYPERLINK("http://service.sap.com/sap/support/notes/1692614","1692614")</f>
        <v>1692614</v>
      </c>
      <c r="E4233">
        <v>4</v>
      </c>
      <c r="F4233" t="s">
        <v>4697</v>
      </c>
    </row>
    <row r="4234" spans="1:6" x14ac:dyDescent="0.25">
      <c r="A4234" t="s">
        <v>4209</v>
      </c>
      <c r="B4234" t="s">
        <v>320</v>
      </c>
      <c r="C4234" t="s">
        <v>359</v>
      </c>
      <c r="D4234" t="str">
        <f>HYPERLINK("http://service.sap.com/sap/support/notes/1730888","1730888")</f>
        <v>1730888</v>
      </c>
      <c r="E4234">
        <v>2</v>
      </c>
      <c r="F4234" t="s">
        <v>595</v>
      </c>
    </row>
    <row r="4235" spans="1:6" x14ac:dyDescent="0.25">
      <c r="A4235" t="s">
        <v>4209</v>
      </c>
      <c r="B4235" t="s">
        <v>133</v>
      </c>
      <c r="C4235" t="s">
        <v>134</v>
      </c>
      <c r="D4235" t="str">
        <f>HYPERLINK("http://service.sap.com/sap/support/notes/1721797","1721797")</f>
        <v>1721797</v>
      </c>
      <c r="E4235">
        <v>4</v>
      </c>
      <c r="F4235" t="s">
        <v>4698</v>
      </c>
    </row>
    <row r="4236" spans="1:6" x14ac:dyDescent="0.25">
      <c r="A4236" t="s">
        <v>4209</v>
      </c>
      <c r="B4236" t="s">
        <v>135</v>
      </c>
      <c r="C4236" t="s">
        <v>136</v>
      </c>
      <c r="D4236" t="str">
        <f>HYPERLINK("http://service.sap.com/sap/support/notes/1664747","1664747")</f>
        <v>1664747</v>
      </c>
      <c r="E4236">
        <v>6</v>
      </c>
      <c r="F4236" t="s">
        <v>4699</v>
      </c>
    </row>
    <row r="4237" spans="1:6" x14ac:dyDescent="0.25">
      <c r="A4237" t="s">
        <v>4209</v>
      </c>
      <c r="B4237" t="s">
        <v>135</v>
      </c>
      <c r="C4237" t="s">
        <v>136</v>
      </c>
      <c r="D4237" t="str">
        <f>HYPERLINK("http://service.sap.com/sap/support/notes/1677150","1677150")</f>
        <v>1677150</v>
      </c>
      <c r="E4237">
        <v>2</v>
      </c>
      <c r="F4237" t="s">
        <v>4700</v>
      </c>
    </row>
    <row r="4238" spans="1:6" x14ac:dyDescent="0.25">
      <c r="A4238" t="s">
        <v>4209</v>
      </c>
      <c r="B4238" t="s">
        <v>135</v>
      </c>
      <c r="C4238" t="s">
        <v>136</v>
      </c>
      <c r="D4238" t="str">
        <f>HYPERLINK("http://service.sap.com/sap/support/notes/1709447","1709447")</f>
        <v>1709447</v>
      </c>
      <c r="E4238">
        <v>3</v>
      </c>
      <c r="F4238" t="s">
        <v>4701</v>
      </c>
    </row>
    <row r="4239" spans="1:6" x14ac:dyDescent="0.25">
      <c r="A4239" t="s">
        <v>4209</v>
      </c>
      <c r="B4239" t="s">
        <v>135</v>
      </c>
      <c r="C4239" t="s">
        <v>136</v>
      </c>
      <c r="D4239" t="str">
        <f>HYPERLINK("http://service.sap.com/sap/support/notes/1711630","1711630")</f>
        <v>1711630</v>
      </c>
      <c r="E4239">
        <v>9</v>
      </c>
      <c r="F4239" t="s">
        <v>4702</v>
      </c>
    </row>
    <row r="4240" spans="1:6" x14ac:dyDescent="0.25">
      <c r="A4240" t="s">
        <v>4209</v>
      </c>
      <c r="B4240" t="s">
        <v>135</v>
      </c>
      <c r="C4240" t="s">
        <v>136</v>
      </c>
      <c r="D4240" t="str">
        <f>HYPERLINK("http://service.sap.com/sap/support/notes/1712059","1712059")</f>
        <v>1712059</v>
      </c>
      <c r="E4240">
        <v>2</v>
      </c>
      <c r="F4240" t="s">
        <v>4703</v>
      </c>
    </row>
    <row r="4241" spans="1:6" x14ac:dyDescent="0.25">
      <c r="A4241" t="s">
        <v>4209</v>
      </c>
      <c r="B4241" t="s">
        <v>135</v>
      </c>
      <c r="C4241" t="s">
        <v>136</v>
      </c>
      <c r="D4241" t="str">
        <f>HYPERLINK("http://service.sap.com/sap/support/notes/1713542","1713542")</f>
        <v>1713542</v>
      </c>
      <c r="E4241">
        <v>2</v>
      </c>
      <c r="F4241" t="s">
        <v>4704</v>
      </c>
    </row>
    <row r="4242" spans="1:6" x14ac:dyDescent="0.25">
      <c r="A4242" t="s">
        <v>4209</v>
      </c>
      <c r="B4242" t="s">
        <v>135</v>
      </c>
      <c r="C4242" t="s">
        <v>136</v>
      </c>
      <c r="D4242" t="str">
        <f>HYPERLINK("http://service.sap.com/sap/support/notes/1723437","1723437")</f>
        <v>1723437</v>
      </c>
      <c r="E4242">
        <v>4</v>
      </c>
      <c r="F4242" t="s">
        <v>4705</v>
      </c>
    </row>
    <row r="4243" spans="1:6" x14ac:dyDescent="0.25">
      <c r="A4243" t="s">
        <v>4209</v>
      </c>
      <c r="B4243" t="s">
        <v>135</v>
      </c>
      <c r="C4243" t="s">
        <v>136</v>
      </c>
      <c r="D4243" t="str">
        <f>HYPERLINK("http://service.sap.com/sap/support/notes/1723679","1723679")</f>
        <v>1723679</v>
      </c>
      <c r="E4243">
        <v>3</v>
      </c>
      <c r="F4243" t="s">
        <v>4706</v>
      </c>
    </row>
    <row r="4244" spans="1:6" x14ac:dyDescent="0.25">
      <c r="A4244" t="s">
        <v>4209</v>
      </c>
      <c r="B4244" t="s">
        <v>135</v>
      </c>
      <c r="C4244" t="s">
        <v>136</v>
      </c>
      <c r="D4244" t="str">
        <f>HYPERLINK("http://service.sap.com/sap/support/notes/1723718","1723718")</f>
        <v>1723718</v>
      </c>
      <c r="E4244">
        <v>3</v>
      </c>
      <c r="F4244" t="s">
        <v>4707</v>
      </c>
    </row>
    <row r="4245" spans="1:6" x14ac:dyDescent="0.25">
      <c r="A4245" t="s">
        <v>4209</v>
      </c>
      <c r="B4245" t="s">
        <v>135</v>
      </c>
      <c r="C4245" t="s">
        <v>136</v>
      </c>
      <c r="D4245" t="str">
        <f>HYPERLINK("http://service.sap.com/sap/support/notes/1723734","1723734")</f>
        <v>1723734</v>
      </c>
      <c r="E4245">
        <v>2</v>
      </c>
      <c r="F4245" t="s">
        <v>4708</v>
      </c>
    </row>
    <row r="4246" spans="1:6" x14ac:dyDescent="0.25">
      <c r="A4246" t="s">
        <v>4209</v>
      </c>
      <c r="B4246" t="s">
        <v>135</v>
      </c>
      <c r="C4246" t="s">
        <v>136</v>
      </c>
      <c r="D4246" t="str">
        <f>HYPERLINK("http://service.sap.com/sap/support/notes/1723753","1723753")</f>
        <v>1723753</v>
      </c>
      <c r="E4246">
        <v>1</v>
      </c>
      <c r="F4246" t="s">
        <v>4709</v>
      </c>
    </row>
    <row r="4247" spans="1:6" x14ac:dyDescent="0.25">
      <c r="A4247" t="s">
        <v>4209</v>
      </c>
      <c r="B4247" t="s">
        <v>135</v>
      </c>
      <c r="C4247" t="s">
        <v>136</v>
      </c>
      <c r="D4247" t="str">
        <f>HYPERLINK("http://service.sap.com/sap/support/notes/1724189","1724189")</f>
        <v>1724189</v>
      </c>
      <c r="E4247">
        <v>2</v>
      </c>
      <c r="F4247" t="s">
        <v>4710</v>
      </c>
    </row>
    <row r="4248" spans="1:6" x14ac:dyDescent="0.25">
      <c r="A4248" t="s">
        <v>4209</v>
      </c>
      <c r="B4248" t="s">
        <v>135</v>
      </c>
      <c r="C4248" t="s">
        <v>136</v>
      </c>
      <c r="D4248" t="str">
        <f>HYPERLINK("http://service.sap.com/sap/support/notes/1724731","1724731")</f>
        <v>1724731</v>
      </c>
      <c r="E4248">
        <v>2</v>
      </c>
      <c r="F4248" t="s">
        <v>4711</v>
      </c>
    </row>
    <row r="4249" spans="1:6" x14ac:dyDescent="0.25">
      <c r="A4249" t="s">
        <v>4209</v>
      </c>
      <c r="B4249" t="s">
        <v>135</v>
      </c>
      <c r="C4249" t="s">
        <v>136</v>
      </c>
      <c r="D4249" t="str">
        <f>HYPERLINK("http://service.sap.com/sap/support/notes/1726934","1726934")</f>
        <v>1726934</v>
      </c>
      <c r="E4249">
        <v>5</v>
      </c>
      <c r="F4249" t="s">
        <v>4712</v>
      </c>
    </row>
    <row r="4250" spans="1:6" x14ac:dyDescent="0.25">
      <c r="A4250" t="s">
        <v>4209</v>
      </c>
      <c r="B4250" t="s">
        <v>135</v>
      </c>
      <c r="C4250" t="s">
        <v>136</v>
      </c>
      <c r="D4250" t="str">
        <f>HYPERLINK("http://service.sap.com/sap/support/notes/1727455","1727455")</f>
        <v>1727455</v>
      </c>
      <c r="E4250">
        <v>5</v>
      </c>
      <c r="F4250" t="s">
        <v>4713</v>
      </c>
    </row>
    <row r="4251" spans="1:6" x14ac:dyDescent="0.25">
      <c r="A4251" t="s">
        <v>4209</v>
      </c>
      <c r="B4251" t="s">
        <v>135</v>
      </c>
      <c r="C4251" t="s">
        <v>136</v>
      </c>
      <c r="D4251" t="str">
        <f>HYPERLINK("http://service.sap.com/sap/support/notes/1727489","1727489")</f>
        <v>1727489</v>
      </c>
      <c r="E4251">
        <v>3</v>
      </c>
      <c r="F4251" t="s">
        <v>4714</v>
      </c>
    </row>
    <row r="4252" spans="1:6" x14ac:dyDescent="0.25">
      <c r="A4252" t="s">
        <v>4209</v>
      </c>
      <c r="B4252" t="s">
        <v>135</v>
      </c>
      <c r="C4252" t="s">
        <v>136</v>
      </c>
      <c r="D4252" t="str">
        <f>HYPERLINK("http://service.sap.com/sap/support/notes/1728130","1728130")</f>
        <v>1728130</v>
      </c>
      <c r="E4252">
        <v>2</v>
      </c>
      <c r="F4252" t="s">
        <v>4715</v>
      </c>
    </row>
    <row r="4253" spans="1:6" x14ac:dyDescent="0.25">
      <c r="A4253" t="s">
        <v>4209</v>
      </c>
      <c r="B4253" t="s">
        <v>135</v>
      </c>
      <c r="C4253" t="s">
        <v>136</v>
      </c>
      <c r="D4253" t="str">
        <f>HYPERLINK("http://service.sap.com/sap/support/notes/1729761","1729761")</f>
        <v>1729761</v>
      </c>
      <c r="E4253">
        <v>2</v>
      </c>
      <c r="F4253" t="s">
        <v>4716</v>
      </c>
    </row>
    <row r="4254" spans="1:6" x14ac:dyDescent="0.25">
      <c r="A4254" t="s">
        <v>4209</v>
      </c>
      <c r="B4254" t="s">
        <v>135</v>
      </c>
      <c r="C4254" t="s">
        <v>136</v>
      </c>
      <c r="D4254" t="str">
        <f>HYPERLINK("http://service.sap.com/sap/support/notes/1730301","1730301")</f>
        <v>1730301</v>
      </c>
      <c r="E4254">
        <v>3</v>
      </c>
      <c r="F4254" t="s">
        <v>4717</v>
      </c>
    </row>
    <row r="4255" spans="1:6" x14ac:dyDescent="0.25">
      <c r="A4255" t="s">
        <v>4209</v>
      </c>
      <c r="B4255" t="s">
        <v>135</v>
      </c>
      <c r="C4255" t="s">
        <v>136</v>
      </c>
      <c r="D4255" t="str">
        <f>HYPERLINK("http://service.sap.com/sap/support/notes/1732043","1732043")</f>
        <v>1732043</v>
      </c>
      <c r="E4255">
        <v>5</v>
      </c>
      <c r="F4255" t="s">
        <v>4718</v>
      </c>
    </row>
    <row r="4256" spans="1:6" x14ac:dyDescent="0.25">
      <c r="A4256" t="s">
        <v>4209</v>
      </c>
      <c r="B4256" t="s">
        <v>135</v>
      </c>
      <c r="C4256" t="s">
        <v>136</v>
      </c>
      <c r="D4256" t="str">
        <f>HYPERLINK("http://service.sap.com/sap/support/notes/1732118","1732118")</f>
        <v>1732118</v>
      </c>
      <c r="E4256">
        <v>3</v>
      </c>
      <c r="F4256" t="s">
        <v>4719</v>
      </c>
    </row>
    <row r="4257" spans="1:6" x14ac:dyDescent="0.25">
      <c r="A4257" t="s">
        <v>4209</v>
      </c>
      <c r="B4257" t="s">
        <v>135</v>
      </c>
      <c r="C4257" t="s">
        <v>136</v>
      </c>
      <c r="D4257" t="str">
        <f>HYPERLINK("http://service.sap.com/sap/support/notes/1732183","1732183")</f>
        <v>1732183</v>
      </c>
      <c r="E4257">
        <v>4</v>
      </c>
      <c r="F4257" t="s">
        <v>4720</v>
      </c>
    </row>
    <row r="4258" spans="1:6" x14ac:dyDescent="0.25">
      <c r="A4258" t="s">
        <v>4209</v>
      </c>
      <c r="B4258" t="s">
        <v>135</v>
      </c>
      <c r="C4258" t="s">
        <v>136</v>
      </c>
      <c r="D4258" t="str">
        <f>HYPERLINK("http://service.sap.com/sap/support/notes/1732617","1732617")</f>
        <v>1732617</v>
      </c>
      <c r="E4258">
        <v>3</v>
      </c>
      <c r="F4258" t="s">
        <v>4721</v>
      </c>
    </row>
    <row r="4259" spans="1:6" x14ac:dyDescent="0.25">
      <c r="A4259" t="s">
        <v>4209</v>
      </c>
      <c r="B4259" t="s">
        <v>135</v>
      </c>
      <c r="C4259" t="s">
        <v>136</v>
      </c>
      <c r="D4259" t="str">
        <f>HYPERLINK("http://service.sap.com/sap/support/notes/1733209","1733209")</f>
        <v>1733209</v>
      </c>
      <c r="E4259">
        <v>2</v>
      </c>
      <c r="F4259" t="s">
        <v>4722</v>
      </c>
    </row>
    <row r="4260" spans="1:6" x14ac:dyDescent="0.25">
      <c r="A4260" t="s">
        <v>4209</v>
      </c>
      <c r="B4260" t="s">
        <v>135</v>
      </c>
      <c r="C4260" t="s">
        <v>136</v>
      </c>
      <c r="D4260" t="str">
        <f>HYPERLINK("http://service.sap.com/sap/support/notes/1733336","1733336")</f>
        <v>1733336</v>
      </c>
      <c r="E4260">
        <v>2</v>
      </c>
      <c r="F4260" t="s">
        <v>4723</v>
      </c>
    </row>
    <row r="4261" spans="1:6" x14ac:dyDescent="0.25">
      <c r="A4261" t="s">
        <v>4209</v>
      </c>
      <c r="B4261" t="s">
        <v>135</v>
      </c>
      <c r="C4261" t="s">
        <v>136</v>
      </c>
      <c r="D4261" t="str">
        <f>HYPERLINK("http://service.sap.com/sap/support/notes/1733369","1733369")</f>
        <v>1733369</v>
      </c>
      <c r="E4261">
        <v>4</v>
      </c>
      <c r="F4261" t="s">
        <v>4724</v>
      </c>
    </row>
    <row r="4262" spans="1:6" x14ac:dyDescent="0.25">
      <c r="A4262" t="s">
        <v>4209</v>
      </c>
      <c r="B4262" t="s">
        <v>135</v>
      </c>
      <c r="C4262" t="s">
        <v>136</v>
      </c>
      <c r="D4262" t="str">
        <f>HYPERLINK("http://service.sap.com/sap/support/notes/1733372","1733372")</f>
        <v>1733372</v>
      </c>
      <c r="E4262">
        <v>5</v>
      </c>
      <c r="F4262" t="s">
        <v>4725</v>
      </c>
    </row>
    <row r="4263" spans="1:6" x14ac:dyDescent="0.25">
      <c r="A4263" t="s">
        <v>4209</v>
      </c>
      <c r="B4263" t="s">
        <v>135</v>
      </c>
      <c r="C4263" t="s">
        <v>136</v>
      </c>
      <c r="D4263" t="str">
        <f>HYPERLINK("http://service.sap.com/sap/support/notes/1733397","1733397")</f>
        <v>1733397</v>
      </c>
      <c r="E4263">
        <v>2</v>
      </c>
      <c r="F4263" t="s">
        <v>4726</v>
      </c>
    </row>
    <row r="4264" spans="1:6" x14ac:dyDescent="0.25">
      <c r="A4264" t="s">
        <v>4209</v>
      </c>
      <c r="B4264" t="s">
        <v>135</v>
      </c>
      <c r="C4264" t="s">
        <v>136</v>
      </c>
      <c r="D4264" t="str">
        <f>HYPERLINK("http://service.sap.com/sap/support/notes/1734858","1734858")</f>
        <v>1734858</v>
      </c>
      <c r="E4264">
        <v>2</v>
      </c>
      <c r="F4264" t="s">
        <v>4727</v>
      </c>
    </row>
    <row r="4265" spans="1:6" x14ac:dyDescent="0.25">
      <c r="A4265" t="s">
        <v>4209</v>
      </c>
      <c r="B4265" t="s">
        <v>135</v>
      </c>
      <c r="C4265" t="s">
        <v>136</v>
      </c>
      <c r="D4265" t="str">
        <f>HYPERLINK("http://service.sap.com/sap/support/notes/1735453","1735453")</f>
        <v>1735453</v>
      </c>
      <c r="E4265">
        <v>3</v>
      </c>
      <c r="F4265" t="s">
        <v>4728</v>
      </c>
    </row>
    <row r="4266" spans="1:6" x14ac:dyDescent="0.25">
      <c r="A4266" t="s">
        <v>4209</v>
      </c>
      <c r="B4266" t="s">
        <v>135</v>
      </c>
      <c r="C4266" t="s">
        <v>136</v>
      </c>
      <c r="D4266" t="str">
        <f>HYPERLINK("http://service.sap.com/sap/support/notes/1735502","1735502")</f>
        <v>1735502</v>
      </c>
      <c r="E4266">
        <v>2</v>
      </c>
      <c r="F4266" t="s">
        <v>4729</v>
      </c>
    </row>
    <row r="4267" spans="1:6" x14ac:dyDescent="0.25">
      <c r="A4267" t="s">
        <v>4209</v>
      </c>
      <c r="B4267" t="s">
        <v>135</v>
      </c>
      <c r="C4267" t="s">
        <v>136</v>
      </c>
      <c r="D4267" t="str">
        <f>HYPERLINK("http://service.sap.com/sap/support/notes/1737214","1737214")</f>
        <v>1737214</v>
      </c>
      <c r="E4267">
        <v>2</v>
      </c>
      <c r="F4267" t="s">
        <v>4730</v>
      </c>
    </row>
    <row r="4268" spans="1:6" x14ac:dyDescent="0.25">
      <c r="A4268" t="s">
        <v>4209</v>
      </c>
      <c r="B4268" t="s">
        <v>135</v>
      </c>
      <c r="C4268" t="s">
        <v>136</v>
      </c>
      <c r="D4268" t="str">
        <f>HYPERLINK("http://service.sap.com/sap/support/notes/1738707","1738707")</f>
        <v>1738707</v>
      </c>
      <c r="E4268">
        <v>4</v>
      </c>
      <c r="F4268" t="s">
        <v>4731</v>
      </c>
    </row>
    <row r="4269" spans="1:6" x14ac:dyDescent="0.25">
      <c r="A4269" t="s">
        <v>4209</v>
      </c>
      <c r="B4269" t="s">
        <v>135</v>
      </c>
      <c r="C4269" t="s">
        <v>136</v>
      </c>
      <c r="D4269" t="str">
        <f>HYPERLINK("http://service.sap.com/sap/support/notes/1741867","1741867")</f>
        <v>1741867</v>
      </c>
      <c r="E4269">
        <v>4</v>
      </c>
      <c r="F4269" t="s">
        <v>4732</v>
      </c>
    </row>
    <row r="4270" spans="1:6" x14ac:dyDescent="0.25">
      <c r="A4270" t="s">
        <v>4209</v>
      </c>
      <c r="B4270" t="s">
        <v>135</v>
      </c>
      <c r="C4270" t="s">
        <v>136</v>
      </c>
      <c r="D4270" t="str">
        <f>HYPERLINK("http://service.sap.com/sap/support/notes/1742648","1742648")</f>
        <v>1742648</v>
      </c>
      <c r="E4270">
        <v>2</v>
      </c>
      <c r="F4270" t="s">
        <v>4733</v>
      </c>
    </row>
    <row r="4271" spans="1:6" x14ac:dyDescent="0.25">
      <c r="A4271" t="s">
        <v>4209</v>
      </c>
      <c r="B4271" t="s">
        <v>137</v>
      </c>
      <c r="C4271" t="s">
        <v>40</v>
      </c>
      <c r="D4271" t="str">
        <f>HYPERLINK("http://service.sap.com/sap/support/notes/1671724","1671724")</f>
        <v>1671724</v>
      </c>
      <c r="E4271">
        <v>1</v>
      </c>
      <c r="F4271" t="s">
        <v>4734</v>
      </c>
    </row>
    <row r="4272" spans="1:6" x14ac:dyDescent="0.25">
      <c r="A4272" t="s">
        <v>4209</v>
      </c>
      <c r="B4272" t="s">
        <v>137</v>
      </c>
      <c r="C4272" t="s">
        <v>40</v>
      </c>
      <c r="D4272" t="str">
        <f>HYPERLINK("http://service.sap.com/sap/support/notes/1731961","1731961")</f>
        <v>1731961</v>
      </c>
      <c r="E4272">
        <v>1</v>
      </c>
      <c r="F4272" t="s">
        <v>4735</v>
      </c>
    </row>
    <row r="4273" spans="1:6" x14ac:dyDescent="0.25">
      <c r="A4273" t="s">
        <v>4209</v>
      </c>
      <c r="B4273" t="s">
        <v>138</v>
      </c>
      <c r="C4273" t="s">
        <v>42</v>
      </c>
      <c r="D4273" t="str">
        <f>HYPERLINK("http://service.sap.com/sap/support/notes/1715897","1715897")</f>
        <v>1715897</v>
      </c>
      <c r="E4273">
        <v>4</v>
      </c>
      <c r="F4273" t="s">
        <v>4736</v>
      </c>
    </row>
    <row r="4274" spans="1:6" x14ac:dyDescent="0.25">
      <c r="A4274" t="s">
        <v>4209</v>
      </c>
      <c r="B4274" t="s">
        <v>138</v>
      </c>
      <c r="C4274" t="s">
        <v>42</v>
      </c>
      <c r="D4274" t="str">
        <f>HYPERLINK("http://service.sap.com/sap/support/notes/1715915","1715915")</f>
        <v>1715915</v>
      </c>
      <c r="E4274">
        <v>2</v>
      </c>
      <c r="F4274" t="s">
        <v>4737</v>
      </c>
    </row>
    <row r="4275" spans="1:6" x14ac:dyDescent="0.25">
      <c r="A4275" t="s">
        <v>4209</v>
      </c>
      <c r="B4275" t="s">
        <v>138</v>
      </c>
      <c r="C4275" t="s">
        <v>42</v>
      </c>
      <c r="D4275" t="str">
        <f>HYPERLINK("http://service.sap.com/sap/support/notes/1716448","1716448")</f>
        <v>1716448</v>
      </c>
      <c r="E4275">
        <v>1</v>
      </c>
      <c r="F4275" t="s">
        <v>4738</v>
      </c>
    </row>
    <row r="4276" spans="1:6" x14ac:dyDescent="0.25">
      <c r="A4276" t="s">
        <v>4209</v>
      </c>
      <c r="B4276" t="s">
        <v>138</v>
      </c>
      <c r="C4276" t="s">
        <v>42</v>
      </c>
      <c r="D4276" t="str">
        <f>HYPERLINK("http://service.sap.com/sap/support/notes/1717028","1717028")</f>
        <v>1717028</v>
      </c>
      <c r="E4276">
        <v>1</v>
      </c>
      <c r="F4276" t="s">
        <v>4739</v>
      </c>
    </row>
    <row r="4277" spans="1:6" x14ac:dyDescent="0.25">
      <c r="A4277" t="s">
        <v>4209</v>
      </c>
      <c r="B4277" t="s">
        <v>138</v>
      </c>
      <c r="C4277" t="s">
        <v>42</v>
      </c>
      <c r="D4277" t="str">
        <f>HYPERLINK("http://service.sap.com/sap/support/notes/1723937","1723937")</f>
        <v>1723937</v>
      </c>
      <c r="E4277">
        <v>2</v>
      </c>
      <c r="F4277" t="s">
        <v>4740</v>
      </c>
    </row>
    <row r="4278" spans="1:6" x14ac:dyDescent="0.25">
      <c r="A4278" t="s">
        <v>4209</v>
      </c>
      <c r="B4278" t="s">
        <v>138</v>
      </c>
      <c r="C4278" t="s">
        <v>42</v>
      </c>
      <c r="D4278" t="str">
        <f>HYPERLINK("http://service.sap.com/sap/support/notes/1730454","1730454")</f>
        <v>1730454</v>
      </c>
      <c r="E4278">
        <v>2</v>
      </c>
      <c r="F4278" t="s">
        <v>4393</v>
      </c>
    </row>
    <row r="4279" spans="1:6" x14ac:dyDescent="0.25">
      <c r="A4279" t="s">
        <v>4209</v>
      </c>
      <c r="B4279" t="s">
        <v>138</v>
      </c>
      <c r="C4279" t="s">
        <v>42</v>
      </c>
      <c r="D4279" t="str">
        <f>HYPERLINK("http://service.sap.com/sap/support/notes/1731167","1731167")</f>
        <v>1731167</v>
      </c>
      <c r="E4279">
        <v>1</v>
      </c>
      <c r="F4279" t="s">
        <v>4741</v>
      </c>
    </row>
    <row r="4280" spans="1:6" x14ac:dyDescent="0.25">
      <c r="A4280" t="s">
        <v>4209</v>
      </c>
      <c r="B4280" t="s">
        <v>138</v>
      </c>
      <c r="C4280" t="s">
        <v>42</v>
      </c>
      <c r="D4280" t="str">
        <f>HYPERLINK("http://service.sap.com/sap/support/notes/1731174","1731174")</f>
        <v>1731174</v>
      </c>
      <c r="E4280">
        <v>1</v>
      </c>
      <c r="F4280" t="s">
        <v>4742</v>
      </c>
    </row>
    <row r="4281" spans="1:6" x14ac:dyDescent="0.25">
      <c r="A4281" t="s">
        <v>4209</v>
      </c>
      <c r="B4281" t="s">
        <v>138</v>
      </c>
      <c r="C4281" t="s">
        <v>42</v>
      </c>
      <c r="D4281" t="str">
        <f>HYPERLINK("http://service.sap.com/sap/support/notes/1731178","1731178")</f>
        <v>1731178</v>
      </c>
      <c r="E4281">
        <v>1</v>
      </c>
      <c r="F4281" t="s">
        <v>4743</v>
      </c>
    </row>
    <row r="4282" spans="1:6" x14ac:dyDescent="0.25">
      <c r="A4282" t="s">
        <v>4209</v>
      </c>
      <c r="B4282" t="s">
        <v>138</v>
      </c>
      <c r="C4282" t="s">
        <v>42</v>
      </c>
      <c r="D4282" t="str">
        <f>HYPERLINK("http://service.sap.com/sap/support/notes/1731206","1731206")</f>
        <v>1731206</v>
      </c>
      <c r="E4282">
        <v>5</v>
      </c>
      <c r="F4282" t="s">
        <v>4744</v>
      </c>
    </row>
    <row r="4283" spans="1:6" x14ac:dyDescent="0.25">
      <c r="A4283" t="s">
        <v>4209</v>
      </c>
      <c r="B4283" t="s">
        <v>138</v>
      </c>
      <c r="C4283" t="s">
        <v>42</v>
      </c>
      <c r="D4283" t="str">
        <f>HYPERLINK("http://service.sap.com/sap/support/notes/1731212","1731212")</f>
        <v>1731212</v>
      </c>
      <c r="E4283">
        <v>1</v>
      </c>
      <c r="F4283" t="s">
        <v>4745</v>
      </c>
    </row>
    <row r="4284" spans="1:6" x14ac:dyDescent="0.25">
      <c r="A4284" t="s">
        <v>4209</v>
      </c>
      <c r="B4284" t="s">
        <v>138</v>
      </c>
      <c r="C4284" t="s">
        <v>42</v>
      </c>
      <c r="D4284" t="str">
        <f>HYPERLINK("http://service.sap.com/sap/support/notes/1732015","1732015")</f>
        <v>1732015</v>
      </c>
      <c r="E4284">
        <v>2</v>
      </c>
      <c r="F4284" t="s">
        <v>4746</v>
      </c>
    </row>
    <row r="4285" spans="1:6" x14ac:dyDescent="0.25">
      <c r="A4285" t="s">
        <v>4209</v>
      </c>
      <c r="B4285" t="s">
        <v>138</v>
      </c>
      <c r="C4285" t="s">
        <v>42</v>
      </c>
      <c r="D4285" t="str">
        <f>HYPERLINK("http://service.sap.com/sap/support/notes/1732134","1732134")</f>
        <v>1732134</v>
      </c>
      <c r="E4285">
        <v>1</v>
      </c>
      <c r="F4285" t="s">
        <v>4747</v>
      </c>
    </row>
    <row r="4286" spans="1:6" x14ac:dyDescent="0.25">
      <c r="A4286" t="s">
        <v>4209</v>
      </c>
      <c r="B4286" t="s">
        <v>138</v>
      </c>
      <c r="C4286" t="s">
        <v>42</v>
      </c>
      <c r="D4286" t="str">
        <f>HYPERLINK("http://service.sap.com/sap/support/notes/1732334","1732334")</f>
        <v>1732334</v>
      </c>
      <c r="E4286">
        <v>1</v>
      </c>
      <c r="F4286" t="s">
        <v>4748</v>
      </c>
    </row>
    <row r="4287" spans="1:6" x14ac:dyDescent="0.25">
      <c r="A4287" t="s">
        <v>4209</v>
      </c>
      <c r="B4287" t="s">
        <v>138</v>
      </c>
      <c r="C4287" t="s">
        <v>42</v>
      </c>
      <c r="D4287" t="str">
        <f>HYPERLINK("http://service.sap.com/sap/support/notes/1733798","1733798")</f>
        <v>1733798</v>
      </c>
      <c r="E4287">
        <v>1</v>
      </c>
      <c r="F4287" t="s">
        <v>4749</v>
      </c>
    </row>
    <row r="4288" spans="1:6" x14ac:dyDescent="0.25">
      <c r="A4288" t="s">
        <v>4209</v>
      </c>
      <c r="B4288" t="s">
        <v>138</v>
      </c>
      <c r="C4288" t="s">
        <v>42</v>
      </c>
      <c r="D4288" t="str">
        <f>HYPERLINK("http://service.sap.com/sap/support/notes/1733799","1733799")</f>
        <v>1733799</v>
      </c>
      <c r="E4288">
        <v>1</v>
      </c>
      <c r="F4288" t="s">
        <v>4750</v>
      </c>
    </row>
    <row r="4289" spans="1:6" x14ac:dyDescent="0.25">
      <c r="A4289" t="s">
        <v>4209</v>
      </c>
      <c r="B4289" t="s">
        <v>138</v>
      </c>
      <c r="C4289" t="s">
        <v>42</v>
      </c>
      <c r="D4289" t="str">
        <f>HYPERLINK("http://service.sap.com/sap/support/notes/1734141","1734141")</f>
        <v>1734141</v>
      </c>
      <c r="E4289">
        <v>3</v>
      </c>
      <c r="F4289" t="s">
        <v>4751</v>
      </c>
    </row>
    <row r="4290" spans="1:6" x14ac:dyDescent="0.25">
      <c r="A4290" t="s">
        <v>4209</v>
      </c>
      <c r="B4290" t="s">
        <v>138</v>
      </c>
      <c r="C4290" t="s">
        <v>42</v>
      </c>
      <c r="D4290" t="str">
        <f>HYPERLINK("http://service.sap.com/sap/support/notes/1734695","1734695")</f>
        <v>1734695</v>
      </c>
      <c r="E4290">
        <v>1</v>
      </c>
      <c r="F4290" t="s">
        <v>4752</v>
      </c>
    </row>
    <row r="4291" spans="1:6" x14ac:dyDescent="0.25">
      <c r="A4291" t="s">
        <v>4209</v>
      </c>
      <c r="B4291" t="s">
        <v>138</v>
      </c>
      <c r="C4291" t="s">
        <v>42</v>
      </c>
      <c r="D4291" t="str">
        <f>HYPERLINK("http://service.sap.com/sap/support/notes/1734864","1734864")</f>
        <v>1734864</v>
      </c>
      <c r="E4291">
        <v>1</v>
      </c>
      <c r="F4291" t="s">
        <v>4753</v>
      </c>
    </row>
    <row r="4292" spans="1:6" x14ac:dyDescent="0.25">
      <c r="A4292" t="s">
        <v>4209</v>
      </c>
      <c r="B4292" t="s">
        <v>138</v>
      </c>
      <c r="C4292" t="s">
        <v>42</v>
      </c>
      <c r="D4292" t="str">
        <f>HYPERLINK("http://service.sap.com/sap/support/notes/1735121","1735121")</f>
        <v>1735121</v>
      </c>
      <c r="E4292">
        <v>2</v>
      </c>
      <c r="F4292" t="s">
        <v>4754</v>
      </c>
    </row>
    <row r="4293" spans="1:6" x14ac:dyDescent="0.25">
      <c r="A4293" t="s">
        <v>4209</v>
      </c>
      <c r="B4293" t="s">
        <v>138</v>
      </c>
      <c r="C4293" t="s">
        <v>42</v>
      </c>
      <c r="D4293" t="str">
        <f>HYPERLINK("http://service.sap.com/sap/support/notes/1735269","1735269")</f>
        <v>1735269</v>
      </c>
      <c r="E4293">
        <v>1</v>
      </c>
      <c r="F4293" t="s">
        <v>4755</v>
      </c>
    </row>
    <row r="4294" spans="1:6" x14ac:dyDescent="0.25">
      <c r="A4294" t="s">
        <v>4209</v>
      </c>
      <c r="B4294" t="s">
        <v>138</v>
      </c>
      <c r="C4294" t="s">
        <v>42</v>
      </c>
      <c r="D4294" t="str">
        <f>HYPERLINK("http://service.sap.com/sap/support/notes/1735480","1735480")</f>
        <v>1735480</v>
      </c>
      <c r="E4294">
        <v>2</v>
      </c>
      <c r="F4294" t="s">
        <v>4756</v>
      </c>
    </row>
    <row r="4295" spans="1:6" x14ac:dyDescent="0.25">
      <c r="A4295" t="s">
        <v>4209</v>
      </c>
      <c r="B4295" t="s">
        <v>138</v>
      </c>
      <c r="C4295" t="s">
        <v>42</v>
      </c>
      <c r="D4295" t="str">
        <f>HYPERLINK("http://service.sap.com/sap/support/notes/1735789","1735789")</f>
        <v>1735789</v>
      </c>
      <c r="E4295">
        <v>1</v>
      </c>
      <c r="F4295" t="s">
        <v>4757</v>
      </c>
    </row>
    <row r="4296" spans="1:6" x14ac:dyDescent="0.25">
      <c r="A4296" t="s">
        <v>4209</v>
      </c>
      <c r="B4296" t="s">
        <v>138</v>
      </c>
      <c r="C4296" t="s">
        <v>42</v>
      </c>
      <c r="D4296" t="str">
        <f>HYPERLINK("http://service.sap.com/sap/support/notes/1736418","1736418")</f>
        <v>1736418</v>
      </c>
      <c r="E4296">
        <v>1</v>
      </c>
      <c r="F4296" t="s">
        <v>4758</v>
      </c>
    </row>
    <row r="4297" spans="1:6" x14ac:dyDescent="0.25">
      <c r="A4297" t="s">
        <v>4209</v>
      </c>
      <c r="B4297" t="s">
        <v>138</v>
      </c>
      <c r="C4297" t="s">
        <v>42</v>
      </c>
      <c r="D4297" t="str">
        <f>HYPERLINK("http://service.sap.com/sap/support/notes/1736555","1736555")</f>
        <v>1736555</v>
      </c>
      <c r="E4297">
        <v>5</v>
      </c>
      <c r="F4297" t="s">
        <v>4759</v>
      </c>
    </row>
    <row r="4298" spans="1:6" x14ac:dyDescent="0.25">
      <c r="A4298" t="s">
        <v>4209</v>
      </c>
      <c r="B4298" t="s">
        <v>138</v>
      </c>
      <c r="C4298" t="s">
        <v>42</v>
      </c>
      <c r="D4298" t="str">
        <f>HYPERLINK("http://service.sap.com/sap/support/notes/1737727","1737727")</f>
        <v>1737727</v>
      </c>
      <c r="E4298">
        <v>2</v>
      </c>
      <c r="F4298" t="s">
        <v>4760</v>
      </c>
    </row>
    <row r="4299" spans="1:6" x14ac:dyDescent="0.25">
      <c r="A4299" t="s">
        <v>4209</v>
      </c>
      <c r="B4299" t="s">
        <v>138</v>
      </c>
      <c r="C4299" t="s">
        <v>42</v>
      </c>
      <c r="D4299" t="str">
        <f>HYPERLINK("http://service.sap.com/sap/support/notes/1738746","1738746")</f>
        <v>1738746</v>
      </c>
      <c r="E4299">
        <v>1</v>
      </c>
      <c r="F4299" t="s">
        <v>4761</v>
      </c>
    </row>
    <row r="4300" spans="1:6" x14ac:dyDescent="0.25">
      <c r="A4300" t="s">
        <v>4209</v>
      </c>
      <c r="B4300" t="s">
        <v>138</v>
      </c>
      <c r="C4300" t="s">
        <v>42</v>
      </c>
      <c r="D4300" t="str">
        <f>HYPERLINK("http://service.sap.com/sap/support/notes/1740416","1740416")</f>
        <v>1740416</v>
      </c>
      <c r="E4300">
        <v>2</v>
      </c>
      <c r="F4300" t="s">
        <v>4762</v>
      </c>
    </row>
    <row r="4301" spans="1:6" x14ac:dyDescent="0.25">
      <c r="A4301" t="s">
        <v>4209</v>
      </c>
      <c r="B4301" t="s">
        <v>138</v>
      </c>
      <c r="C4301" t="s">
        <v>42</v>
      </c>
      <c r="D4301" t="str">
        <f>HYPERLINK("http://service.sap.com/sap/support/notes/1740818","1740818")</f>
        <v>1740818</v>
      </c>
      <c r="E4301">
        <v>4</v>
      </c>
      <c r="F4301" t="s">
        <v>4763</v>
      </c>
    </row>
    <row r="4302" spans="1:6" x14ac:dyDescent="0.25">
      <c r="A4302" t="s">
        <v>4209</v>
      </c>
      <c r="B4302" t="s">
        <v>138</v>
      </c>
      <c r="C4302" t="s">
        <v>42</v>
      </c>
      <c r="D4302" t="str">
        <f>HYPERLINK("http://service.sap.com/sap/support/notes/1740920","1740920")</f>
        <v>1740920</v>
      </c>
      <c r="E4302">
        <v>1</v>
      </c>
      <c r="F4302" t="s">
        <v>4764</v>
      </c>
    </row>
    <row r="4303" spans="1:6" x14ac:dyDescent="0.25">
      <c r="A4303" t="s">
        <v>4209</v>
      </c>
      <c r="B4303" t="s">
        <v>138</v>
      </c>
      <c r="C4303" t="s">
        <v>42</v>
      </c>
      <c r="D4303" t="str">
        <f>HYPERLINK("http://service.sap.com/sap/support/notes/1741784","1741784")</f>
        <v>1741784</v>
      </c>
      <c r="E4303">
        <v>1</v>
      </c>
      <c r="F4303" t="s">
        <v>4765</v>
      </c>
    </row>
    <row r="4304" spans="1:6" x14ac:dyDescent="0.25">
      <c r="A4304" t="s">
        <v>4209</v>
      </c>
      <c r="B4304" t="s">
        <v>138</v>
      </c>
      <c r="C4304" t="s">
        <v>42</v>
      </c>
      <c r="D4304" t="str">
        <f>HYPERLINK("http://service.sap.com/sap/support/notes/1743100","1743100")</f>
        <v>1743100</v>
      </c>
      <c r="E4304">
        <v>2</v>
      </c>
      <c r="F4304" t="s">
        <v>4766</v>
      </c>
    </row>
    <row r="4305" spans="1:6" x14ac:dyDescent="0.25">
      <c r="A4305" t="s">
        <v>4209</v>
      </c>
      <c r="B4305" t="s">
        <v>138</v>
      </c>
      <c r="C4305" t="s">
        <v>42</v>
      </c>
      <c r="D4305" t="str">
        <f>HYPERLINK("http://service.sap.com/sap/support/notes/1743143","1743143")</f>
        <v>1743143</v>
      </c>
      <c r="E4305">
        <v>1</v>
      </c>
      <c r="F4305" t="s">
        <v>4767</v>
      </c>
    </row>
    <row r="4306" spans="1:6" x14ac:dyDescent="0.25">
      <c r="A4306" t="s">
        <v>4209</v>
      </c>
      <c r="B4306" t="s">
        <v>138</v>
      </c>
      <c r="C4306" t="s">
        <v>42</v>
      </c>
      <c r="D4306" t="str">
        <f>HYPERLINK("http://service.sap.com/sap/support/notes/1744655","1744655")</f>
        <v>1744655</v>
      </c>
      <c r="E4306">
        <v>3</v>
      </c>
      <c r="F4306" t="s">
        <v>4768</v>
      </c>
    </row>
    <row r="4307" spans="1:6" x14ac:dyDescent="0.25">
      <c r="A4307" t="s">
        <v>4209</v>
      </c>
      <c r="B4307" t="s">
        <v>602</v>
      </c>
      <c r="C4307" t="s">
        <v>360</v>
      </c>
      <c r="D4307" t="str">
        <f>HYPERLINK("http://service.sap.com/sap/support/notes/1706478","1706478")</f>
        <v>1706478</v>
      </c>
      <c r="E4307">
        <v>2</v>
      </c>
      <c r="F4307" t="s">
        <v>4769</v>
      </c>
    </row>
    <row r="4308" spans="1:6" x14ac:dyDescent="0.25">
      <c r="A4308" t="s">
        <v>4209</v>
      </c>
      <c r="B4308" t="s">
        <v>383</v>
      </c>
      <c r="C4308" t="s">
        <v>82</v>
      </c>
      <c r="D4308" t="str">
        <f>HYPERLINK("http://service.sap.com/sap/support/notes/1731764","1731764")</f>
        <v>1731764</v>
      </c>
      <c r="E4308">
        <v>1</v>
      </c>
      <c r="F4308" t="s">
        <v>4770</v>
      </c>
    </row>
    <row r="4309" spans="1:6" x14ac:dyDescent="0.25">
      <c r="A4309" t="s">
        <v>4209</v>
      </c>
      <c r="B4309" t="s">
        <v>139</v>
      </c>
      <c r="C4309" t="s">
        <v>140</v>
      </c>
      <c r="D4309" t="str">
        <f>HYPERLINK("http://service.sap.com/sap/support/notes/1707802","1707802")</f>
        <v>1707802</v>
      </c>
      <c r="E4309">
        <v>3</v>
      </c>
      <c r="F4309" t="s">
        <v>4771</v>
      </c>
    </row>
    <row r="4310" spans="1:6" x14ac:dyDescent="0.25">
      <c r="A4310" t="s">
        <v>4209</v>
      </c>
      <c r="B4310" t="s">
        <v>139</v>
      </c>
      <c r="C4310" t="s">
        <v>140</v>
      </c>
      <c r="D4310" t="str">
        <f>HYPERLINK("http://service.sap.com/sap/support/notes/1724387","1724387")</f>
        <v>1724387</v>
      </c>
      <c r="E4310">
        <v>4</v>
      </c>
      <c r="F4310" t="s">
        <v>4772</v>
      </c>
    </row>
    <row r="4311" spans="1:6" x14ac:dyDescent="0.25">
      <c r="A4311" t="s">
        <v>4209</v>
      </c>
      <c r="B4311" t="s">
        <v>139</v>
      </c>
      <c r="C4311" t="s">
        <v>140</v>
      </c>
      <c r="D4311" t="str">
        <f>HYPERLINK("http://service.sap.com/sap/support/notes/1737884","1737884")</f>
        <v>1737884</v>
      </c>
      <c r="E4311">
        <v>5</v>
      </c>
      <c r="F4311" t="s">
        <v>4773</v>
      </c>
    </row>
    <row r="4312" spans="1:6" x14ac:dyDescent="0.25">
      <c r="A4312" t="s">
        <v>4209</v>
      </c>
      <c r="B4312" t="s">
        <v>322</v>
      </c>
      <c r="C4312" t="s">
        <v>115</v>
      </c>
    </row>
    <row r="4313" spans="1:6" x14ac:dyDescent="0.25">
      <c r="A4313" t="s">
        <v>4209</v>
      </c>
      <c r="B4313" t="s">
        <v>398</v>
      </c>
      <c r="C4313" t="s">
        <v>123</v>
      </c>
      <c r="D4313" t="str">
        <f>HYPERLINK("http://service.sap.com/sap/support/notes/1744576","1744576")</f>
        <v>1744576</v>
      </c>
      <c r="E4313">
        <v>1</v>
      </c>
      <c r="F4313" t="s">
        <v>4774</v>
      </c>
    </row>
    <row r="4314" spans="1:6" x14ac:dyDescent="0.25">
      <c r="A4314" t="s">
        <v>4209</v>
      </c>
      <c r="B4314" t="s">
        <v>142</v>
      </c>
      <c r="C4314" t="s">
        <v>82</v>
      </c>
      <c r="D4314" t="str">
        <f>HYPERLINK("http://service.sap.com/sap/support/notes/1737501","1737501")</f>
        <v>1737501</v>
      </c>
      <c r="E4314">
        <v>1</v>
      </c>
      <c r="F4314" t="s">
        <v>4775</v>
      </c>
    </row>
    <row r="4315" spans="1:6" x14ac:dyDescent="0.25">
      <c r="A4315" t="s">
        <v>4209</v>
      </c>
      <c r="B4315" t="s">
        <v>143</v>
      </c>
      <c r="C4315" t="s">
        <v>132</v>
      </c>
      <c r="D4315" t="str">
        <f>HYPERLINK("http://service.sap.com/sap/support/notes/1710059","1710059")</f>
        <v>1710059</v>
      </c>
      <c r="E4315">
        <v>2</v>
      </c>
      <c r="F4315" t="s">
        <v>4776</v>
      </c>
    </row>
    <row r="4316" spans="1:6" x14ac:dyDescent="0.25">
      <c r="A4316" t="s">
        <v>4209</v>
      </c>
      <c r="B4316" t="s">
        <v>144</v>
      </c>
      <c r="C4316" t="s">
        <v>145</v>
      </c>
      <c r="D4316" t="str">
        <f>HYPERLINK("http://service.sap.com/sap/support/notes/1709725","1709725")</f>
        <v>1709725</v>
      </c>
      <c r="E4316">
        <v>2</v>
      </c>
      <c r="F4316" t="s">
        <v>4777</v>
      </c>
    </row>
    <row r="4317" spans="1:6" x14ac:dyDescent="0.25">
      <c r="A4317" t="s">
        <v>4209</v>
      </c>
      <c r="B4317" t="s">
        <v>144</v>
      </c>
      <c r="C4317" t="s">
        <v>145</v>
      </c>
      <c r="D4317" t="str">
        <f>HYPERLINK("http://service.sap.com/sap/support/notes/1720764","1720764")</f>
        <v>1720764</v>
      </c>
      <c r="E4317">
        <v>2</v>
      </c>
      <c r="F4317" t="s">
        <v>4778</v>
      </c>
    </row>
    <row r="4318" spans="1:6" x14ac:dyDescent="0.25">
      <c r="A4318" t="s">
        <v>4209</v>
      </c>
      <c r="B4318" t="s">
        <v>144</v>
      </c>
      <c r="C4318" t="s">
        <v>145</v>
      </c>
      <c r="D4318" t="str">
        <f>HYPERLINK("http://service.sap.com/sap/support/notes/1723005","1723005")</f>
        <v>1723005</v>
      </c>
      <c r="E4318">
        <v>4</v>
      </c>
      <c r="F4318" t="s">
        <v>4779</v>
      </c>
    </row>
    <row r="4319" spans="1:6" x14ac:dyDescent="0.25">
      <c r="A4319" t="s">
        <v>4209</v>
      </c>
      <c r="B4319" t="s">
        <v>144</v>
      </c>
      <c r="C4319" t="s">
        <v>145</v>
      </c>
      <c r="D4319" t="str">
        <f>HYPERLINK("http://service.sap.com/sap/support/notes/1730393","1730393")</f>
        <v>1730393</v>
      </c>
      <c r="E4319">
        <v>3</v>
      </c>
      <c r="F4319" t="s">
        <v>4780</v>
      </c>
    </row>
    <row r="4320" spans="1:6" x14ac:dyDescent="0.25">
      <c r="A4320" t="s">
        <v>4209</v>
      </c>
      <c r="B4320" t="s">
        <v>144</v>
      </c>
      <c r="C4320" t="s">
        <v>145</v>
      </c>
      <c r="D4320" t="str">
        <f>HYPERLINK("http://service.sap.com/sap/support/notes/1732245","1732245")</f>
        <v>1732245</v>
      </c>
      <c r="E4320">
        <v>1</v>
      </c>
      <c r="F4320" t="s">
        <v>4781</v>
      </c>
    </row>
    <row r="4321" spans="1:6" x14ac:dyDescent="0.25">
      <c r="A4321" t="s">
        <v>4209</v>
      </c>
      <c r="B4321" t="s">
        <v>144</v>
      </c>
      <c r="C4321" t="s">
        <v>145</v>
      </c>
      <c r="D4321" t="str">
        <f>HYPERLINK("http://service.sap.com/sap/support/notes/1732866","1732866")</f>
        <v>1732866</v>
      </c>
      <c r="E4321">
        <v>1</v>
      </c>
      <c r="F4321" t="s">
        <v>4782</v>
      </c>
    </row>
    <row r="4322" spans="1:6" x14ac:dyDescent="0.25">
      <c r="A4322" t="s">
        <v>4209</v>
      </c>
      <c r="B4322" t="s">
        <v>144</v>
      </c>
      <c r="C4322" t="s">
        <v>145</v>
      </c>
      <c r="D4322" t="str">
        <f>HYPERLINK("http://service.sap.com/sap/support/notes/1734518","1734518")</f>
        <v>1734518</v>
      </c>
      <c r="E4322">
        <v>2</v>
      </c>
      <c r="F4322" t="s">
        <v>4783</v>
      </c>
    </row>
    <row r="4323" spans="1:6" x14ac:dyDescent="0.25">
      <c r="A4323" t="s">
        <v>4209</v>
      </c>
      <c r="B4323" t="s">
        <v>144</v>
      </c>
      <c r="C4323" t="s">
        <v>145</v>
      </c>
      <c r="D4323" t="str">
        <f>HYPERLINK("http://service.sap.com/sap/support/notes/1734957","1734957")</f>
        <v>1734957</v>
      </c>
      <c r="E4323">
        <v>1</v>
      </c>
      <c r="F4323" t="s">
        <v>4784</v>
      </c>
    </row>
    <row r="4324" spans="1:6" x14ac:dyDescent="0.25">
      <c r="A4324" t="s">
        <v>4209</v>
      </c>
      <c r="B4324" t="s">
        <v>144</v>
      </c>
      <c r="C4324" t="s">
        <v>145</v>
      </c>
      <c r="D4324" t="str">
        <f>HYPERLINK("http://service.sap.com/sap/support/notes/1737421","1737421")</f>
        <v>1737421</v>
      </c>
      <c r="E4324">
        <v>1</v>
      </c>
      <c r="F4324" t="s">
        <v>4785</v>
      </c>
    </row>
    <row r="4325" spans="1:6" x14ac:dyDescent="0.25">
      <c r="A4325" t="s">
        <v>4209</v>
      </c>
      <c r="B4325" t="s">
        <v>144</v>
      </c>
      <c r="C4325" t="s">
        <v>145</v>
      </c>
      <c r="D4325" t="str">
        <f>HYPERLINK("http://service.sap.com/sap/support/notes/1738104","1738104")</f>
        <v>1738104</v>
      </c>
      <c r="E4325">
        <v>1</v>
      </c>
      <c r="F4325" t="s">
        <v>4786</v>
      </c>
    </row>
    <row r="4326" spans="1:6" x14ac:dyDescent="0.25">
      <c r="A4326" t="s">
        <v>4209</v>
      </c>
      <c r="B4326" t="s">
        <v>144</v>
      </c>
      <c r="C4326" t="s">
        <v>145</v>
      </c>
      <c r="D4326" t="str">
        <f>HYPERLINK("http://service.sap.com/sap/support/notes/1742609","1742609")</f>
        <v>1742609</v>
      </c>
      <c r="E4326">
        <v>1</v>
      </c>
      <c r="F4326" t="s">
        <v>4787</v>
      </c>
    </row>
    <row r="4327" spans="1:6" x14ac:dyDescent="0.25">
      <c r="A4327" t="s">
        <v>4209</v>
      </c>
      <c r="B4327" t="s">
        <v>144</v>
      </c>
      <c r="C4327" t="s">
        <v>145</v>
      </c>
      <c r="D4327" t="str">
        <f>HYPERLINK("http://service.sap.com/sap/support/notes/1744332","1744332")</f>
        <v>1744332</v>
      </c>
      <c r="E4327">
        <v>1</v>
      </c>
      <c r="F4327" t="s">
        <v>4788</v>
      </c>
    </row>
    <row r="4328" spans="1:6" x14ac:dyDescent="0.25">
      <c r="A4328" t="s">
        <v>4209</v>
      </c>
      <c r="B4328" t="s">
        <v>146</v>
      </c>
      <c r="C4328" t="s">
        <v>147</v>
      </c>
      <c r="D4328" t="str">
        <f>HYPERLINK("http://service.sap.com/sap/support/notes/1708276","1708276")</f>
        <v>1708276</v>
      </c>
      <c r="E4328">
        <v>1</v>
      </c>
      <c r="F4328" t="s">
        <v>4789</v>
      </c>
    </row>
    <row r="4329" spans="1:6" x14ac:dyDescent="0.25">
      <c r="A4329" t="s">
        <v>4209</v>
      </c>
      <c r="B4329" t="s">
        <v>146</v>
      </c>
      <c r="C4329" t="s">
        <v>147</v>
      </c>
      <c r="D4329" t="str">
        <f>HYPERLINK("http://service.sap.com/sap/support/notes/1736902","1736902")</f>
        <v>1736902</v>
      </c>
      <c r="E4329">
        <v>4</v>
      </c>
      <c r="F4329" t="s">
        <v>4790</v>
      </c>
    </row>
    <row r="4330" spans="1:6" x14ac:dyDescent="0.25">
      <c r="A4330" t="s">
        <v>4209</v>
      </c>
      <c r="B4330" t="s">
        <v>148</v>
      </c>
      <c r="C4330" t="s">
        <v>45</v>
      </c>
      <c r="D4330" t="str">
        <f>HYPERLINK("http://service.sap.com/sap/support/notes/1734054","1734054")</f>
        <v>1734054</v>
      </c>
      <c r="E4330">
        <v>1</v>
      </c>
      <c r="F4330" t="s">
        <v>4791</v>
      </c>
    </row>
    <row r="4331" spans="1:6" x14ac:dyDescent="0.25">
      <c r="A4331" t="s">
        <v>4209</v>
      </c>
      <c r="B4331" t="s">
        <v>149</v>
      </c>
      <c r="C4331" t="s">
        <v>150</v>
      </c>
      <c r="D4331" t="str">
        <f>HYPERLINK("http://service.sap.com/sap/support/notes/1724564","1724564")</f>
        <v>1724564</v>
      </c>
      <c r="E4331">
        <v>3</v>
      </c>
      <c r="F4331" t="s">
        <v>4792</v>
      </c>
    </row>
    <row r="4332" spans="1:6" x14ac:dyDescent="0.25">
      <c r="A4332" t="s">
        <v>4209</v>
      </c>
      <c r="B4332" t="s">
        <v>149</v>
      </c>
      <c r="C4332" t="s">
        <v>150</v>
      </c>
      <c r="D4332" t="str">
        <f>HYPERLINK("http://service.sap.com/sap/support/notes/1729685","1729685")</f>
        <v>1729685</v>
      </c>
      <c r="E4332">
        <v>2</v>
      </c>
      <c r="F4332" t="s">
        <v>4793</v>
      </c>
    </row>
    <row r="4333" spans="1:6" x14ac:dyDescent="0.25">
      <c r="A4333" t="s">
        <v>4209</v>
      </c>
      <c r="B4333" t="s">
        <v>152</v>
      </c>
      <c r="C4333" t="s">
        <v>47</v>
      </c>
      <c r="D4333" t="str">
        <f>HYPERLINK("http://service.sap.com/sap/support/notes/1707877","1707877")</f>
        <v>1707877</v>
      </c>
      <c r="E4333">
        <v>3</v>
      </c>
      <c r="F4333" t="s">
        <v>4794</v>
      </c>
    </row>
    <row r="4334" spans="1:6" x14ac:dyDescent="0.25">
      <c r="A4334" t="s">
        <v>4209</v>
      </c>
      <c r="B4334" t="s">
        <v>152</v>
      </c>
      <c r="C4334" t="s">
        <v>47</v>
      </c>
      <c r="D4334" t="str">
        <f>HYPERLINK("http://service.sap.com/sap/support/notes/1713493","1713493")</f>
        <v>1713493</v>
      </c>
      <c r="E4334">
        <v>2</v>
      </c>
      <c r="F4334" t="s">
        <v>4795</v>
      </c>
    </row>
    <row r="4335" spans="1:6" x14ac:dyDescent="0.25">
      <c r="A4335" t="s">
        <v>4209</v>
      </c>
      <c r="B4335" t="s">
        <v>152</v>
      </c>
      <c r="C4335" t="s">
        <v>47</v>
      </c>
      <c r="D4335" t="str">
        <f>HYPERLINK("http://service.sap.com/sap/support/notes/1717589","1717589")</f>
        <v>1717589</v>
      </c>
      <c r="E4335">
        <v>1</v>
      </c>
      <c r="F4335" t="s">
        <v>4796</v>
      </c>
    </row>
    <row r="4336" spans="1:6" x14ac:dyDescent="0.25">
      <c r="A4336" t="s">
        <v>4209</v>
      </c>
      <c r="B4336" t="s">
        <v>152</v>
      </c>
      <c r="C4336" t="s">
        <v>47</v>
      </c>
      <c r="D4336" t="str">
        <f>HYPERLINK("http://service.sap.com/sap/support/notes/1724071","1724071")</f>
        <v>1724071</v>
      </c>
      <c r="E4336">
        <v>2</v>
      </c>
      <c r="F4336" t="s">
        <v>4797</v>
      </c>
    </row>
    <row r="4337" spans="1:6" x14ac:dyDescent="0.25">
      <c r="A4337" t="s">
        <v>4209</v>
      </c>
      <c r="B4337" t="s">
        <v>152</v>
      </c>
      <c r="C4337" t="s">
        <v>47</v>
      </c>
      <c r="D4337" t="str">
        <f>HYPERLINK("http://service.sap.com/sap/support/notes/1727139","1727139")</f>
        <v>1727139</v>
      </c>
      <c r="E4337">
        <v>4</v>
      </c>
      <c r="F4337" t="s">
        <v>4798</v>
      </c>
    </row>
    <row r="4338" spans="1:6" x14ac:dyDescent="0.25">
      <c r="A4338" t="s">
        <v>4209</v>
      </c>
      <c r="B4338" t="s">
        <v>152</v>
      </c>
      <c r="C4338" t="s">
        <v>47</v>
      </c>
      <c r="D4338" t="str">
        <f>HYPERLINK("http://service.sap.com/sap/support/notes/1728381","1728381")</f>
        <v>1728381</v>
      </c>
      <c r="E4338">
        <v>4</v>
      </c>
      <c r="F4338" t="s">
        <v>4799</v>
      </c>
    </row>
    <row r="4339" spans="1:6" x14ac:dyDescent="0.25">
      <c r="A4339" t="s">
        <v>4209</v>
      </c>
      <c r="B4339" t="s">
        <v>152</v>
      </c>
      <c r="C4339" t="s">
        <v>47</v>
      </c>
      <c r="D4339" t="str">
        <f>HYPERLINK("http://service.sap.com/sap/support/notes/1730541","1730541")</f>
        <v>1730541</v>
      </c>
      <c r="E4339">
        <v>2</v>
      </c>
      <c r="F4339" t="s">
        <v>4800</v>
      </c>
    </row>
    <row r="4340" spans="1:6" x14ac:dyDescent="0.25">
      <c r="A4340" t="s">
        <v>4209</v>
      </c>
      <c r="B4340" t="s">
        <v>152</v>
      </c>
      <c r="C4340" t="s">
        <v>47</v>
      </c>
      <c r="D4340" t="str">
        <f>HYPERLINK("http://service.sap.com/sap/support/notes/1731727","1731727")</f>
        <v>1731727</v>
      </c>
      <c r="E4340">
        <v>1</v>
      </c>
      <c r="F4340" t="s">
        <v>4801</v>
      </c>
    </row>
    <row r="4341" spans="1:6" x14ac:dyDescent="0.25">
      <c r="A4341" t="s">
        <v>4209</v>
      </c>
      <c r="B4341" t="s">
        <v>152</v>
      </c>
      <c r="C4341" t="s">
        <v>47</v>
      </c>
      <c r="D4341" t="str">
        <f>HYPERLINK("http://service.sap.com/sap/support/notes/1732447","1732447")</f>
        <v>1732447</v>
      </c>
      <c r="E4341">
        <v>2</v>
      </c>
      <c r="F4341" t="s">
        <v>4802</v>
      </c>
    </row>
    <row r="4342" spans="1:6" x14ac:dyDescent="0.25">
      <c r="A4342" t="s">
        <v>4209</v>
      </c>
      <c r="B4342" t="s">
        <v>152</v>
      </c>
      <c r="C4342" t="s">
        <v>47</v>
      </c>
      <c r="D4342" t="str">
        <f>HYPERLINK("http://service.sap.com/sap/support/notes/1734563","1734563")</f>
        <v>1734563</v>
      </c>
      <c r="E4342">
        <v>1</v>
      </c>
      <c r="F4342" t="s">
        <v>4803</v>
      </c>
    </row>
    <row r="4343" spans="1:6" x14ac:dyDescent="0.25">
      <c r="A4343" t="s">
        <v>4209</v>
      </c>
      <c r="B4343" t="s">
        <v>152</v>
      </c>
      <c r="C4343" t="s">
        <v>47</v>
      </c>
      <c r="D4343" t="str">
        <f>HYPERLINK("http://service.sap.com/sap/support/notes/1739167","1739167")</f>
        <v>1739167</v>
      </c>
      <c r="E4343">
        <v>3</v>
      </c>
      <c r="F4343" t="s">
        <v>4804</v>
      </c>
    </row>
    <row r="4344" spans="1:6" x14ac:dyDescent="0.25">
      <c r="A4344" t="s">
        <v>4209</v>
      </c>
      <c r="B4344" t="s">
        <v>152</v>
      </c>
      <c r="C4344" t="s">
        <v>47</v>
      </c>
      <c r="D4344" t="str">
        <f>HYPERLINK("http://service.sap.com/sap/support/notes/1744069","1744069")</f>
        <v>1744069</v>
      </c>
      <c r="E4344">
        <v>3</v>
      </c>
      <c r="F4344" t="s">
        <v>4805</v>
      </c>
    </row>
    <row r="4345" spans="1:6" x14ac:dyDescent="0.25">
      <c r="A4345" t="s">
        <v>4209</v>
      </c>
      <c r="B4345" t="s">
        <v>155</v>
      </c>
      <c r="C4345" t="s">
        <v>49</v>
      </c>
      <c r="D4345" t="str">
        <f>HYPERLINK("http://service.sap.com/sap/support/notes/1691470","1691470")</f>
        <v>1691470</v>
      </c>
      <c r="E4345">
        <v>10</v>
      </c>
      <c r="F4345" t="s">
        <v>4806</v>
      </c>
    </row>
    <row r="4346" spans="1:6" x14ac:dyDescent="0.25">
      <c r="A4346" t="s">
        <v>4209</v>
      </c>
      <c r="B4346" t="s">
        <v>155</v>
      </c>
      <c r="C4346" t="s">
        <v>49</v>
      </c>
      <c r="D4346" t="str">
        <f>HYPERLINK("http://service.sap.com/sap/support/notes/1717125","1717125")</f>
        <v>1717125</v>
      </c>
      <c r="E4346">
        <v>4</v>
      </c>
      <c r="F4346" t="s">
        <v>4807</v>
      </c>
    </row>
    <row r="4347" spans="1:6" x14ac:dyDescent="0.25">
      <c r="A4347" t="s">
        <v>4209</v>
      </c>
      <c r="B4347" t="s">
        <v>155</v>
      </c>
      <c r="C4347" t="s">
        <v>49</v>
      </c>
      <c r="D4347" t="str">
        <f>HYPERLINK("http://service.sap.com/sap/support/notes/1725206","1725206")</f>
        <v>1725206</v>
      </c>
      <c r="E4347">
        <v>2</v>
      </c>
      <c r="F4347" t="s">
        <v>4808</v>
      </c>
    </row>
    <row r="4348" spans="1:6" x14ac:dyDescent="0.25">
      <c r="A4348" t="s">
        <v>4209</v>
      </c>
      <c r="B4348" t="s">
        <v>155</v>
      </c>
      <c r="C4348" t="s">
        <v>49</v>
      </c>
      <c r="D4348" t="str">
        <f>HYPERLINK("http://service.sap.com/sap/support/notes/1729928","1729928")</f>
        <v>1729928</v>
      </c>
      <c r="E4348">
        <v>1</v>
      </c>
      <c r="F4348" t="s">
        <v>4809</v>
      </c>
    </row>
    <row r="4349" spans="1:6" x14ac:dyDescent="0.25">
      <c r="A4349" t="s">
        <v>4209</v>
      </c>
      <c r="B4349" t="s">
        <v>155</v>
      </c>
      <c r="C4349" t="s">
        <v>49</v>
      </c>
      <c r="D4349" t="str">
        <f>HYPERLINK("http://service.sap.com/sap/support/notes/1732044","1732044")</f>
        <v>1732044</v>
      </c>
      <c r="E4349">
        <v>2</v>
      </c>
      <c r="F4349" t="s">
        <v>4810</v>
      </c>
    </row>
    <row r="4350" spans="1:6" x14ac:dyDescent="0.25">
      <c r="A4350" t="s">
        <v>4209</v>
      </c>
      <c r="B4350" t="s">
        <v>155</v>
      </c>
      <c r="C4350" t="s">
        <v>49</v>
      </c>
      <c r="D4350" t="str">
        <f>HYPERLINK("http://service.sap.com/sap/support/notes/1736130","1736130")</f>
        <v>1736130</v>
      </c>
      <c r="E4350">
        <v>2</v>
      </c>
      <c r="F4350" t="s">
        <v>4811</v>
      </c>
    </row>
    <row r="4351" spans="1:6" x14ac:dyDescent="0.25">
      <c r="A4351" t="s">
        <v>4209</v>
      </c>
      <c r="B4351" t="s">
        <v>155</v>
      </c>
      <c r="C4351" t="s">
        <v>49</v>
      </c>
      <c r="D4351" t="str">
        <f>HYPERLINK("http://service.sap.com/sap/support/notes/1736733","1736733")</f>
        <v>1736733</v>
      </c>
      <c r="E4351">
        <v>1</v>
      </c>
      <c r="F4351" t="s">
        <v>4812</v>
      </c>
    </row>
    <row r="4352" spans="1:6" x14ac:dyDescent="0.25">
      <c r="A4352" t="s">
        <v>4209</v>
      </c>
      <c r="B4352" t="s">
        <v>155</v>
      </c>
      <c r="C4352" t="s">
        <v>49</v>
      </c>
      <c r="D4352" t="str">
        <f>HYPERLINK("http://service.sap.com/sap/support/notes/1740511","1740511")</f>
        <v>1740511</v>
      </c>
      <c r="E4352">
        <v>2</v>
      </c>
      <c r="F4352" t="s">
        <v>4813</v>
      </c>
    </row>
    <row r="4353" spans="1:6" x14ac:dyDescent="0.25">
      <c r="A4353" t="s">
        <v>4209</v>
      </c>
      <c r="B4353" t="s">
        <v>156</v>
      </c>
      <c r="C4353" t="s">
        <v>52</v>
      </c>
      <c r="D4353" t="str">
        <f>HYPERLINK("http://service.sap.com/sap/support/notes/1729503","1729503")</f>
        <v>1729503</v>
      </c>
      <c r="E4353">
        <v>3</v>
      </c>
      <c r="F4353" t="s">
        <v>4814</v>
      </c>
    </row>
    <row r="4354" spans="1:6" x14ac:dyDescent="0.25">
      <c r="A4354" t="s">
        <v>4209</v>
      </c>
      <c r="B4354" t="s">
        <v>156</v>
      </c>
      <c r="C4354" t="s">
        <v>52</v>
      </c>
      <c r="D4354" t="str">
        <f>HYPERLINK("http://service.sap.com/sap/support/notes/1730645","1730645")</f>
        <v>1730645</v>
      </c>
      <c r="E4354">
        <v>1</v>
      </c>
      <c r="F4354" t="s">
        <v>4815</v>
      </c>
    </row>
    <row r="4355" spans="1:6" x14ac:dyDescent="0.25">
      <c r="A4355" t="s">
        <v>4209</v>
      </c>
      <c r="B4355" t="s">
        <v>156</v>
      </c>
      <c r="C4355" t="s">
        <v>52</v>
      </c>
      <c r="D4355" t="str">
        <f>HYPERLINK("http://service.sap.com/sap/support/notes/1731052","1731052")</f>
        <v>1731052</v>
      </c>
      <c r="E4355">
        <v>1</v>
      </c>
      <c r="F4355" t="s">
        <v>4816</v>
      </c>
    </row>
    <row r="4356" spans="1:6" x14ac:dyDescent="0.25">
      <c r="A4356" t="s">
        <v>4209</v>
      </c>
      <c r="B4356" t="s">
        <v>156</v>
      </c>
      <c r="C4356" t="s">
        <v>52</v>
      </c>
      <c r="D4356" t="str">
        <f>HYPERLINK("http://service.sap.com/sap/support/notes/1732907","1732907")</f>
        <v>1732907</v>
      </c>
      <c r="E4356">
        <v>2</v>
      </c>
      <c r="F4356" t="s">
        <v>4817</v>
      </c>
    </row>
    <row r="4357" spans="1:6" x14ac:dyDescent="0.25">
      <c r="A4357" t="s">
        <v>4209</v>
      </c>
      <c r="B4357" t="s">
        <v>156</v>
      </c>
      <c r="C4357" t="s">
        <v>52</v>
      </c>
      <c r="D4357" t="str">
        <f>HYPERLINK("http://service.sap.com/sap/support/notes/1737962","1737962")</f>
        <v>1737962</v>
      </c>
      <c r="E4357">
        <v>1</v>
      </c>
      <c r="F4357" t="s">
        <v>4818</v>
      </c>
    </row>
    <row r="4358" spans="1:6" x14ac:dyDescent="0.25">
      <c r="A4358" t="s">
        <v>4209</v>
      </c>
      <c r="B4358" t="s">
        <v>158</v>
      </c>
      <c r="C4358" t="s">
        <v>54</v>
      </c>
      <c r="D4358" t="str">
        <f>HYPERLINK("http://service.sap.com/sap/support/notes/1731290","1731290")</f>
        <v>1731290</v>
      </c>
      <c r="E4358">
        <v>2</v>
      </c>
      <c r="F4358" t="s">
        <v>4819</v>
      </c>
    </row>
    <row r="4359" spans="1:6" x14ac:dyDescent="0.25">
      <c r="A4359" t="s">
        <v>4209</v>
      </c>
      <c r="B4359" t="s">
        <v>158</v>
      </c>
      <c r="C4359" t="s">
        <v>54</v>
      </c>
      <c r="D4359" t="str">
        <f>HYPERLINK("http://service.sap.com/sap/support/notes/1731647","1731647")</f>
        <v>1731647</v>
      </c>
      <c r="E4359">
        <v>3</v>
      </c>
      <c r="F4359" t="s">
        <v>4820</v>
      </c>
    </row>
    <row r="4360" spans="1:6" x14ac:dyDescent="0.25">
      <c r="A4360" t="s">
        <v>4209</v>
      </c>
      <c r="B4360" t="s">
        <v>158</v>
      </c>
      <c r="C4360" t="s">
        <v>54</v>
      </c>
      <c r="D4360" t="str">
        <f>HYPERLINK("http://service.sap.com/sap/support/notes/1731649","1731649")</f>
        <v>1731649</v>
      </c>
      <c r="E4360">
        <v>2</v>
      </c>
      <c r="F4360" t="s">
        <v>4821</v>
      </c>
    </row>
    <row r="4361" spans="1:6" x14ac:dyDescent="0.25">
      <c r="A4361" t="s">
        <v>4209</v>
      </c>
      <c r="B4361" t="s">
        <v>158</v>
      </c>
      <c r="C4361" t="s">
        <v>54</v>
      </c>
      <c r="D4361" t="str">
        <f>HYPERLINK("http://service.sap.com/sap/support/notes/1739076","1739076")</f>
        <v>1739076</v>
      </c>
      <c r="E4361">
        <v>3</v>
      </c>
      <c r="F4361" t="s">
        <v>4822</v>
      </c>
    </row>
    <row r="4362" spans="1:6" x14ac:dyDescent="0.25">
      <c r="A4362" t="s">
        <v>4209</v>
      </c>
      <c r="B4362" t="s">
        <v>158</v>
      </c>
      <c r="C4362" t="s">
        <v>54</v>
      </c>
      <c r="D4362" t="str">
        <f>HYPERLINK("http://service.sap.com/sap/support/notes/1740492","1740492")</f>
        <v>1740492</v>
      </c>
      <c r="E4362">
        <v>1</v>
      </c>
      <c r="F4362" t="s">
        <v>4823</v>
      </c>
    </row>
    <row r="4363" spans="1:6" x14ac:dyDescent="0.25">
      <c r="A4363" t="s">
        <v>4209</v>
      </c>
      <c r="B4363" t="s">
        <v>163</v>
      </c>
      <c r="C4363" t="s">
        <v>56</v>
      </c>
      <c r="D4363" t="str">
        <f>HYPERLINK("http://service.sap.com/sap/support/notes/1683400","1683400")</f>
        <v>1683400</v>
      </c>
      <c r="E4363">
        <v>2</v>
      </c>
      <c r="F4363" t="s">
        <v>4824</v>
      </c>
    </row>
    <row r="4364" spans="1:6" x14ac:dyDescent="0.25">
      <c r="A4364" t="s">
        <v>4209</v>
      </c>
      <c r="B4364" t="s">
        <v>163</v>
      </c>
      <c r="C4364" t="s">
        <v>56</v>
      </c>
      <c r="D4364" t="str">
        <f>HYPERLINK("http://service.sap.com/sap/support/notes/1725362","1725362")</f>
        <v>1725362</v>
      </c>
      <c r="E4364">
        <v>1</v>
      </c>
      <c r="F4364" t="s">
        <v>4825</v>
      </c>
    </row>
    <row r="4365" spans="1:6" x14ac:dyDescent="0.25">
      <c r="A4365" t="s">
        <v>4209</v>
      </c>
      <c r="B4365" t="s">
        <v>163</v>
      </c>
      <c r="C4365" t="s">
        <v>56</v>
      </c>
      <c r="D4365" t="str">
        <f>HYPERLINK("http://service.sap.com/sap/support/notes/1727643","1727643")</f>
        <v>1727643</v>
      </c>
      <c r="E4365">
        <v>1</v>
      </c>
      <c r="F4365" t="s">
        <v>4826</v>
      </c>
    </row>
    <row r="4366" spans="1:6" x14ac:dyDescent="0.25">
      <c r="A4366" t="s">
        <v>4209</v>
      </c>
      <c r="B4366" t="s">
        <v>163</v>
      </c>
      <c r="C4366" t="s">
        <v>56</v>
      </c>
      <c r="D4366" t="str">
        <f>HYPERLINK("http://service.sap.com/sap/support/notes/1734201","1734201")</f>
        <v>1734201</v>
      </c>
      <c r="E4366">
        <v>1</v>
      </c>
      <c r="F4366" t="s">
        <v>4827</v>
      </c>
    </row>
    <row r="4367" spans="1:6" x14ac:dyDescent="0.25">
      <c r="A4367" t="s">
        <v>4209</v>
      </c>
      <c r="B4367" t="s">
        <v>163</v>
      </c>
      <c r="C4367" t="s">
        <v>56</v>
      </c>
      <c r="D4367" t="str">
        <f>HYPERLINK("http://service.sap.com/sap/support/notes/1739028","1739028")</f>
        <v>1739028</v>
      </c>
      <c r="E4367">
        <v>2</v>
      </c>
      <c r="F4367" t="s">
        <v>4828</v>
      </c>
    </row>
    <row r="4368" spans="1:6" x14ac:dyDescent="0.25">
      <c r="A4368" t="s">
        <v>4209</v>
      </c>
      <c r="B4368" t="s">
        <v>164</v>
      </c>
      <c r="C4368" t="s">
        <v>165</v>
      </c>
      <c r="D4368" t="str">
        <f>HYPERLINK("http://service.sap.com/sap/support/notes/1699480","1699480")</f>
        <v>1699480</v>
      </c>
      <c r="E4368">
        <v>1</v>
      </c>
      <c r="F4368" t="s">
        <v>4829</v>
      </c>
    </row>
    <row r="4369" spans="1:6" x14ac:dyDescent="0.25">
      <c r="A4369" t="s">
        <v>4209</v>
      </c>
      <c r="B4369" t="s">
        <v>164</v>
      </c>
      <c r="C4369" t="s">
        <v>165</v>
      </c>
      <c r="D4369" t="str">
        <f>HYPERLINK("http://service.sap.com/sap/support/notes/1715610","1715610")</f>
        <v>1715610</v>
      </c>
      <c r="E4369">
        <v>4</v>
      </c>
      <c r="F4369" t="s">
        <v>4830</v>
      </c>
    </row>
    <row r="4370" spans="1:6" x14ac:dyDescent="0.25">
      <c r="A4370" t="s">
        <v>4209</v>
      </c>
      <c r="B4370" t="s">
        <v>164</v>
      </c>
      <c r="C4370" t="s">
        <v>165</v>
      </c>
      <c r="D4370" t="str">
        <f>HYPERLINK("http://service.sap.com/sap/support/notes/1733002","1733002")</f>
        <v>1733002</v>
      </c>
      <c r="E4370">
        <v>1</v>
      </c>
      <c r="F4370" t="s">
        <v>4831</v>
      </c>
    </row>
    <row r="4371" spans="1:6" x14ac:dyDescent="0.25">
      <c r="A4371" t="s">
        <v>4209</v>
      </c>
      <c r="B4371" t="s">
        <v>164</v>
      </c>
      <c r="C4371" t="s">
        <v>165</v>
      </c>
      <c r="D4371" t="str">
        <f>HYPERLINK("http://service.sap.com/sap/support/notes/1733115","1733115")</f>
        <v>1733115</v>
      </c>
      <c r="E4371">
        <v>1</v>
      </c>
      <c r="F4371" t="s">
        <v>4832</v>
      </c>
    </row>
    <row r="4372" spans="1:6" x14ac:dyDescent="0.25">
      <c r="A4372" t="s">
        <v>4209</v>
      </c>
      <c r="B4372" t="s">
        <v>164</v>
      </c>
      <c r="C4372" t="s">
        <v>165</v>
      </c>
      <c r="D4372" t="str">
        <f>HYPERLINK("http://service.sap.com/sap/support/notes/1733492","1733492")</f>
        <v>1733492</v>
      </c>
      <c r="E4372">
        <v>1</v>
      </c>
      <c r="F4372" t="s">
        <v>4833</v>
      </c>
    </row>
    <row r="4373" spans="1:6" x14ac:dyDescent="0.25">
      <c r="A4373" t="s">
        <v>4209</v>
      </c>
      <c r="B4373" t="s">
        <v>164</v>
      </c>
      <c r="C4373" t="s">
        <v>165</v>
      </c>
      <c r="D4373" t="str">
        <f>HYPERLINK("http://service.sap.com/sap/support/notes/1734032","1734032")</f>
        <v>1734032</v>
      </c>
      <c r="E4373">
        <v>3</v>
      </c>
      <c r="F4373" t="s">
        <v>4834</v>
      </c>
    </row>
    <row r="4374" spans="1:6" x14ac:dyDescent="0.25">
      <c r="A4374" t="s">
        <v>4209</v>
      </c>
      <c r="B4374" t="s">
        <v>164</v>
      </c>
      <c r="C4374" t="s">
        <v>165</v>
      </c>
      <c r="D4374" t="str">
        <f>HYPERLINK("http://service.sap.com/sap/support/notes/1743535","1743535")</f>
        <v>1743535</v>
      </c>
      <c r="E4374">
        <v>1</v>
      </c>
      <c r="F4374" t="s">
        <v>4835</v>
      </c>
    </row>
    <row r="4375" spans="1:6" x14ac:dyDescent="0.25">
      <c r="A4375" t="s">
        <v>4209</v>
      </c>
      <c r="B4375" t="s">
        <v>166</v>
      </c>
      <c r="C4375" t="s">
        <v>167</v>
      </c>
      <c r="D4375" t="str">
        <f>HYPERLINK("http://service.sap.com/sap/support/notes/1722731","1722731")</f>
        <v>1722731</v>
      </c>
      <c r="E4375">
        <v>2</v>
      </c>
      <c r="F4375" t="s">
        <v>4836</v>
      </c>
    </row>
    <row r="4376" spans="1:6" x14ac:dyDescent="0.25">
      <c r="A4376" t="s">
        <v>4209</v>
      </c>
      <c r="B4376" t="s">
        <v>166</v>
      </c>
      <c r="C4376" t="s">
        <v>167</v>
      </c>
      <c r="D4376" t="str">
        <f>HYPERLINK("http://service.sap.com/sap/support/notes/1724882","1724882")</f>
        <v>1724882</v>
      </c>
      <c r="E4376">
        <v>8</v>
      </c>
      <c r="F4376" t="s">
        <v>4837</v>
      </c>
    </row>
    <row r="4377" spans="1:6" x14ac:dyDescent="0.25">
      <c r="A4377" t="s">
        <v>4209</v>
      </c>
      <c r="B4377" t="s">
        <v>327</v>
      </c>
      <c r="C4377" t="s">
        <v>399</v>
      </c>
      <c r="D4377" t="str">
        <f>HYPERLINK("http://service.sap.com/sap/support/notes/1693983","1693983")</f>
        <v>1693983</v>
      </c>
      <c r="E4377">
        <v>3</v>
      </c>
      <c r="F4377" t="s">
        <v>4838</v>
      </c>
    </row>
    <row r="4378" spans="1:6" x14ac:dyDescent="0.25">
      <c r="A4378" t="s">
        <v>4209</v>
      </c>
      <c r="B4378" t="s">
        <v>327</v>
      </c>
      <c r="C4378" t="s">
        <v>399</v>
      </c>
      <c r="D4378" t="str">
        <f>HYPERLINK("http://service.sap.com/sap/support/notes/1730417","1730417")</f>
        <v>1730417</v>
      </c>
      <c r="E4378">
        <v>3</v>
      </c>
      <c r="F4378" t="s">
        <v>4839</v>
      </c>
    </row>
    <row r="4379" spans="1:6" x14ac:dyDescent="0.25">
      <c r="A4379" t="s">
        <v>4209</v>
      </c>
      <c r="B4379" t="s">
        <v>168</v>
      </c>
      <c r="C4379" t="s">
        <v>169</v>
      </c>
      <c r="D4379" t="str">
        <f>HYPERLINK("http://service.sap.com/sap/support/notes/1681907","1681907")</f>
        <v>1681907</v>
      </c>
      <c r="E4379">
        <v>2</v>
      </c>
      <c r="F4379" t="s">
        <v>4840</v>
      </c>
    </row>
    <row r="4380" spans="1:6" x14ac:dyDescent="0.25">
      <c r="A4380" t="s">
        <v>4209</v>
      </c>
      <c r="B4380" t="s">
        <v>168</v>
      </c>
      <c r="C4380" t="s">
        <v>169</v>
      </c>
      <c r="D4380" t="str">
        <f>HYPERLINK("http://service.sap.com/sap/support/notes/1722640","1722640")</f>
        <v>1722640</v>
      </c>
      <c r="E4380">
        <v>1</v>
      </c>
      <c r="F4380" t="s">
        <v>4841</v>
      </c>
    </row>
    <row r="4381" spans="1:6" x14ac:dyDescent="0.25">
      <c r="A4381" t="s">
        <v>4209</v>
      </c>
      <c r="B4381" t="s">
        <v>168</v>
      </c>
      <c r="C4381" t="s">
        <v>169</v>
      </c>
      <c r="D4381" t="str">
        <f>HYPERLINK("http://service.sap.com/sap/support/notes/1723943","1723943")</f>
        <v>1723943</v>
      </c>
      <c r="E4381">
        <v>1</v>
      </c>
      <c r="F4381" t="s">
        <v>4842</v>
      </c>
    </row>
    <row r="4382" spans="1:6" x14ac:dyDescent="0.25">
      <c r="A4382" t="s">
        <v>4209</v>
      </c>
      <c r="B4382" t="s">
        <v>168</v>
      </c>
      <c r="C4382" t="s">
        <v>169</v>
      </c>
      <c r="D4382" t="str">
        <f>HYPERLINK("http://service.sap.com/sap/support/notes/1735874","1735874")</f>
        <v>1735874</v>
      </c>
      <c r="E4382">
        <v>1</v>
      </c>
      <c r="F4382" t="s">
        <v>4843</v>
      </c>
    </row>
    <row r="4383" spans="1:6" x14ac:dyDescent="0.25">
      <c r="A4383" t="s">
        <v>4209</v>
      </c>
      <c r="B4383" t="s">
        <v>168</v>
      </c>
      <c r="C4383" t="s">
        <v>169</v>
      </c>
      <c r="D4383" t="str">
        <f>HYPERLINK("http://service.sap.com/sap/support/notes/1741664","1741664")</f>
        <v>1741664</v>
      </c>
      <c r="E4383">
        <v>1</v>
      </c>
      <c r="F4383" t="s">
        <v>4844</v>
      </c>
    </row>
    <row r="4384" spans="1:6" x14ac:dyDescent="0.25">
      <c r="A4384" t="s">
        <v>4209</v>
      </c>
      <c r="B4384" t="s">
        <v>171</v>
      </c>
      <c r="C4384" t="s">
        <v>172</v>
      </c>
      <c r="D4384" t="str">
        <f>HYPERLINK("http://service.sap.com/sap/support/notes/1710124","1710124")</f>
        <v>1710124</v>
      </c>
      <c r="E4384">
        <v>1</v>
      </c>
      <c r="F4384" t="s">
        <v>4845</v>
      </c>
    </row>
    <row r="4385" spans="1:6" x14ac:dyDescent="0.25">
      <c r="A4385" t="s">
        <v>4209</v>
      </c>
      <c r="B4385" t="s">
        <v>171</v>
      </c>
      <c r="C4385" t="s">
        <v>172</v>
      </c>
      <c r="D4385" t="str">
        <f>HYPERLINK("http://service.sap.com/sap/support/notes/1724734","1724734")</f>
        <v>1724734</v>
      </c>
      <c r="E4385">
        <v>1</v>
      </c>
      <c r="F4385" t="s">
        <v>4846</v>
      </c>
    </row>
    <row r="4386" spans="1:6" x14ac:dyDescent="0.25">
      <c r="A4386" t="s">
        <v>4209</v>
      </c>
      <c r="B4386" t="s">
        <v>171</v>
      </c>
      <c r="C4386" t="s">
        <v>172</v>
      </c>
      <c r="D4386" t="str">
        <f>HYPERLINK("http://service.sap.com/sap/support/notes/1727830","1727830")</f>
        <v>1727830</v>
      </c>
      <c r="E4386">
        <v>3</v>
      </c>
      <c r="F4386" t="s">
        <v>4847</v>
      </c>
    </row>
    <row r="4387" spans="1:6" x14ac:dyDescent="0.25">
      <c r="A4387" t="s">
        <v>4209</v>
      </c>
      <c r="B4387" t="s">
        <v>171</v>
      </c>
      <c r="C4387" t="s">
        <v>172</v>
      </c>
      <c r="D4387" t="str">
        <f>HYPERLINK("http://service.sap.com/sap/support/notes/1727861","1727861")</f>
        <v>1727861</v>
      </c>
      <c r="E4387">
        <v>2</v>
      </c>
      <c r="F4387" t="s">
        <v>4848</v>
      </c>
    </row>
    <row r="4388" spans="1:6" x14ac:dyDescent="0.25">
      <c r="A4388" t="s">
        <v>4209</v>
      </c>
      <c r="B4388" t="s">
        <v>171</v>
      </c>
      <c r="C4388" t="s">
        <v>172</v>
      </c>
      <c r="D4388" t="str">
        <f>HYPERLINK("http://service.sap.com/sap/support/notes/1735640","1735640")</f>
        <v>1735640</v>
      </c>
      <c r="E4388">
        <v>2</v>
      </c>
      <c r="F4388" t="s">
        <v>4849</v>
      </c>
    </row>
    <row r="4389" spans="1:6" x14ac:dyDescent="0.25">
      <c r="A4389" t="s">
        <v>4209</v>
      </c>
      <c r="B4389" t="s">
        <v>173</v>
      </c>
      <c r="C4389" t="s">
        <v>174</v>
      </c>
      <c r="D4389" t="str">
        <f>HYPERLINK("http://service.sap.com/sap/support/notes/1670614","1670614")</f>
        <v>1670614</v>
      </c>
      <c r="E4389">
        <v>1</v>
      </c>
      <c r="F4389" t="s">
        <v>4850</v>
      </c>
    </row>
    <row r="4390" spans="1:6" x14ac:dyDescent="0.25">
      <c r="A4390" t="s">
        <v>4209</v>
      </c>
      <c r="B4390" t="s">
        <v>173</v>
      </c>
      <c r="C4390" t="s">
        <v>174</v>
      </c>
      <c r="D4390" t="str">
        <f>HYPERLINK("http://service.sap.com/sap/support/notes/1736866","1736866")</f>
        <v>1736866</v>
      </c>
      <c r="E4390">
        <v>1</v>
      </c>
      <c r="F4390" t="s">
        <v>4851</v>
      </c>
    </row>
    <row r="4391" spans="1:6" x14ac:dyDescent="0.25">
      <c r="A4391" t="s">
        <v>4209</v>
      </c>
      <c r="B4391" t="s">
        <v>175</v>
      </c>
      <c r="C4391" t="s">
        <v>176</v>
      </c>
      <c r="D4391" t="str">
        <f>HYPERLINK("http://service.sap.com/sap/support/notes/1692746","1692746")</f>
        <v>1692746</v>
      </c>
      <c r="E4391">
        <v>2</v>
      </c>
      <c r="F4391" t="s">
        <v>4852</v>
      </c>
    </row>
    <row r="4392" spans="1:6" x14ac:dyDescent="0.25">
      <c r="A4392" t="s">
        <v>4209</v>
      </c>
      <c r="B4392" t="s">
        <v>175</v>
      </c>
      <c r="C4392" t="s">
        <v>176</v>
      </c>
      <c r="D4392" t="str">
        <f>HYPERLINK("http://service.sap.com/sap/support/notes/1699691","1699691")</f>
        <v>1699691</v>
      </c>
      <c r="E4392">
        <v>3</v>
      </c>
      <c r="F4392" t="s">
        <v>4853</v>
      </c>
    </row>
    <row r="4393" spans="1:6" x14ac:dyDescent="0.25">
      <c r="A4393" t="s">
        <v>4209</v>
      </c>
      <c r="B4393" t="s">
        <v>175</v>
      </c>
      <c r="C4393" t="s">
        <v>176</v>
      </c>
      <c r="D4393" t="str">
        <f>HYPERLINK("http://service.sap.com/sap/support/notes/1714289","1714289")</f>
        <v>1714289</v>
      </c>
      <c r="E4393">
        <v>10</v>
      </c>
      <c r="F4393" t="s">
        <v>4854</v>
      </c>
    </row>
    <row r="4394" spans="1:6" x14ac:dyDescent="0.25">
      <c r="A4394" t="s">
        <v>4209</v>
      </c>
      <c r="B4394" t="s">
        <v>175</v>
      </c>
      <c r="C4394" t="s">
        <v>176</v>
      </c>
      <c r="D4394" t="str">
        <f>HYPERLINK("http://service.sap.com/sap/support/notes/1733866","1733866")</f>
        <v>1733866</v>
      </c>
      <c r="E4394">
        <v>2</v>
      </c>
      <c r="F4394" t="s">
        <v>4855</v>
      </c>
    </row>
    <row r="4395" spans="1:6" x14ac:dyDescent="0.25">
      <c r="A4395" t="s">
        <v>4209</v>
      </c>
      <c r="B4395" t="s">
        <v>177</v>
      </c>
      <c r="C4395" t="s">
        <v>178</v>
      </c>
      <c r="D4395" t="str">
        <f>HYPERLINK("http://service.sap.com/sap/support/notes/1724721","1724721")</f>
        <v>1724721</v>
      </c>
      <c r="E4395">
        <v>4</v>
      </c>
      <c r="F4395" t="s">
        <v>4856</v>
      </c>
    </row>
    <row r="4396" spans="1:6" x14ac:dyDescent="0.25">
      <c r="A4396" t="s">
        <v>4209</v>
      </c>
      <c r="B4396" t="s">
        <v>177</v>
      </c>
      <c r="C4396" t="s">
        <v>178</v>
      </c>
      <c r="D4396" t="str">
        <f>HYPERLINK("http://service.sap.com/sap/support/notes/1725763","1725763")</f>
        <v>1725763</v>
      </c>
      <c r="E4396">
        <v>4</v>
      </c>
      <c r="F4396" t="s">
        <v>4857</v>
      </c>
    </row>
    <row r="4397" spans="1:6" x14ac:dyDescent="0.25">
      <c r="A4397" t="s">
        <v>4209</v>
      </c>
      <c r="B4397" t="s">
        <v>177</v>
      </c>
      <c r="C4397" t="s">
        <v>178</v>
      </c>
      <c r="D4397" t="str">
        <f>HYPERLINK("http://service.sap.com/sap/support/notes/1735035","1735035")</f>
        <v>1735035</v>
      </c>
      <c r="E4397">
        <v>2</v>
      </c>
      <c r="F4397" t="s">
        <v>4858</v>
      </c>
    </row>
    <row r="4398" spans="1:6" x14ac:dyDescent="0.25">
      <c r="A4398" t="s">
        <v>4209</v>
      </c>
      <c r="B4398" t="s">
        <v>177</v>
      </c>
      <c r="C4398" t="s">
        <v>178</v>
      </c>
      <c r="D4398" t="str">
        <f>HYPERLINK("http://service.sap.com/sap/support/notes/1738747","1738747")</f>
        <v>1738747</v>
      </c>
      <c r="E4398">
        <v>6</v>
      </c>
      <c r="F4398" t="s">
        <v>4859</v>
      </c>
    </row>
    <row r="4399" spans="1:6" x14ac:dyDescent="0.25">
      <c r="A4399" t="s">
        <v>4209</v>
      </c>
      <c r="B4399" t="s">
        <v>177</v>
      </c>
      <c r="C4399" t="s">
        <v>178</v>
      </c>
      <c r="D4399" t="str">
        <f>HYPERLINK("http://service.sap.com/sap/support/notes/1740486","1740486")</f>
        <v>1740486</v>
      </c>
      <c r="E4399">
        <v>6</v>
      </c>
      <c r="F4399" t="s">
        <v>4860</v>
      </c>
    </row>
    <row r="4400" spans="1:6" x14ac:dyDescent="0.25">
      <c r="A4400" t="s">
        <v>4209</v>
      </c>
      <c r="B4400" t="s">
        <v>177</v>
      </c>
      <c r="C4400" t="s">
        <v>178</v>
      </c>
      <c r="D4400" t="str">
        <f>HYPERLINK("http://service.sap.com/sap/support/notes/1741869","1741869")</f>
        <v>1741869</v>
      </c>
      <c r="E4400">
        <v>3</v>
      </c>
      <c r="F4400" t="s">
        <v>4861</v>
      </c>
    </row>
    <row r="4401" spans="1:6" x14ac:dyDescent="0.25">
      <c r="A4401" t="s">
        <v>4209</v>
      </c>
      <c r="B4401" t="s">
        <v>179</v>
      </c>
      <c r="C4401" t="s">
        <v>180</v>
      </c>
      <c r="D4401" t="str">
        <f>HYPERLINK("http://service.sap.com/sap/support/notes/1691551","1691551")</f>
        <v>1691551</v>
      </c>
      <c r="E4401">
        <v>2</v>
      </c>
      <c r="F4401" t="s">
        <v>3183</v>
      </c>
    </row>
    <row r="4402" spans="1:6" x14ac:dyDescent="0.25">
      <c r="A4402" t="s">
        <v>4209</v>
      </c>
      <c r="B4402" t="s">
        <v>179</v>
      </c>
      <c r="C4402" t="s">
        <v>180</v>
      </c>
      <c r="D4402" t="str">
        <f>HYPERLINK("http://service.sap.com/sap/support/notes/1723584","1723584")</f>
        <v>1723584</v>
      </c>
      <c r="E4402">
        <v>4</v>
      </c>
      <c r="F4402" t="s">
        <v>4483</v>
      </c>
    </row>
    <row r="4403" spans="1:6" x14ac:dyDescent="0.25">
      <c r="A4403" t="s">
        <v>4209</v>
      </c>
      <c r="B4403" t="s">
        <v>179</v>
      </c>
      <c r="C4403" t="s">
        <v>180</v>
      </c>
      <c r="D4403" t="str">
        <f>HYPERLINK("http://service.sap.com/sap/support/notes/1731129","1731129")</f>
        <v>1731129</v>
      </c>
      <c r="E4403">
        <v>4</v>
      </c>
      <c r="F4403" t="s">
        <v>4862</v>
      </c>
    </row>
    <row r="4404" spans="1:6" x14ac:dyDescent="0.25">
      <c r="A4404" t="s">
        <v>4209</v>
      </c>
      <c r="B4404" t="s">
        <v>179</v>
      </c>
      <c r="C4404" t="s">
        <v>180</v>
      </c>
      <c r="D4404" t="str">
        <f>HYPERLINK("http://service.sap.com/sap/support/notes/1731796","1731796")</f>
        <v>1731796</v>
      </c>
      <c r="E4404">
        <v>2</v>
      </c>
      <c r="F4404" t="s">
        <v>4863</v>
      </c>
    </row>
    <row r="4405" spans="1:6" x14ac:dyDescent="0.25">
      <c r="A4405" t="s">
        <v>4209</v>
      </c>
      <c r="B4405" t="s">
        <v>179</v>
      </c>
      <c r="C4405" t="s">
        <v>180</v>
      </c>
      <c r="D4405" t="str">
        <f>HYPERLINK("http://service.sap.com/sap/support/notes/1732035","1732035")</f>
        <v>1732035</v>
      </c>
      <c r="E4405">
        <v>1</v>
      </c>
      <c r="F4405" t="s">
        <v>4864</v>
      </c>
    </row>
    <row r="4406" spans="1:6" x14ac:dyDescent="0.25">
      <c r="A4406" t="s">
        <v>4209</v>
      </c>
      <c r="B4406" t="s">
        <v>179</v>
      </c>
      <c r="C4406" t="s">
        <v>180</v>
      </c>
      <c r="D4406" t="str">
        <f>HYPERLINK("http://service.sap.com/sap/support/notes/1734820","1734820")</f>
        <v>1734820</v>
      </c>
      <c r="E4406">
        <v>2</v>
      </c>
      <c r="F4406" t="s">
        <v>4865</v>
      </c>
    </row>
    <row r="4407" spans="1:6" x14ac:dyDescent="0.25">
      <c r="A4407" t="s">
        <v>4209</v>
      </c>
      <c r="B4407" t="s">
        <v>179</v>
      </c>
      <c r="C4407" t="s">
        <v>180</v>
      </c>
      <c r="D4407" t="str">
        <f>HYPERLINK("http://service.sap.com/sap/support/notes/1737035","1737035")</f>
        <v>1737035</v>
      </c>
      <c r="E4407">
        <v>1</v>
      </c>
      <c r="F4407" t="s">
        <v>4866</v>
      </c>
    </row>
    <row r="4408" spans="1:6" x14ac:dyDescent="0.25">
      <c r="A4408" t="s">
        <v>4209</v>
      </c>
      <c r="B4408" t="s">
        <v>179</v>
      </c>
      <c r="C4408" t="s">
        <v>180</v>
      </c>
      <c r="D4408" t="str">
        <f>HYPERLINK("http://service.sap.com/sap/support/notes/1737123","1737123")</f>
        <v>1737123</v>
      </c>
      <c r="E4408">
        <v>3</v>
      </c>
      <c r="F4408" t="s">
        <v>4867</v>
      </c>
    </row>
    <row r="4409" spans="1:6" x14ac:dyDescent="0.25">
      <c r="A4409" t="s">
        <v>4209</v>
      </c>
      <c r="B4409" t="s">
        <v>179</v>
      </c>
      <c r="C4409" t="s">
        <v>180</v>
      </c>
      <c r="D4409" t="str">
        <f>HYPERLINK("http://service.sap.com/sap/support/notes/1737592","1737592")</f>
        <v>1737592</v>
      </c>
      <c r="E4409">
        <v>1</v>
      </c>
      <c r="F4409" t="s">
        <v>4868</v>
      </c>
    </row>
    <row r="4410" spans="1:6" x14ac:dyDescent="0.25">
      <c r="A4410" t="s">
        <v>4209</v>
      </c>
      <c r="B4410" t="s">
        <v>179</v>
      </c>
      <c r="C4410" t="s">
        <v>180</v>
      </c>
      <c r="D4410" t="str">
        <f>HYPERLINK("http://service.sap.com/sap/support/notes/1737726","1737726")</f>
        <v>1737726</v>
      </c>
      <c r="E4410">
        <v>5</v>
      </c>
      <c r="F4410" t="s">
        <v>4869</v>
      </c>
    </row>
    <row r="4411" spans="1:6" x14ac:dyDescent="0.25">
      <c r="A4411" t="s">
        <v>4209</v>
      </c>
      <c r="B4411" t="s">
        <v>179</v>
      </c>
      <c r="C4411" t="s">
        <v>180</v>
      </c>
      <c r="D4411" t="str">
        <f>HYPERLINK("http://service.sap.com/sap/support/notes/1739644","1739644")</f>
        <v>1739644</v>
      </c>
      <c r="E4411">
        <v>1</v>
      </c>
      <c r="F4411" t="s">
        <v>4870</v>
      </c>
    </row>
    <row r="4412" spans="1:6" x14ac:dyDescent="0.25">
      <c r="A4412" t="s">
        <v>4209</v>
      </c>
      <c r="B4412" t="s">
        <v>181</v>
      </c>
      <c r="C4412" t="s">
        <v>182</v>
      </c>
      <c r="D4412" t="str">
        <f>HYPERLINK("http://service.sap.com/sap/support/notes/1528510","1528510")</f>
        <v>1528510</v>
      </c>
      <c r="E4412">
        <v>4</v>
      </c>
      <c r="F4412" t="s">
        <v>4871</v>
      </c>
    </row>
    <row r="4413" spans="1:6" x14ac:dyDescent="0.25">
      <c r="A4413" t="s">
        <v>4209</v>
      </c>
      <c r="B4413" t="s">
        <v>181</v>
      </c>
      <c r="C4413" t="s">
        <v>182</v>
      </c>
      <c r="D4413" t="str">
        <f>HYPERLINK("http://service.sap.com/sap/support/notes/1722074","1722074")</f>
        <v>1722074</v>
      </c>
      <c r="E4413">
        <v>3</v>
      </c>
      <c r="F4413" t="s">
        <v>4872</v>
      </c>
    </row>
    <row r="4414" spans="1:6" x14ac:dyDescent="0.25">
      <c r="A4414" t="s">
        <v>4209</v>
      </c>
      <c r="B4414" t="s">
        <v>181</v>
      </c>
      <c r="C4414" t="s">
        <v>182</v>
      </c>
      <c r="D4414" t="str">
        <f>HYPERLINK("http://service.sap.com/sap/support/notes/1723317","1723317")</f>
        <v>1723317</v>
      </c>
      <c r="E4414">
        <v>2</v>
      </c>
      <c r="F4414" t="s">
        <v>4873</v>
      </c>
    </row>
    <row r="4415" spans="1:6" x14ac:dyDescent="0.25">
      <c r="A4415" t="s">
        <v>4209</v>
      </c>
      <c r="B4415" t="s">
        <v>181</v>
      </c>
      <c r="C4415" t="s">
        <v>182</v>
      </c>
      <c r="D4415" t="str">
        <f>HYPERLINK("http://service.sap.com/sap/support/notes/1729741","1729741")</f>
        <v>1729741</v>
      </c>
      <c r="E4415">
        <v>1</v>
      </c>
      <c r="F4415" t="s">
        <v>4874</v>
      </c>
    </row>
    <row r="4416" spans="1:6" x14ac:dyDescent="0.25">
      <c r="A4416" t="s">
        <v>4209</v>
      </c>
      <c r="B4416" t="s">
        <v>181</v>
      </c>
      <c r="C4416" t="s">
        <v>182</v>
      </c>
      <c r="D4416" t="str">
        <f>HYPERLINK("http://service.sap.com/sap/support/notes/1730200","1730200")</f>
        <v>1730200</v>
      </c>
      <c r="E4416">
        <v>1</v>
      </c>
      <c r="F4416" t="s">
        <v>4875</v>
      </c>
    </row>
    <row r="4417" spans="1:6" x14ac:dyDescent="0.25">
      <c r="A4417" t="s">
        <v>4209</v>
      </c>
      <c r="B4417" t="s">
        <v>181</v>
      </c>
      <c r="C4417" t="s">
        <v>182</v>
      </c>
      <c r="D4417" t="str">
        <f>HYPERLINK("http://service.sap.com/sap/support/notes/1730437","1730437")</f>
        <v>1730437</v>
      </c>
      <c r="E4417">
        <v>1</v>
      </c>
      <c r="F4417" t="s">
        <v>4876</v>
      </c>
    </row>
    <row r="4418" spans="1:6" x14ac:dyDescent="0.25">
      <c r="A4418" t="s">
        <v>4209</v>
      </c>
      <c r="B4418" t="s">
        <v>181</v>
      </c>
      <c r="C4418" t="s">
        <v>182</v>
      </c>
      <c r="D4418" t="str">
        <f>HYPERLINK("http://service.sap.com/sap/support/notes/1736842","1736842")</f>
        <v>1736842</v>
      </c>
      <c r="E4418">
        <v>1</v>
      </c>
      <c r="F4418" t="s">
        <v>4877</v>
      </c>
    </row>
    <row r="4419" spans="1:6" x14ac:dyDescent="0.25">
      <c r="A4419" t="s">
        <v>4209</v>
      </c>
      <c r="B4419" t="s">
        <v>181</v>
      </c>
      <c r="C4419" t="s">
        <v>182</v>
      </c>
      <c r="D4419" t="str">
        <f>HYPERLINK("http://service.sap.com/sap/support/notes/1738362","1738362")</f>
        <v>1738362</v>
      </c>
      <c r="E4419">
        <v>1</v>
      </c>
      <c r="F4419" t="s">
        <v>4878</v>
      </c>
    </row>
    <row r="4420" spans="1:6" x14ac:dyDescent="0.25">
      <c r="A4420" t="s">
        <v>4209</v>
      </c>
      <c r="B4420" t="s">
        <v>181</v>
      </c>
      <c r="C4420" t="s">
        <v>182</v>
      </c>
      <c r="D4420" t="str">
        <f>HYPERLINK("http://service.sap.com/sap/support/notes/1738733","1738733")</f>
        <v>1738733</v>
      </c>
      <c r="E4420">
        <v>1</v>
      </c>
      <c r="F4420" t="s">
        <v>4879</v>
      </c>
    </row>
    <row r="4421" spans="1:6" x14ac:dyDescent="0.25">
      <c r="A4421" t="s">
        <v>4209</v>
      </c>
      <c r="B4421" t="s">
        <v>181</v>
      </c>
      <c r="C4421" t="s">
        <v>182</v>
      </c>
      <c r="D4421" t="str">
        <f>HYPERLINK("http://service.sap.com/sap/support/notes/1742501","1742501")</f>
        <v>1742501</v>
      </c>
      <c r="E4421">
        <v>1</v>
      </c>
      <c r="F4421" t="s">
        <v>4880</v>
      </c>
    </row>
    <row r="4422" spans="1:6" x14ac:dyDescent="0.25">
      <c r="A4422" t="s">
        <v>4209</v>
      </c>
      <c r="B4422" t="s">
        <v>185</v>
      </c>
      <c r="C4422" t="s">
        <v>186</v>
      </c>
      <c r="D4422" t="str">
        <f>HYPERLINK("http://service.sap.com/sap/support/notes/1663966","1663966")</f>
        <v>1663966</v>
      </c>
      <c r="E4422">
        <v>2</v>
      </c>
      <c r="F4422" t="s">
        <v>4881</v>
      </c>
    </row>
    <row r="4423" spans="1:6" x14ac:dyDescent="0.25">
      <c r="A4423" t="s">
        <v>4209</v>
      </c>
      <c r="B4423" t="s">
        <v>185</v>
      </c>
      <c r="C4423" t="s">
        <v>186</v>
      </c>
      <c r="D4423" t="str">
        <f>HYPERLINK("http://service.sap.com/sap/support/notes/1719045","1719045")</f>
        <v>1719045</v>
      </c>
      <c r="E4423">
        <v>3</v>
      </c>
      <c r="F4423" t="s">
        <v>4882</v>
      </c>
    </row>
    <row r="4424" spans="1:6" x14ac:dyDescent="0.25">
      <c r="A4424" t="s">
        <v>4209</v>
      </c>
      <c r="B4424" t="s">
        <v>185</v>
      </c>
      <c r="C4424" t="s">
        <v>186</v>
      </c>
      <c r="D4424" t="str">
        <f>HYPERLINK("http://service.sap.com/sap/support/notes/1725998","1725998")</f>
        <v>1725998</v>
      </c>
      <c r="E4424">
        <v>1</v>
      </c>
      <c r="F4424" t="s">
        <v>4883</v>
      </c>
    </row>
    <row r="4425" spans="1:6" x14ac:dyDescent="0.25">
      <c r="A4425" t="s">
        <v>4209</v>
      </c>
      <c r="B4425" t="s">
        <v>185</v>
      </c>
      <c r="C4425" t="s">
        <v>186</v>
      </c>
      <c r="D4425" t="str">
        <f>HYPERLINK("http://service.sap.com/sap/support/notes/1732448","1732448")</f>
        <v>1732448</v>
      </c>
      <c r="E4425">
        <v>1</v>
      </c>
      <c r="F4425" t="s">
        <v>4884</v>
      </c>
    </row>
    <row r="4426" spans="1:6" x14ac:dyDescent="0.25">
      <c r="A4426" t="s">
        <v>4209</v>
      </c>
      <c r="B4426" t="s">
        <v>185</v>
      </c>
      <c r="C4426" t="s">
        <v>186</v>
      </c>
      <c r="D4426" t="str">
        <f>HYPERLINK("http://service.sap.com/sap/support/notes/1734034","1734034")</f>
        <v>1734034</v>
      </c>
      <c r="E4426">
        <v>1</v>
      </c>
      <c r="F4426" t="s">
        <v>4885</v>
      </c>
    </row>
    <row r="4427" spans="1:6" x14ac:dyDescent="0.25">
      <c r="A4427" t="s">
        <v>4209</v>
      </c>
      <c r="B4427" t="s">
        <v>185</v>
      </c>
      <c r="C4427" t="s">
        <v>186</v>
      </c>
      <c r="D4427" t="str">
        <f>HYPERLINK("http://service.sap.com/sap/support/notes/1739145","1739145")</f>
        <v>1739145</v>
      </c>
      <c r="E4427">
        <v>1</v>
      </c>
      <c r="F4427" t="s">
        <v>4886</v>
      </c>
    </row>
    <row r="4428" spans="1:6" x14ac:dyDescent="0.25">
      <c r="A4428" t="s">
        <v>4209</v>
      </c>
      <c r="B4428" t="s">
        <v>187</v>
      </c>
      <c r="C4428" t="s">
        <v>82</v>
      </c>
      <c r="D4428" t="str">
        <f>HYPERLINK("http://service.sap.com/sap/support/notes/1744074","1744074")</f>
        <v>1744074</v>
      </c>
      <c r="E4428">
        <v>1</v>
      </c>
      <c r="F4428" t="s">
        <v>4887</v>
      </c>
    </row>
    <row r="4429" spans="1:6" x14ac:dyDescent="0.25">
      <c r="A4429" t="s">
        <v>4209</v>
      </c>
      <c r="B4429" t="s">
        <v>188</v>
      </c>
      <c r="C4429" t="s">
        <v>60</v>
      </c>
      <c r="D4429" t="str">
        <f>HYPERLINK("http://service.sap.com/sap/support/notes/1728505","1728505")</f>
        <v>1728505</v>
      </c>
      <c r="E4429">
        <v>1</v>
      </c>
      <c r="F4429" t="s">
        <v>4888</v>
      </c>
    </row>
    <row r="4430" spans="1:6" x14ac:dyDescent="0.25">
      <c r="A4430" t="s">
        <v>4209</v>
      </c>
      <c r="B4430" t="s">
        <v>188</v>
      </c>
      <c r="C4430" t="s">
        <v>60</v>
      </c>
      <c r="D4430" t="str">
        <f>HYPERLINK("http://service.sap.com/sap/support/notes/1738369","1738369")</f>
        <v>1738369</v>
      </c>
      <c r="E4430">
        <v>1</v>
      </c>
      <c r="F4430" t="s">
        <v>4889</v>
      </c>
    </row>
    <row r="4431" spans="1:6" x14ac:dyDescent="0.25">
      <c r="A4431" t="s">
        <v>4209</v>
      </c>
      <c r="B4431" t="s">
        <v>188</v>
      </c>
      <c r="C4431" t="s">
        <v>60</v>
      </c>
      <c r="D4431" t="str">
        <f>HYPERLINK("http://service.sap.com/sap/support/notes/1739487","1739487")</f>
        <v>1739487</v>
      </c>
      <c r="E4431">
        <v>1</v>
      </c>
      <c r="F4431" t="s">
        <v>4890</v>
      </c>
    </row>
    <row r="4432" spans="1:6" x14ac:dyDescent="0.25">
      <c r="A4432" t="s">
        <v>4209</v>
      </c>
      <c r="B4432" t="s">
        <v>189</v>
      </c>
      <c r="C4432" t="s">
        <v>190</v>
      </c>
      <c r="D4432" t="str">
        <f>HYPERLINK("http://service.sap.com/sap/support/notes/1665577","1665577")</f>
        <v>1665577</v>
      </c>
      <c r="E4432">
        <v>17</v>
      </c>
      <c r="F4432" t="s">
        <v>4891</v>
      </c>
    </row>
    <row r="4433" spans="1:6" x14ac:dyDescent="0.25">
      <c r="A4433" t="s">
        <v>4209</v>
      </c>
      <c r="B4433" t="s">
        <v>189</v>
      </c>
      <c r="C4433" t="s">
        <v>190</v>
      </c>
      <c r="D4433" t="str">
        <f>HYPERLINK("http://service.sap.com/sap/support/notes/1725340","1725340")</f>
        <v>1725340</v>
      </c>
      <c r="E4433">
        <v>2</v>
      </c>
      <c r="F4433" t="s">
        <v>4892</v>
      </c>
    </row>
    <row r="4434" spans="1:6" x14ac:dyDescent="0.25">
      <c r="A4434" t="s">
        <v>4209</v>
      </c>
      <c r="B4434" t="s">
        <v>191</v>
      </c>
      <c r="C4434" t="s">
        <v>62</v>
      </c>
      <c r="D4434" t="str">
        <f>HYPERLINK("http://service.sap.com/sap/support/notes/1558393","1558393")</f>
        <v>1558393</v>
      </c>
      <c r="E4434">
        <v>3</v>
      </c>
      <c r="F4434" t="s">
        <v>4893</v>
      </c>
    </row>
    <row r="4435" spans="1:6" x14ac:dyDescent="0.25">
      <c r="A4435" t="s">
        <v>4209</v>
      </c>
      <c r="B4435" t="s">
        <v>191</v>
      </c>
      <c r="C4435" t="s">
        <v>62</v>
      </c>
      <c r="D4435" t="str">
        <f>HYPERLINK("http://service.sap.com/sap/support/notes/1726800","1726800")</f>
        <v>1726800</v>
      </c>
      <c r="E4435">
        <v>1</v>
      </c>
      <c r="F4435" t="s">
        <v>4894</v>
      </c>
    </row>
    <row r="4436" spans="1:6" x14ac:dyDescent="0.25">
      <c r="A4436" t="s">
        <v>4209</v>
      </c>
      <c r="B4436" t="s">
        <v>332</v>
      </c>
      <c r="C4436" t="s">
        <v>333</v>
      </c>
      <c r="D4436" t="str">
        <f>HYPERLINK("http://service.sap.com/sap/support/notes/1724250","1724250")</f>
        <v>1724250</v>
      </c>
      <c r="E4436">
        <v>2</v>
      </c>
      <c r="F4436" t="s">
        <v>4895</v>
      </c>
    </row>
    <row r="4437" spans="1:6" x14ac:dyDescent="0.25">
      <c r="A4437" t="s">
        <v>4209</v>
      </c>
      <c r="B4437" t="s">
        <v>192</v>
      </c>
      <c r="C4437" t="s">
        <v>82</v>
      </c>
    </row>
    <row r="4438" spans="1:6" x14ac:dyDescent="0.25">
      <c r="A4438" t="s">
        <v>4209</v>
      </c>
      <c r="B4438" t="s">
        <v>193</v>
      </c>
      <c r="C4438" t="s">
        <v>194</v>
      </c>
      <c r="D4438" t="str">
        <f>HYPERLINK("http://service.sap.com/sap/support/notes/1670435","1670435")</f>
        <v>1670435</v>
      </c>
      <c r="E4438">
        <v>2</v>
      </c>
      <c r="F4438" t="s">
        <v>4896</v>
      </c>
    </row>
    <row r="4439" spans="1:6" x14ac:dyDescent="0.25">
      <c r="A4439" t="s">
        <v>4209</v>
      </c>
      <c r="B4439" t="s">
        <v>195</v>
      </c>
      <c r="C4439" t="s">
        <v>132</v>
      </c>
      <c r="D4439" t="str">
        <f>HYPERLINK("http://service.sap.com/sap/support/notes/1719339","1719339")</f>
        <v>1719339</v>
      </c>
      <c r="E4439">
        <v>3</v>
      </c>
      <c r="F4439" t="s">
        <v>4897</v>
      </c>
    </row>
    <row r="4440" spans="1:6" x14ac:dyDescent="0.25">
      <c r="A4440" t="s">
        <v>4209</v>
      </c>
      <c r="B4440" t="s">
        <v>195</v>
      </c>
      <c r="C4440" t="s">
        <v>132</v>
      </c>
      <c r="D4440" t="str">
        <f>HYPERLINK("http://service.sap.com/sap/support/notes/1733274","1733274")</f>
        <v>1733274</v>
      </c>
      <c r="E4440">
        <v>2</v>
      </c>
      <c r="F4440" t="s">
        <v>4898</v>
      </c>
    </row>
    <row r="4441" spans="1:6" x14ac:dyDescent="0.25">
      <c r="A4441" t="s">
        <v>4209</v>
      </c>
      <c r="B4441" t="s">
        <v>196</v>
      </c>
      <c r="C4441" t="s">
        <v>197</v>
      </c>
      <c r="D4441" t="str">
        <f>HYPERLINK("http://service.sap.com/sap/support/notes/1714315","1714315")</f>
        <v>1714315</v>
      </c>
      <c r="E4441">
        <v>2</v>
      </c>
      <c r="F4441" t="s">
        <v>4899</v>
      </c>
    </row>
    <row r="4442" spans="1:6" x14ac:dyDescent="0.25">
      <c r="A4442" t="s">
        <v>4209</v>
      </c>
      <c r="B4442" t="s">
        <v>196</v>
      </c>
      <c r="C4442" t="s">
        <v>197</v>
      </c>
      <c r="D4442" t="str">
        <f>HYPERLINK("http://service.sap.com/sap/support/notes/1728540","1728540")</f>
        <v>1728540</v>
      </c>
      <c r="E4442">
        <v>2</v>
      </c>
      <c r="F4442" t="s">
        <v>4900</v>
      </c>
    </row>
    <row r="4443" spans="1:6" x14ac:dyDescent="0.25">
      <c r="A4443" t="s">
        <v>4209</v>
      </c>
      <c r="B4443" t="s">
        <v>196</v>
      </c>
      <c r="C4443" t="s">
        <v>197</v>
      </c>
      <c r="D4443" t="str">
        <f>HYPERLINK("http://service.sap.com/sap/support/notes/1731559","1731559")</f>
        <v>1731559</v>
      </c>
      <c r="E4443">
        <v>1</v>
      </c>
      <c r="F4443" t="s">
        <v>4901</v>
      </c>
    </row>
    <row r="4444" spans="1:6" x14ac:dyDescent="0.25">
      <c r="A4444" t="s">
        <v>4209</v>
      </c>
      <c r="B4444" t="s">
        <v>196</v>
      </c>
      <c r="C4444" t="s">
        <v>197</v>
      </c>
      <c r="D4444" t="str">
        <f>HYPERLINK("http://service.sap.com/sap/support/notes/1733810","1733810")</f>
        <v>1733810</v>
      </c>
      <c r="E4444">
        <v>2</v>
      </c>
      <c r="F4444" t="s">
        <v>4902</v>
      </c>
    </row>
    <row r="4445" spans="1:6" x14ac:dyDescent="0.25">
      <c r="A4445" t="s">
        <v>4209</v>
      </c>
      <c r="B4445" t="s">
        <v>196</v>
      </c>
      <c r="C4445" t="s">
        <v>197</v>
      </c>
      <c r="D4445" t="str">
        <f>HYPERLINK("http://service.sap.com/sap/support/notes/1734460","1734460")</f>
        <v>1734460</v>
      </c>
      <c r="E4445">
        <v>2</v>
      </c>
      <c r="F4445" t="s">
        <v>4903</v>
      </c>
    </row>
    <row r="4446" spans="1:6" x14ac:dyDescent="0.25">
      <c r="A4446" t="s">
        <v>4209</v>
      </c>
      <c r="B4446" t="s">
        <v>196</v>
      </c>
      <c r="C4446" t="s">
        <v>197</v>
      </c>
      <c r="D4446" t="str">
        <f>HYPERLINK("http://service.sap.com/sap/support/notes/1737791","1737791")</f>
        <v>1737791</v>
      </c>
      <c r="E4446">
        <v>2</v>
      </c>
      <c r="F4446" t="s">
        <v>4904</v>
      </c>
    </row>
    <row r="4447" spans="1:6" x14ac:dyDescent="0.25">
      <c r="A4447" t="s">
        <v>4209</v>
      </c>
      <c r="B4447" t="s">
        <v>196</v>
      </c>
      <c r="C4447" t="s">
        <v>197</v>
      </c>
      <c r="D4447" t="str">
        <f>HYPERLINK("http://service.sap.com/sap/support/notes/1742990","1742990")</f>
        <v>1742990</v>
      </c>
      <c r="E4447">
        <v>3</v>
      </c>
      <c r="F4447" t="s">
        <v>4905</v>
      </c>
    </row>
    <row r="4448" spans="1:6" x14ac:dyDescent="0.25">
      <c r="A4448" t="s">
        <v>4209</v>
      </c>
      <c r="B4448" t="s">
        <v>198</v>
      </c>
      <c r="C4448" t="s">
        <v>199</v>
      </c>
      <c r="D4448" t="str">
        <f>HYPERLINK("http://service.sap.com/sap/support/notes/1705576","1705576")</f>
        <v>1705576</v>
      </c>
      <c r="E4448">
        <v>5</v>
      </c>
      <c r="F4448" t="s">
        <v>4906</v>
      </c>
    </row>
    <row r="4449" spans="1:6" s="2" customFormat="1" x14ac:dyDescent="0.25">
      <c r="A4449" s="2" t="s">
        <v>4209</v>
      </c>
      <c r="B4449" s="2" t="s">
        <v>198</v>
      </c>
      <c r="C4449" s="2" t="s">
        <v>199</v>
      </c>
      <c r="D4449" s="2" t="str">
        <f>HYPERLINK("http://service.sap.com/sap/support/notes/1736054","1736054")</f>
        <v>1736054</v>
      </c>
      <c r="E4449" s="2">
        <v>1</v>
      </c>
      <c r="F4449" s="2" t="s">
        <v>4907</v>
      </c>
    </row>
    <row r="4450" spans="1:6" x14ac:dyDescent="0.25">
      <c r="A4450" t="s">
        <v>4209</v>
      </c>
      <c r="B4450" t="s">
        <v>200</v>
      </c>
      <c r="C4450" t="s">
        <v>201</v>
      </c>
      <c r="D4450" t="str">
        <f>HYPERLINK("http://service.sap.com/sap/support/notes/1723649","1723649")</f>
        <v>1723649</v>
      </c>
      <c r="E4450">
        <v>2</v>
      </c>
      <c r="F4450" t="s">
        <v>4908</v>
      </c>
    </row>
    <row r="4451" spans="1:6" x14ac:dyDescent="0.25">
      <c r="A4451" t="s">
        <v>4209</v>
      </c>
      <c r="B4451" t="s">
        <v>200</v>
      </c>
      <c r="C4451" t="s">
        <v>201</v>
      </c>
      <c r="D4451" t="str">
        <f>HYPERLINK("http://service.sap.com/sap/support/notes/1728140","1728140")</f>
        <v>1728140</v>
      </c>
      <c r="E4451">
        <v>11</v>
      </c>
      <c r="F4451" t="s">
        <v>4909</v>
      </c>
    </row>
    <row r="4452" spans="1:6" x14ac:dyDescent="0.25">
      <c r="A4452" t="s">
        <v>4209</v>
      </c>
      <c r="B4452" t="s">
        <v>205</v>
      </c>
      <c r="C4452" t="s">
        <v>206</v>
      </c>
      <c r="D4452" t="str">
        <f>HYPERLINK("http://service.sap.com/sap/support/notes/1710082","1710082")</f>
        <v>1710082</v>
      </c>
      <c r="E4452">
        <v>1</v>
      </c>
      <c r="F4452" t="s">
        <v>4910</v>
      </c>
    </row>
    <row r="4453" spans="1:6" x14ac:dyDescent="0.25">
      <c r="A4453" t="s">
        <v>4209</v>
      </c>
      <c r="B4453" t="s">
        <v>205</v>
      </c>
      <c r="C4453" t="s">
        <v>206</v>
      </c>
      <c r="D4453" t="str">
        <f>HYPERLINK("http://service.sap.com/sap/support/notes/1727987","1727987")</f>
        <v>1727987</v>
      </c>
      <c r="E4453">
        <v>1</v>
      </c>
      <c r="F4453" t="s">
        <v>4911</v>
      </c>
    </row>
    <row r="4454" spans="1:6" x14ac:dyDescent="0.25">
      <c r="A4454" t="s">
        <v>4209</v>
      </c>
      <c r="B4454" t="s">
        <v>205</v>
      </c>
      <c r="C4454" t="s">
        <v>206</v>
      </c>
      <c r="D4454" t="str">
        <f>HYPERLINK("http://service.sap.com/sap/support/notes/1738913","1738913")</f>
        <v>1738913</v>
      </c>
      <c r="E4454">
        <v>1</v>
      </c>
      <c r="F4454" t="s">
        <v>400</v>
      </c>
    </row>
    <row r="4455" spans="1:6" x14ac:dyDescent="0.25">
      <c r="A4455" t="s">
        <v>4209</v>
      </c>
      <c r="B4455" t="s">
        <v>207</v>
      </c>
      <c r="C4455" t="s">
        <v>208</v>
      </c>
    </row>
    <row r="4456" spans="1:6" x14ac:dyDescent="0.25">
      <c r="A4456" t="s">
        <v>4209</v>
      </c>
      <c r="B4456" t="s">
        <v>389</v>
      </c>
      <c r="C4456" t="s">
        <v>390</v>
      </c>
    </row>
    <row r="4457" spans="1:6" x14ac:dyDescent="0.25">
      <c r="A4457" t="s">
        <v>4209</v>
      </c>
      <c r="B4457" t="s">
        <v>4912</v>
      </c>
      <c r="C4457" t="s">
        <v>4913</v>
      </c>
      <c r="D4457" t="str">
        <f>HYPERLINK("http://service.sap.com/sap/support/notes/1730869","1730869")</f>
        <v>1730869</v>
      </c>
      <c r="E4457">
        <v>2</v>
      </c>
      <c r="F4457" t="s">
        <v>4914</v>
      </c>
    </row>
    <row r="4458" spans="1:6" x14ac:dyDescent="0.25">
      <c r="A4458" t="s">
        <v>4915</v>
      </c>
      <c r="B4458" t="s">
        <v>212</v>
      </c>
      <c r="C4458" t="s">
        <v>361</v>
      </c>
    </row>
    <row r="4459" spans="1:6" x14ac:dyDescent="0.25">
      <c r="A4459" t="s">
        <v>4915</v>
      </c>
      <c r="B4459" t="s">
        <v>213</v>
      </c>
      <c r="C4459" t="s">
        <v>362</v>
      </c>
    </row>
    <row r="4460" spans="1:6" x14ac:dyDescent="0.25">
      <c r="A4460" t="s">
        <v>4915</v>
      </c>
      <c r="B4460" t="s">
        <v>214</v>
      </c>
      <c r="C4460" t="s">
        <v>363</v>
      </c>
      <c r="D4460" t="str">
        <f>HYPERLINK("http://service.sap.com/sap/support/notes/1732987","1732987")</f>
        <v>1732987</v>
      </c>
      <c r="E4460">
        <v>1</v>
      </c>
      <c r="F4460" t="s">
        <v>4510</v>
      </c>
    </row>
    <row r="4461" spans="1:6" x14ac:dyDescent="0.25">
      <c r="A4461" t="s">
        <v>4915</v>
      </c>
      <c r="B4461" t="s">
        <v>21</v>
      </c>
      <c r="C4461" t="s">
        <v>12</v>
      </c>
    </row>
    <row r="4462" spans="1:6" x14ac:dyDescent="0.25">
      <c r="A4462" t="s">
        <v>4915</v>
      </c>
      <c r="B4462" t="s">
        <v>29</v>
      </c>
      <c r="C4462" t="s">
        <v>30</v>
      </c>
    </row>
    <row r="4463" spans="1:6" x14ac:dyDescent="0.25">
      <c r="A4463" t="s">
        <v>4915</v>
      </c>
      <c r="B4463" t="s">
        <v>250</v>
      </c>
      <c r="C4463" t="s">
        <v>79</v>
      </c>
      <c r="D4463" t="str">
        <f>HYPERLINK("http://service.sap.com/sap/support/notes/1551410","1551410")</f>
        <v>1551410</v>
      </c>
      <c r="E4463">
        <v>11</v>
      </c>
      <c r="F4463" t="s">
        <v>4511</v>
      </c>
    </row>
    <row r="4464" spans="1:6" x14ac:dyDescent="0.25">
      <c r="A4464" t="s">
        <v>4915</v>
      </c>
      <c r="B4464" t="s">
        <v>250</v>
      </c>
      <c r="C4464" t="s">
        <v>79</v>
      </c>
      <c r="D4464" t="str">
        <f>HYPERLINK("http://service.sap.com/sap/support/notes/1745318","1745318")</f>
        <v>1745318</v>
      </c>
      <c r="E4464">
        <v>1</v>
      </c>
      <c r="F4464" t="s">
        <v>4512</v>
      </c>
    </row>
    <row r="4465" spans="1:6" x14ac:dyDescent="0.25">
      <c r="A4465" t="s">
        <v>4915</v>
      </c>
      <c r="B4465" t="s">
        <v>31</v>
      </c>
      <c r="C4465" t="s">
        <v>32</v>
      </c>
      <c r="D4465" t="str">
        <f>HYPERLINK("http://service.sap.com/sap/support/notes/1726630","1726630")</f>
        <v>1726630</v>
      </c>
      <c r="E4465">
        <v>2</v>
      </c>
      <c r="F4465" t="s">
        <v>4513</v>
      </c>
    </row>
    <row r="4466" spans="1:6" x14ac:dyDescent="0.25">
      <c r="A4466" t="s">
        <v>4915</v>
      </c>
      <c r="B4466" t="s">
        <v>31</v>
      </c>
      <c r="C4466" t="s">
        <v>32</v>
      </c>
      <c r="D4466" t="str">
        <f>HYPERLINK("http://service.sap.com/sap/support/notes/1732369","1732369")</f>
        <v>1732369</v>
      </c>
      <c r="E4466">
        <v>1</v>
      </c>
      <c r="F4466" t="s">
        <v>4514</v>
      </c>
    </row>
    <row r="4467" spans="1:6" x14ac:dyDescent="0.25">
      <c r="A4467" t="s">
        <v>4915</v>
      </c>
      <c r="B4467" t="s">
        <v>33</v>
      </c>
      <c r="C4467" t="s">
        <v>34</v>
      </c>
      <c r="D4467" t="str">
        <f>HYPERLINK("http://service.sap.com/sap/support/notes/1734181","1734181")</f>
        <v>1734181</v>
      </c>
      <c r="E4467">
        <v>2</v>
      </c>
      <c r="F4467" t="s">
        <v>1839</v>
      </c>
    </row>
    <row r="4468" spans="1:6" x14ac:dyDescent="0.25">
      <c r="A4468" t="s">
        <v>4915</v>
      </c>
      <c r="B4468" t="s">
        <v>674</v>
      </c>
      <c r="C4468" t="s">
        <v>92</v>
      </c>
      <c r="D4468" t="str">
        <f>HYPERLINK("http://service.sap.com/sap/support/notes/1744714","1744714")</f>
        <v>1744714</v>
      </c>
      <c r="E4468">
        <v>1</v>
      </c>
      <c r="F4468" t="s">
        <v>4515</v>
      </c>
    </row>
    <row r="4469" spans="1:6" x14ac:dyDescent="0.25">
      <c r="A4469" t="s">
        <v>4915</v>
      </c>
      <c r="B4469" t="s">
        <v>251</v>
      </c>
      <c r="C4469" t="s">
        <v>99</v>
      </c>
      <c r="D4469" t="str">
        <f>HYPERLINK("http://service.sap.com/sap/support/notes/1721682","1721682")</f>
        <v>1721682</v>
      </c>
      <c r="E4469">
        <v>2</v>
      </c>
      <c r="F4469" t="s">
        <v>4516</v>
      </c>
    </row>
    <row r="4470" spans="1:6" x14ac:dyDescent="0.25">
      <c r="A4470" t="s">
        <v>4915</v>
      </c>
      <c r="B4470" t="s">
        <v>35</v>
      </c>
      <c r="C4470" t="s">
        <v>36</v>
      </c>
      <c r="D4470" t="str">
        <f>HYPERLINK("http://service.sap.com/sap/support/notes/1721403","1721403")</f>
        <v>1721403</v>
      </c>
      <c r="E4470">
        <v>1</v>
      </c>
      <c r="F4470" t="s">
        <v>4517</v>
      </c>
    </row>
    <row r="4471" spans="1:6" x14ac:dyDescent="0.25">
      <c r="A4471" t="s">
        <v>4915</v>
      </c>
      <c r="B4471" t="s">
        <v>35</v>
      </c>
      <c r="C4471" t="s">
        <v>36</v>
      </c>
      <c r="D4471" t="str">
        <f>HYPERLINK("http://service.sap.com/sap/support/notes/1724514","1724514")</f>
        <v>1724514</v>
      </c>
      <c r="E4471">
        <v>1</v>
      </c>
      <c r="F4471" t="s">
        <v>4518</v>
      </c>
    </row>
    <row r="4472" spans="1:6" x14ac:dyDescent="0.25">
      <c r="A4472" t="s">
        <v>4915</v>
      </c>
      <c r="B4472" t="s">
        <v>35</v>
      </c>
      <c r="C4472" t="s">
        <v>36</v>
      </c>
      <c r="D4472" t="str">
        <f>HYPERLINK("http://service.sap.com/sap/support/notes/1727496","1727496")</f>
        <v>1727496</v>
      </c>
      <c r="E4472">
        <v>1</v>
      </c>
      <c r="F4472" t="s">
        <v>4519</v>
      </c>
    </row>
    <row r="4473" spans="1:6" x14ac:dyDescent="0.25">
      <c r="A4473" t="s">
        <v>4915</v>
      </c>
      <c r="B4473" t="s">
        <v>35</v>
      </c>
      <c r="C4473" t="s">
        <v>36</v>
      </c>
      <c r="D4473" t="str">
        <f>HYPERLINK("http://service.sap.com/sap/support/notes/1727497","1727497")</f>
        <v>1727497</v>
      </c>
      <c r="E4473">
        <v>1</v>
      </c>
      <c r="F4473" t="s">
        <v>4520</v>
      </c>
    </row>
    <row r="4474" spans="1:6" x14ac:dyDescent="0.25">
      <c r="A4474" t="s">
        <v>4915</v>
      </c>
      <c r="B4474" t="s">
        <v>35</v>
      </c>
      <c r="C4474" t="s">
        <v>36</v>
      </c>
      <c r="D4474" t="str">
        <f>HYPERLINK("http://service.sap.com/sap/support/notes/1729495","1729495")</f>
        <v>1729495</v>
      </c>
      <c r="E4474">
        <v>1</v>
      </c>
      <c r="F4474" t="s">
        <v>4521</v>
      </c>
    </row>
    <row r="4475" spans="1:6" x14ac:dyDescent="0.25">
      <c r="A4475" t="s">
        <v>4915</v>
      </c>
      <c r="B4475" t="s">
        <v>35</v>
      </c>
      <c r="C4475" t="s">
        <v>36</v>
      </c>
      <c r="D4475" t="str">
        <f>HYPERLINK("http://service.sap.com/sap/support/notes/1737827","1737827")</f>
        <v>1737827</v>
      </c>
      <c r="E4475">
        <v>1</v>
      </c>
      <c r="F4475" t="s">
        <v>4522</v>
      </c>
    </row>
    <row r="4476" spans="1:6" x14ac:dyDescent="0.25">
      <c r="A4476" t="s">
        <v>4915</v>
      </c>
      <c r="B4476" t="s">
        <v>37</v>
      </c>
      <c r="C4476" t="s">
        <v>38</v>
      </c>
      <c r="D4476" t="str">
        <f>HYPERLINK("http://service.sap.com/sap/support/notes/1735424","1735424")</f>
        <v>1735424</v>
      </c>
      <c r="E4476">
        <v>2</v>
      </c>
      <c r="F4476" t="s">
        <v>4523</v>
      </c>
    </row>
    <row r="4477" spans="1:6" x14ac:dyDescent="0.25">
      <c r="A4477" t="s">
        <v>4915</v>
      </c>
      <c r="B4477" t="s">
        <v>41</v>
      </c>
      <c r="C4477" t="s">
        <v>42</v>
      </c>
      <c r="D4477" t="str">
        <f>HYPERLINK("http://service.sap.com/sap/support/notes/700094","700094")</f>
        <v>700094</v>
      </c>
      <c r="E4477">
        <v>8</v>
      </c>
      <c r="F4477" t="s">
        <v>252</v>
      </c>
    </row>
    <row r="4478" spans="1:6" x14ac:dyDescent="0.25">
      <c r="A4478" t="s">
        <v>4915</v>
      </c>
      <c r="B4478" t="s">
        <v>41</v>
      </c>
      <c r="C4478" t="s">
        <v>42</v>
      </c>
      <c r="D4478" t="str">
        <f>HYPERLINK("http://service.sap.com/sap/support/notes/1742883","1742883")</f>
        <v>1742883</v>
      </c>
      <c r="E4478">
        <v>1</v>
      </c>
      <c r="F4478" t="s">
        <v>4524</v>
      </c>
    </row>
    <row r="4479" spans="1:6" x14ac:dyDescent="0.25">
      <c r="A4479" t="s">
        <v>4915</v>
      </c>
      <c r="B4479" t="s">
        <v>43</v>
      </c>
      <c r="C4479" t="s">
        <v>44</v>
      </c>
      <c r="D4479" t="str">
        <f>HYPERLINK("http://service.sap.com/sap/support/notes/1642931","1642931")</f>
        <v>1642931</v>
      </c>
      <c r="E4479">
        <v>2</v>
      </c>
      <c r="F4479" t="s">
        <v>2837</v>
      </c>
    </row>
    <row r="4480" spans="1:6" x14ac:dyDescent="0.25">
      <c r="A4480" t="s">
        <v>4915</v>
      </c>
      <c r="B4480" t="s">
        <v>43</v>
      </c>
      <c r="C4480" t="s">
        <v>44</v>
      </c>
      <c r="D4480" t="str">
        <f>HYPERLINK("http://service.sap.com/sap/support/notes/1728831","1728831")</f>
        <v>1728831</v>
      </c>
      <c r="E4480">
        <v>3</v>
      </c>
      <c r="F4480" t="s">
        <v>4525</v>
      </c>
    </row>
    <row r="4481" spans="1:6" x14ac:dyDescent="0.25">
      <c r="A4481" t="s">
        <v>4915</v>
      </c>
      <c r="B4481" t="s">
        <v>43</v>
      </c>
      <c r="C4481" t="s">
        <v>44</v>
      </c>
      <c r="D4481" t="str">
        <f>HYPERLINK("http://service.sap.com/sap/support/notes/1729354","1729354")</f>
        <v>1729354</v>
      </c>
      <c r="E4481">
        <v>3</v>
      </c>
      <c r="F4481" t="s">
        <v>4526</v>
      </c>
    </row>
    <row r="4482" spans="1:6" x14ac:dyDescent="0.25">
      <c r="A4482" t="s">
        <v>4915</v>
      </c>
      <c r="B4482" t="s">
        <v>43</v>
      </c>
      <c r="C4482" t="s">
        <v>44</v>
      </c>
      <c r="D4482" t="str">
        <f>HYPERLINK("http://service.sap.com/sap/support/notes/1730940","1730940")</f>
        <v>1730940</v>
      </c>
      <c r="E4482">
        <v>3</v>
      </c>
      <c r="F4482" t="s">
        <v>4527</v>
      </c>
    </row>
    <row r="4483" spans="1:6" x14ac:dyDescent="0.25">
      <c r="A4483" t="s">
        <v>4915</v>
      </c>
      <c r="B4483" t="s">
        <v>43</v>
      </c>
      <c r="C4483" t="s">
        <v>44</v>
      </c>
      <c r="D4483" t="str">
        <f>HYPERLINK("http://service.sap.com/sap/support/notes/1736616","1736616")</f>
        <v>1736616</v>
      </c>
      <c r="E4483">
        <v>3</v>
      </c>
      <c r="F4483" t="s">
        <v>4528</v>
      </c>
    </row>
    <row r="4484" spans="1:6" x14ac:dyDescent="0.25">
      <c r="A4484" t="s">
        <v>4915</v>
      </c>
      <c r="B4484" t="s">
        <v>43</v>
      </c>
      <c r="C4484" t="s">
        <v>44</v>
      </c>
      <c r="D4484" t="str">
        <f>HYPERLINK("http://service.sap.com/sap/support/notes/1736670","1736670")</f>
        <v>1736670</v>
      </c>
      <c r="E4484">
        <v>4</v>
      </c>
      <c r="F4484" t="s">
        <v>4529</v>
      </c>
    </row>
    <row r="4485" spans="1:6" x14ac:dyDescent="0.25">
      <c r="A4485" t="s">
        <v>4915</v>
      </c>
      <c r="B4485" t="s">
        <v>43</v>
      </c>
      <c r="C4485" t="s">
        <v>44</v>
      </c>
      <c r="D4485" t="str">
        <f>HYPERLINK("http://service.sap.com/sap/support/notes/1737749","1737749")</f>
        <v>1737749</v>
      </c>
      <c r="E4485">
        <v>5</v>
      </c>
      <c r="F4485" t="s">
        <v>4530</v>
      </c>
    </row>
    <row r="4486" spans="1:6" x14ac:dyDescent="0.25">
      <c r="A4486" t="s">
        <v>4915</v>
      </c>
      <c r="B4486" t="s">
        <v>43</v>
      </c>
      <c r="C4486" t="s">
        <v>44</v>
      </c>
      <c r="D4486" t="str">
        <f>HYPERLINK("http://service.sap.com/sap/support/notes/1743972","1743972")</f>
        <v>1743972</v>
      </c>
      <c r="E4486">
        <v>1</v>
      </c>
      <c r="F4486" t="s">
        <v>4531</v>
      </c>
    </row>
    <row r="4487" spans="1:6" x14ac:dyDescent="0.25">
      <c r="A4487" t="s">
        <v>4915</v>
      </c>
      <c r="B4487" t="s">
        <v>254</v>
      </c>
      <c r="C4487" t="s">
        <v>255</v>
      </c>
      <c r="D4487" t="str">
        <f>HYPERLINK("http://service.sap.com/sap/support/notes/1680466","1680466")</f>
        <v>1680466</v>
      </c>
      <c r="E4487">
        <v>1</v>
      </c>
      <c r="F4487" t="s">
        <v>4532</v>
      </c>
    </row>
    <row r="4488" spans="1:6" x14ac:dyDescent="0.25">
      <c r="A4488" t="s">
        <v>4915</v>
      </c>
      <c r="B4488" t="s">
        <v>51</v>
      </c>
      <c r="C4488" t="s">
        <v>52</v>
      </c>
      <c r="D4488" t="str">
        <f>HYPERLINK("http://service.sap.com/sap/support/notes/1728923","1728923")</f>
        <v>1728923</v>
      </c>
      <c r="E4488">
        <v>2</v>
      </c>
      <c r="F4488" t="s">
        <v>4533</v>
      </c>
    </row>
    <row r="4489" spans="1:6" x14ac:dyDescent="0.25">
      <c r="A4489" t="s">
        <v>4915</v>
      </c>
      <c r="B4489" t="s">
        <v>51</v>
      </c>
      <c r="C4489" t="s">
        <v>52</v>
      </c>
      <c r="D4489" t="str">
        <f>HYPERLINK("http://service.sap.com/sap/support/notes/1734499","1734499")</f>
        <v>1734499</v>
      </c>
      <c r="E4489">
        <v>3</v>
      </c>
      <c r="F4489" t="s">
        <v>4534</v>
      </c>
    </row>
    <row r="4490" spans="1:6" x14ac:dyDescent="0.25">
      <c r="A4490" t="s">
        <v>4915</v>
      </c>
      <c r="B4490" t="s">
        <v>51</v>
      </c>
      <c r="C4490" t="s">
        <v>52</v>
      </c>
      <c r="D4490" t="str">
        <f>HYPERLINK("http://service.sap.com/sap/support/notes/1735728","1735728")</f>
        <v>1735728</v>
      </c>
      <c r="E4490">
        <v>1</v>
      </c>
      <c r="F4490" t="s">
        <v>4535</v>
      </c>
    </row>
    <row r="4491" spans="1:6" x14ac:dyDescent="0.25">
      <c r="A4491" t="s">
        <v>4915</v>
      </c>
      <c r="B4491" t="s">
        <v>53</v>
      </c>
      <c r="C4491" t="s">
        <v>54</v>
      </c>
      <c r="D4491" t="str">
        <f>HYPERLINK("http://service.sap.com/sap/support/notes/1736286","1736286")</f>
        <v>1736286</v>
      </c>
      <c r="E4491">
        <v>5</v>
      </c>
      <c r="F4491" t="s">
        <v>4536</v>
      </c>
    </row>
    <row r="4492" spans="1:6" x14ac:dyDescent="0.25">
      <c r="A4492" t="s">
        <v>4915</v>
      </c>
      <c r="B4492" t="s">
        <v>53</v>
      </c>
      <c r="C4492" t="s">
        <v>54</v>
      </c>
      <c r="D4492" t="str">
        <f>HYPERLINK("http://service.sap.com/sap/support/notes/1738348","1738348")</f>
        <v>1738348</v>
      </c>
      <c r="E4492">
        <v>3</v>
      </c>
      <c r="F4492" t="s">
        <v>4537</v>
      </c>
    </row>
    <row r="4493" spans="1:6" x14ac:dyDescent="0.25">
      <c r="A4493" t="s">
        <v>4915</v>
      </c>
      <c r="B4493" t="s">
        <v>839</v>
      </c>
      <c r="C4493" t="s">
        <v>160</v>
      </c>
      <c r="D4493" t="str">
        <f>HYPERLINK("http://service.sap.com/sap/support/notes/1708830","1708830")</f>
        <v>1708830</v>
      </c>
      <c r="E4493">
        <v>4</v>
      </c>
      <c r="F4493" t="s">
        <v>4538</v>
      </c>
    </row>
    <row r="4494" spans="1:6" x14ac:dyDescent="0.25">
      <c r="A4494" t="s">
        <v>4915</v>
      </c>
      <c r="B4494" t="s">
        <v>256</v>
      </c>
      <c r="C4494" t="s">
        <v>165</v>
      </c>
      <c r="D4494" t="str">
        <f>HYPERLINK("http://service.sap.com/sap/support/notes/1552735","1552735")</f>
        <v>1552735</v>
      </c>
      <c r="E4494">
        <v>1</v>
      </c>
      <c r="F4494" t="s">
        <v>4539</v>
      </c>
    </row>
    <row r="4495" spans="1:6" x14ac:dyDescent="0.25">
      <c r="A4495" t="s">
        <v>4915</v>
      </c>
      <c r="B4495" t="s">
        <v>256</v>
      </c>
      <c r="C4495" t="s">
        <v>165</v>
      </c>
      <c r="D4495" t="str">
        <f>HYPERLINK("http://service.sap.com/sap/support/notes/1718982","1718982")</f>
        <v>1718982</v>
      </c>
      <c r="E4495">
        <v>1</v>
      </c>
      <c r="F4495" t="s">
        <v>4540</v>
      </c>
    </row>
    <row r="4496" spans="1:6" x14ac:dyDescent="0.25">
      <c r="A4496" t="s">
        <v>4915</v>
      </c>
      <c r="B4496" t="s">
        <v>256</v>
      </c>
      <c r="C4496" t="s">
        <v>165</v>
      </c>
      <c r="D4496" t="str">
        <f>HYPERLINK("http://service.sap.com/sap/support/notes/1739455","1739455")</f>
        <v>1739455</v>
      </c>
      <c r="E4496">
        <v>2</v>
      </c>
      <c r="F4496" t="s">
        <v>4541</v>
      </c>
    </row>
    <row r="4497" spans="1:6" x14ac:dyDescent="0.25">
      <c r="A4497" t="s">
        <v>4915</v>
      </c>
      <c r="B4497" t="s">
        <v>256</v>
      </c>
      <c r="C4497" t="s">
        <v>165</v>
      </c>
      <c r="D4497" t="str">
        <f>HYPERLINK("http://service.sap.com/sap/support/notes/1740257","1740257")</f>
        <v>1740257</v>
      </c>
      <c r="E4497">
        <v>2</v>
      </c>
      <c r="F4497" t="s">
        <v>4542</v>
      </c>
    </row>
    <row r="4498" spans="1:6" x14ac:dyDescent="0.25">
      <c r="A4498" t="s">
        <v>4915</v>
      </c>
      <c r="B4498" t="s">
        <v>3252</v>
      </c>
      <c r="C4498" t="s">
        <v>3253</v>
      </c>
      <c r="D4498" t="str">
        <f>HYPERLINK("http://service.sap.com/sap/support/notes/1699757","1699757")</f>
        <v>1699757</v>
      </c>
      <c r="E4498">
        <v>1</v>
      </c>
      <c r="F4498" t="s">
        <v>3254</v>
      </c>
    </row>
    <row r="4499" spans="1:6" x14ac:dyDescent="0.25">
      <c r="A4499" t="s">
        <v>4915</v>
      </c>
      <c r="B4499" t="s">
        <v>3252</v>
      </c>
      <c r="C4499" t="s">
        <v>3253</v>
      </c>
      <c r="D4499" t="str">
        <f>HYPERLINK("http://service.sap.com/sap/support/notes/1740191","1740191")</f>
        <v>1740191</v>
      </c>
      <c r="E4499">
        <v>2</v>
      </c>
      <c r="F4499" t="s">
        <v>4543</v>
      </c>
    </row>
    <row r="4500" spans="1:6" x14ac:dyDescent="0.25">
      <c r="A4500" t="s">
        <v>4915</v>
      </c>
      <c r="B4500" t="s">
        <v>57</v>
      </c>
      <c r="C4500" t="s">
        <v>58</v>
      </c>
      <c r="D4500" t="str">
        <f>HYPERLINK("http://service.sap.com/sap/support/notes/1116407","1116407")</f>
        <v>1116407</v>
      </c>
      <c r="E4500">
        <v>129</v>
      </c>
      <c r="F4500" t="s">
        <v>664</v>
      </c>
    </row>
    <row r="4501" spans="1:6" x14ac:dyDescent="0.25">
      <c r="A4501" t="s">
        <v>4915</v>
      </c>
      <c r="B4501" t="s">
        <v>57</v>
      </c>
      <c r="C4501" t="s">
        <v>58</v>
      </c>
      <c r="D4501" t="str">
        <f>HYPERLINK("http://service.sap.com/sap/support/notes/1701518","1701518")</f>
        <v>1701518</v>
      </c>
      <c r="E4501">
        <v>4</v>
      </c>
      <c r="F4501" t="s">
        <v>4228</v>
      </c>
    </row>
    <row r="4502" spans="1:6" x14ac:dyDescent="0.25">
      <c r="A4502" t="s">
        <v>4915</v>
      </c>
      <c r="B4502" t="s">
        <v>57</v>
      </c>
      <c r="C4502" t="s">
        <v>58</v>
      </c>
      <c r="D4502" t="str">
        <f>HYPERLINK("http://service.sap.com/sap/support/notes/1732877","1732877")</f>
        <v>1732877</v>
      </c>
      <c r="E4502">
        <v>2</v>
      </c>
      <c r="F4502" t="s">
        <v>4544</v>
      </c>
    </row>
    <row r="4503" spans="1:6" x14ac:dyDescent="0.25">
      <c r="A4503" t="s">
        <v>4915</v>
      </c>
      <c r="B4503" t="s">
        <v>57</v>
      </c>
      <c r="C4503" t="s">
        <v>58</v>
      </c>
      <c r="D4503" t="str">
        <f>HYPERLINK("http://service.sap.com/sap/support/notes/1735949","1735949")</f>
        <v>1735949</v>
      </c>
      <c r="E4503">
        <v>4</v>
      </c>
      <c r="F4503" t="s">
        <v>4545</v>
      </c>
    </row>
    <row r="4504" spans="1:6" x14ac:dyDescent="0.25">
      <c r="A4504" t="s">
        <v>4915</v>
      </c>
      <c r="B4504" t="s">
        <v>57</v>
      </c>
      <c r="C4504" t="s">
        <v>58</v>
      </c>
      <c r="D4504" t="str">
        <f>HYPERLINK("http://service.sap.com/sap/support/notes/1742535","1742535")</f>
        <v>1742535</v>
      </c>
      <c r="E4504">
        <v>1</v>
      </c>
      <c r="F4504" t="s">
        <v>4546</v>
      </c>
    </row>
    <row r="4505" spans="1:6" x14ac:dyDescent="0.25">
      <c r="A4505" t="s">
        <v>4915</v>
      </c>
      <c r="B4505" t="s">
        <v>57</v>
      </c>
      <c r="C4505" t="s">
        <v>58</v>
      </c>
      <c r="D4505" t="str">
        <f>HYPERLINK("http://service.sap.com/sap/support/notes/1742926","1742926")</f>
        <v>1742926</v>
      </c>
      <c r="E4505">
        <v>1</v>
      </c>
      <c r="F4505" t="s">
        <v>4547</v>
      </c>
    </row>
    <row r="4506" spans="1:6" x14ac:dyDescent="0.25">
      <c r="A4506" t="s">
        <v>4915</v>
      </c>
      <c r="B4506" t="s">
        <v>57</v>
      </c>
      <c r="C4506" t="s">
        <v>58</v>
      </c>
      <c r="D4506" t="str">
        <f>HYPERLINK("http://service.sap.com/sap/support/notes/1744215","1744215")</f>
        <v>1744215</v>
      </c>
      <c r="E4506">
        <v>1</v>
      </c>
      <c r="F4506" t="s">
        <v>4548</v>
      </c>
    </row>
    <row r="4507" spans="1:6" x14ac:dyDescent="0.25">
      <c r="A4507" t="s">
        <v>4915</v>
      </c>
      <c r="B4507" t="s">
        <v>258</v>
      </c>
      <c r="C4507" t="s">
        <v>186</v>
      </c>
      <c r="D4507" t="str">
        <f>HYPERLINK("http://service.sap.com/sap/support/notes/1637047","1637047")</f>
        <v>1637047</v>
      </c>
      <c r="E4507">
        <v>4</v>
      </c>
      <c r="F4507" t="s">
        <v>4549</v>
      </c>
    </row>
    <row r="4508" spans="1:6" x14ac:dyDescent="0.25">
      <c r="A4508" t="s">
        <v>4915</v>
      </c>
      <c r="B4508" t="s">
        <v>258</v>
      </c>
      <c r="C4508" t="s">
        <v>186</v>
      </c>
      <c r="D4508" t="str">
        <f>HYPERLINK("http://service.sap.com/sap/support/notes/1742919","1742919")</f>
        <v>1742919</v>
      </c>
      <c r="E4508">
        <v>1</v>
      </c>
      <c r="F4508" t="s">
        <v>4550</v>
      </c>
    </row>
    <row r="4509" spans="1:6" x14ac:dyDescent="0.25">
      <c r="A4509" t="s">
        <v>4915</v>
      </c>
      <c r="B4509" t="s">
        <v>61</v>
      </c>
      <c r="C4509" t="s">
        <v>62</v>
      </c>
      <c r="D4509" t="str">
        <f>HYPERLINK("http://service.sap.com/sap/support/notes/1705123","1705123")</f>
        <v>1705123</v>
      </c>
      <c r="E4509">
        <v>2</v>
      </c>
      <c r="F4509" t="s">
        <v>4551</v>
      </c>
    </row>
    <row r="4510" spans="1:6" x14ac:dyDescent="0.25">
      <c r="A4510" t="s">
        <v>4915</v>
      </c>
      <c r="B4510" t="s">
        <v>61</v>
      </c>
      <c r="C4510" t="s">
        <v>62</v>
      </c>
      <c r="D4510" t="str">
        <f>HYPERLINK("http://service.sap.com/sap/support/notes/1727484","1727484")</f>
        <v>1727484</v>
      </c>
      <c r="E4510">
        <v>2</v>
      </c>
      <c r="F4510" t="s">
        <v>4552</v>
      </c>
    </row>
    <row r="4511" spans="1:6" x14ac:dyDescent="0.25">
      <c r="A4511" t="s">
        <v>4915</v>
      </c>
      <c r="B4511" t="s">
        <v>61</v>
      </c>
      <c r="C4511" t="s">
        <v>62</v>
      </c>
      <c r="D4511" t="str">
        <f>HYPERLINK("http://service.sap.com/sap/support/notes/1734456","1734456")</f>
        <v>1734456</v>
      </c>
      <c r="E4511">
        <v>1</v>
      </c>
      <c r="F4511" t="s">
        <v>4553</v>
      </c>
    </row>
    <row r="4512" spans="1:6" x14ac:dyDescent="0.25">
      <c r="A4512" t="s">
        <v>4915</v>
      </c>
      <c r="B4512" t="s">
        <v>63</v>
      </c>
      <c r="C4512" t="s">
        <v>64</v>
      </c>
      <c r="D4512" t="str">
        <f>HYPERLINK("http://service.sap.com/sap/support/notes/1429145","1429145")</f>
        <v>1429145</v>
      </c>
      <c r="E4512">
        <v>2</v>
      </c>
      <c r="F4512" t="s">
        <v>4554</v>
      </c>
    </row>
    <row r="4513" spans="1:6" x14ac:dyDescent="0.25">
      <c r="A4513" t="s">
        <v>4915</v>
      </c>
      <c r="B4513" t="s">
        <v>66</v>
      </c>
      <c r="C4513" t="s">
        <v>67</v>
      </c>
    </row>
    <row r="4514" spans="1:6" x14ac:dyDescent="0.25">
      <c r="A4514" t="s">
        <v>4915</v>
      </c>
      <c r="B4514" t="s">
        <v>68</v>
      </c>
      <c r="C4514" t="s">
        <v>69</v>
      </c>
      <c r="D4514" t="str">
        <f>HYPERLINK("http://service.sap.com/sap/support/notes/1684621","1684621")</f>
        <v>1684621</v>
      </c>
      <c r="E4514">
        <v>3</v>
      </c>
      <c r="F4514" t="s">
        <v>4555</v>
      </c>
    </row>
    <row r="4515" spans="1:6" x14ac:dyDescent="0.25">
      <c r="A4515" t="s">
        <v>4915</v>
      </c>
      <c r="B4515" t="s">
        <v>70</v>
      </c>
      <c r="C4515" t="s">
        <v>71</v>
      </c>
      <c r="D4515" t="str">
        <f>HYPERLINK("http://service.sap.com/sap/support/notes/1681322","1681322")</f>
        <v>1681322</v>
      </c>
      <c r="E4515">
        <v>9</v>
      </c>
      <c r="F4515" t="s">
        <v>4556</v>
      </c>
    </row>
    <row r="4516" spans="1:6" x14ac:dyDescent="0.25">
      <c r="A4516" t="s">
        <v>4915</v>
      </c>
      <c r="B4516" t="s">
        <v>70</v>
      </c>
      <c r="C4516" t="s">
        <v>71</v>
      </c>
      <c r="D4516" t="str">
        <f>HYPERLINK("http://service.sap.com/sap/support/notes/1720429","1720429")</f>
        <v>1720429</v>
      </c>
      <c r="E4516">
        <v>1</v>
      </c>
      <c r="F4516" t="s">
        <v>4557</v>
      </c>
    </row>
    <row r="4517" spans="1:6" x14ac:dyDescent="0.25">
      <c r="A4517" t="s">
        <v>4915</v>
      </c>
      <c r="B4517" t="s">
        <v>72</v>
      </c>
      <c r="C4517" t="s">
        <v>73</v>
      </c>
    </row>
    <row r="4518" spans="1:6" x14ac:dyDescent="0.25">
      <c r="A4518" t="s">
        <v>4915</v>
      </c>
      <c r="B4518" t="s">
        <v>364</v>
      </c>
      <c r="C4518" t="s">
        <v>365</v>
      </c>
      <c r="D4518" t="str">
        <f>HYPERLINK("http://service.sap.com/sap/support/notes/1675297","1675297")</f>
        <v>1675297</v>
      </c>
      <c r="E4518">
        <v>1</v>
      </c>
      <c r="F4518" t="s">
        <v>4558</v>
      </c>
    </row>
    <row r="4519" spans="1:6" x14ac:dyDescent="0.25">
      <c r="A4519" t="s">
        <v>4915</v>
      </c>
      <c r="B4519" t="s">
        <v>284</v>
      </c>
      <c r="C4519" t="s">
        <v>393</v>
      </c>
    </row>
    <row r="4520" spans="1:6" x14ac:dyDescent="0.25">
      <c r="A4520" t="s">
        <v>4915</v>
      </c>
      <c r="B4520" t="s">
        <v>301</v>
      </c>
      <c r="C4520" t="s">
        <v>302</v>
      </c>
      <c r="D4520" t="str">
        <f>HYPERLINK("http://service.sap.com/sap/support/notes/1716333","1716333")</f>
        <v>1716333</v>
      </c>
      <c r="E4520">
        <v>2</v>
      </c>
      <c r="F4520" t="s">
        <v>4559</v>
      </c>
    </row>
    <row r="4521" spans="1:6" x14ac:dyDescent="0.25">
      <c r="A4521" t="s">
        <v>4915</v>
      </c>
      <c r="B4521" t="s">
        <v>301</v>
      </c>
      <c r="C4521" t="s">
        <v>302</v>
      </c>
      <c r="D4521" t="str">
        <f>HYPERLINK("http://service.sap.com/sap/support/notes/1725684","1725684")</f>
        <v>1725684</v>
      </c>
      <c r="E4521">
        <v>4</v>
      </c>
      <c r="F4521" t="s">
        <v>4237</v>
      </c>
    </row>
    <row r="4522" spans="1:6" x14ac:dyDescent="0.25">
      <c r="A4522" t="s">
        <v>4915</v>
      </c>
      <c r="B4522" t="s">
        <v>301</v>
      </c>
      <c r="C4522" t="s">
        <v>302</v>
      </c>
      <c r="D4522" t="str">
        <f>HYPERLINK("http://service.sap.com/sap/support/notes/1726407","1726407")</f>
        <v>1726407</v>
      </c>
      <c r="E4522">
        <v>4</v>
      </c>
      <c r="F4522" t="s">
        <v>4560</v>
      </c>
    </row>
    <row r="4523" spans="1:6" x14ac:dyDescent="0.25">
      <c r="A4523" t="s">
        <v>4915</v>
      </c>
      <c r="B4523" t="s">
        <v>301</v>
      </c>
      <c r="C4523" t="s">
        <v>302</v>
      </c>
      <c r="D4523" t="str">
        <f>HYPERLINK("http://service.sap.com/sap/support/notes/1738642","1738642")</f>
        <v>1738642</v>
      </c>
      <c r="E4523">
        <v>2</v>
      </c>
      <c r="F4523" t="s">
        <v>4561</v>
      </c>
    </row>
    <row r="4524" spans="1:6" x14ac:dyDescent="0.25">
      <c r="A4524" t="s">
        <v>4915</v>
      </c>
      <c r="B4524" t="s">
        <v>301</v>
      </c>
      <c r="C4524" t="s">
        <v>302</v>
      </c>
      <c r="D4524" t="str">
        <f>HYPERLINK("http://service.sap.com/sap/support/notes/1742494","1742494")</f>
        <v>1742494</v>
      </c>
      <c r="E4524">
        <v>2</v>
      </c>
      <c r="F4524" t="s">
        <v>4562</v>
      </c>
    </row>
    <row r="4525" spans="1:6" x14ac:dyDescent="0.25">
      <c r="A4525" t="s">
        <v>4915</v>
      </c>
      <c r="B4525" t="s">
        <v>76</v>
      </c>
      <c r="C4525" t="s">
        <v>77</v>
      </c>
    </row>
    <row r="4526" spans="1:6" x14ac:dyDescent="0.25">
      <c r="A4526" t="s">
        <v>4915</v>
      </c>
      <c r="B4526" t="s">
        <v>78</v>
      </c>
      <c r="C4526" t="s">
        <v>79</v>
      </c>
      <c r="D4526" t="str">
        <f>HYPERLINK("http://service.sap.com/sap/support/notes/1731552","1731552")</f>
        <v>1731552</v>
      </c>
      <c r="E4526">
        <v>2</v>
      </c>
      <c r="F4526" t="s">
        <v>4563</v>
      </c>
    </row>
    <row r="4527" spans="1:6" x14ac:dyDescent="0.25">
      <c r="A4527" t="s">
        <v>4915</v>
      </c>
      <c r="B4527" t="s">
        <v>78</v>
      </c>
      <c r="C4527" t="s">
        <v>79</v>
      </c>
      <c r="D4527" t="str">
        <f>HYPERLINK("http://service.sap.com/sap/support/notes/1732728","1732728")</f>
        <v>1732728</v>
      </c>
      <c r="E4527">
        <v>2</v>
      </c>
      <c r="F4527" t="s">
        <v>4564</v>
      </c>
    </row>
    <row r="4528" spans="1:6" x14ac:dyDescent="0.25">
      <c r="A4528" t="s">
        <v>4915</v>
      </c>
      <c r="B4528" t="s">
        <v>80</v>
      </c>
      <c r="C4528" t="s">
        <v>32</v>
      </c>
      <c r="D4528" t="str">
        <f>HYPERLINK("http://service.sap.com/sap/support/notes/1477890","1477890")</f>
        <v>1477890</v>
      </c>
      <c r="E4528">
        <v>5</v>
      </c>
      <c r="F4528" t="s">
        <v>4565</v>
      </c>
    </row>
    <row r="4529" spans="1:6" x14ac:dyDescent="0.25">
      <c r="A4529" t="s">
        <v>4915</v>
      </c>
      <c r="B4529" t="s">
        <v>80</v>
      </c>
      <c r="C4529" t="s">
        <v>32</v>
      </c>
      <c r="D4529" t="str">
        <f>HYPERLINK("http://service.sap.com/sap/support/notes/1506362","1506362")</f>
        <v>1506362</v>
      </c>
      <c r="E4529">
        <v>4</v>
      </c>
      <c r="F4529" t="s">
        <v>4566</v>
      </c>
    </row>
    <row r="4530" spans="1:6" x14ac:dyDescent="0.25">
      <c r="A4530" t="s">
        <v>4915</v>
      </c>
      <c r="B4530" t="s">
        <v>80</v>
      </c>
      <c r="C4530" t="s">
        <v>32</v>
      </c>
      <c r="D4530" t="str">
        <f>HYPERLINK("http://service.sap.com/sap/support/notes/1683859","1683859")</f>
        <v>1683859</v>
      </c>
      <c r="E4530">
        <v>2</v>
      </c>
      <c r="F4530" t="s">
        <v>4567</v>
      </c>
    </row>
    <row r="4531" spans="1:6" x14ac:dyDescent="0.25">
      <c r="A4531" t="s">
        <v>4915</v>
      </c>
      <c r="B4531" t="s">
        <v>80</v>
      </c>
      <c r="C4531" t="s">
        <v>32</v>
      </c>
      <c r="D4531" t="str">
        <f>HYPERLINK("http://service.sap.com/sap/support/notes/1694748","1694748")</f>
        <v>1694748</v>
      </c>
      <c r="E4531">
        <v>2</v>
      </c>
      <c r="F4531" t="s">
        <v>4243</v>
      </c>
    </row>
    <row r="4532" spans="1:6" x14ac:dyDescent="0.25">
      <c r="A4532" t="s">
        <v>4915</v>
      </c>
      <c r="B4532" t="s">
        <v>80</v>
      </c>
      <c r="C4532" t="s">
        <v>32</v>
      </c>
      <c r="D4532" t="str">
        <f>HYPERLINK("http://service.sap.com/sap/support/notes/1699668","1699668")</f>
        <v>1699668</v>
      </c>
      <c r="E4532">
        <v>2</v>
      </c>
      <c r="F4532" t="s">
        <v>4568</v>
      </c>
    </row>
    <row r="4533" spans="1:6" x14ac:dyDescent="0.25">
      <c r="A4533" t="s">
        <v>4915</v>
      </c>
      <c r="B4533" t="s">
        <v>80</v>
      </c>
      <c r="C4533" t="s">
        <v>32</v>
      </c>
      <c r="D4533" t="str">
        <f>HYPERLINK("http://service.sap.com/sap/support/notes/1706567","1706567")</f>
        <v>1706567</v>
      </c>
      <c r="E4533">
        <v>3</v>
      </c>
      <c r="F4533" t="s">
        <v>4569</v>
      </c>
    </row>
    <row r="4534" spans="1:6" x14ac:dyDescent="0.25">
      <c r="A4534" t="s">
        <v>4915</v>
      </c>
      <c r="B4534" t="s">
        <v>80</v>
      </c>
      <c r="C4534" t="s">
        <v>32</v>
      </c>
      <c r="D4534" t="str">
        <f>HYPERLINK("http://service.sap.com/sap/support/notes/1723327","1723327")</f>
        <v>1723327</v>
      </c>
      <c r="E4534">
        <v>3</v>
      </c>
      <c r="F4534" t="s">
        <v>4570</v>
      </c>
    </row>
    <row r="4535" spans="1:6" x14ac:dyDescent="0.25">
      <c r="A4535" t="s">
        <v>4915</v>
      </c>
      <c r="B4535" t="s">
        <v>80</v>
      </c>
      <c r="C4535" t="s">
        <v>32</v>
      </c>
      <c r="D4535" t="str">
        <f>HYPERLINK("http://service.sap.com/sap/support/notes/1725178","1725178")</f>
        <v>1725178</v>
      </c>
      <c r="E4535">
        <v>6</v>
      </c>
      <c r="F4535" t="s">
        <v>4571</v>
      </c>
    </row>
    <row r="4536" spans="1:6" x14ac:dyDescent="0.25">
      <c r="A4536" t="s">
        <v>4915</v>
      </c>
      <c r="B4536" t="s">
        <v>80</v>
      </c>
      <c r="C4536" t="s">
        <v>32</v>
      </c>
      <c r="D4536" t="str">
        <f>HYPERLINK("http://service.sap.com/sap/support/notes/1729211","1729211")</f>
        <v>1729211</v>
      </c>
      <c r="E4536">
        <v>2</v>
      </c>
      <c r="F4536" t="s">
        <v>4572</v>
      </c>
    </row>
    <row r="4537" spans="1:6" x14ac:dyDescent="0.25">
      <c r="A4537" t="s">
        <v>4915</v>
      </c>
      <c r="B4537" t="s">
        <v>80</v>
      </c>
      <c r="C4537" t="s">
        <v>32</v>
      </c>
      <c r="D4537" t="str">
        <f>HYPERLINK("http://service.sap.com/sap/support/notes/1733669","1733669")</f>
        <v>1733669</v>
      </c>
      <c r="E4537">
        <v>1</v>
      </c>
      <c r="F4537" t="s">
        <v>4573</v>
      </c>
    </row>
    <row r="4538" spans="1:6" x14ac:dyDescent="0.25">
      <c r="A4538" t="s">
        <v>4915</v>
      </c>
      <c r="B4538" t="s">
        <v>80</v>
      </c>
      <c r="C4538" t="s">
        <v>32</v>
      </c>
      <c r="D4538" t="str">
        <f>HYPERLINK("http://service.sap.com/sap/support/notes/1740601","1740601")</f>
        <v>1740601</v>
      </c>
      <c r="E4538">
        <v>2</v>
      </c>
      <c r="F4538" t="s">
        <v>4574</v>
      </c>
    </row>
    <row r="4539" spans="1:6" x14ac:dyDescent="0.25">
      <c r="A4539" t="s">
        <v>4915</v>
      </c>
      <c r="B4539" t="s">
        <v>81</v>
      </c>
      <c r="C4539" t="s">
        <v>82</v>
      </c>
      <c r="D4539" t="str">
        <f>HYPERLINK("http://service.sap.com/sap/support/notes/1706997","1706997")</f>
        <v>1706997</v>
      </c>
      <c r="E4539">
        <v>2</v>
      </c>
      <c r="F4539" t="s">
        <v>4575</v>
      </c>
    </row>
    <row r="4540" spans="1:6" x14ac:dyDescent="0.25">
      <c r="A4540" t="s">
        <v>4915</v>
      </c>
      <c r="B4540" t="s">
        <v>81</v>
      </c>
      <c r="C4540" t="s">
        <v>82</v>
      </c>
      <c r="D4540" t="str">
        <f>HYPERLINK("http://service.sap.com/sap/support/notes/1726564","1726564")</f>
        <v>1726564</v>
      </c>
      <c r="E4540">
        <v>9</v>
      </c>
      <c r="F4540" t="s">
        <v>4576</v>
      </c>
    </row>
    <row r="4541" spans="1:6" x14ac:dyDescent="0.25">
      <c r="A4541" t="s">
        <v>4915</v>
      </c>
      <c r="B4541" t="s">
        <v>81</v>
      </c>
      <c r="C4541" t="s">
        <v>82</v>
      </c>
      <c r="D4541" t="str">
        <f>HYPERLINK("http://service.sap.com/sap/support/notes/1740231","1740231")</f>
        <v>1740231</v>
      </c>
      <c r="E4541">
        <v>3</v>
      </c>
      <c r="F4541" t="s">
        <v>4577</v>
      </c>
    </row>
    <row r="4542" spans="1:6" x14ac:dyDescent="0.25">
      <c r="A4542" t="s">
        <v>4915</v>
      </c>
      <c r="B4542" t="s">
        <v>83</v>
      </c>
      <c r="C4542" t="s">
        <v>84</v>
      </c>
      <c r="D4542" t="str">
        <f>HYPERLINK("http://service.sap.com/sap/support/notes/1718262","1718262")</f>
        <v>1718262</v>
      </c>
      <c r="E4542">
        <v>1</v>
      </c>
      <c r="F4542" t="s">
        <v>4578</v>
      </c>
    </row>
    <row r="4543" spans="1:6" x14ac:dyDescent="0.25">
      <c r="A4543" t="s">
        <v>4915</v>
      </c>
      <c r="B4543" t="s">
        <v>83</v>
      </c>
      <c r="C4543" t="s">
        <v>84</v>
      </c>
      <c r="D4543" t="str">
        <f>HYPERLINK("http://service.sap.com/sap/support/notes/1723808","1723808")</f>
        <v>1723808</v>
      </c>
      <c r="E4543">
        <v>3</v>
      </c>
      <c r="F4543" t="s">
        <v>4579</v>
      </c>
    </row>
    <row r="4544" spans="1:6" x14ac:dyDescent="0.25">
      <c r="A4544" t="s">
        <v>4915</v>
      </c>
      <c r="B4544" t="s">
        <v>83</v>
      </c>
      <c r="C4544" t="s">
        <v>84</v>
      </c>
      <c r="D4544" t="str">
        <f>HYPERLINK("http://service.sap.com/sap/support/notes/1725162","1725162")</f>
        <v>1725162</v>
      </c>
      <c r="E4544">
        <v>2</v>
      </c>
      <c r="F4544" t="s">
        <v>4580</v>
      </c>
    </row>
    <row r="4545" spans="1:6" x14ac:dyDescent="0.25">
      <c r="A4545" t="s">
        <v>4915</v>
      </c>
      <c r="B4545" t="s">
        <v>83</v>
      </c>
      <c r="C4545" t="s">
        <v>84</v>
      </c>
      <c r="D4545" t="str">
        <f>HYPERLINK("http://service.sap.com/sap/support/notes/1726668","1726668")</f>
        <v>1726668</v>
      </c>
      <c r="E4545">
        <v>2</v>
      </c>
      <c r="F4545" t="s">
        <v>4581</v>
      </c>
    </row>
    <row r="4546" spans="1:6" x14ac:dyDescent="0.25">
      <c r="A4546" t="s">
        <v>4915</v>
      </c>
      <c r="B4546" t="s">
        <v>83</v>
      </c>
      <c r="C4546" t="s">
        <v>84</v>
      </c>
      <c r="D4546" t="str">
        <f>HYPERLINK("http://service.sap.com/sap/support/notes/1727244","1727244")</f>
        <v>1727244</v>
      </c>
      <c r="E4546">
        <v>1</v>
      </c>
      <c r="F4546" t="s">
        <v>4582</v>
      </c>
    </row>
    <row r="4547" spans="1:6" x14ac:dyDescent="0.25">
      <c r="A4547" t="s">
        <v>4915</v>
      </c>
      <c r="B4547" t="s">
        <v>83</v>
      </c>
      <c r="C4547" t="s">
        <v>84</v>
      </c>
      <c r="D4547" t="str">
        <f>HYPERLINK("http://service.sap.com/sap/support/notes/1729633","1729633")</f>
        <v>1729633</v>
      </c>
      <c r="E4547">
        <v>1</v>
      </c>
      <c r="F4547" t="s">
        <v>4583</v>
      </c>
    </row>
    <row r="4548" spans="1:6" x14ac:dyDescent="0.25">
      <c r="A4548" t="s">
        <v>4915</v>
      </c>
      <c r="B4548" t="s">
        <v>83</v>
      </c>
      <c r="C4548" t="s">
        <v>84</v>
      </c>
      <c r="D4548" t="str">
        <f>HYPERLINK("http://service.sap.com/sap/support/notes/1730472","1730472")</f>
        <v>1730472</v>
      </c>
      <c r="E4548">
        <v>1</v>
      </c>
      <c r="F4548" t="s">
        <v>4584</v>
      </c>
    </row>
    <row r="4549" spans="1:6" x14ac:dyDescent="0.25">
      <c r="A4549" t="s">
        <v>4915</v>
      </c>
      <c r="B4549" t="s">
        <v>83</v>
      </c>
      <c r="C4549" t="s">
        <v>84</v>
      </c>
      <c r="D4549" t="str">
        <f>HYPERLINK("http://service.sap.com/sap/support/notes/1731123","1731123")</f>
        <v>1731123</v>
      </c>
      <c r="E4549">
        <v>1</v>
      </c>
      <c r="F4549" t="s">
        <v>4585</v>
      </c>
    </row>
    <row r="4550" spans="1:6" x14ac:dyDescent="0.25">
      <c r="A4550" t="s">
        <v>4915</v>
      </c>
      <c r="B4550" t="s">
        <v>83</v>
      </c>
      <c r="C4550" t="s">
        <v>84</v>
      </c>
      <c r="D4550" t="str">
        <f>HYPERLINK("http://service.sap.com/sap/support/notes/1731711","1731711")</f>
        <v>1731711</v>
      </c>
      <c r="E4550">
        <v>1</v>
      </c>
      <c r="F4550" t="s">
        <v>4586</v>
      </c>
    </row>
    <row r="4551" spans="1:6" x14ac:dyDescent="0.25">
      <c r="A4551" t="s">
        <v>4915</v>
      </c>
      <c r="B4551" t="s">
        <v>83</v>
      </c>
      <c r="C4551" t="s">
        <v>84</v>
      </c>
      <c r="D4551" t="str">
        <f>HYPERLINK("http://service.sap.com/sap/support/notes/1732436","1732436")</f>
        <v>1732436</v>
      </c>
      <c r="E4551">
        <v>1</v>
      </c>
      <c r="F4551" t="s">
        <v>4587</v>
      </c>
    </row>
    <row r="4552" spans="1:6" x14ac:dyDescent="0.25">
      <c r="A4552" t="s">
        <v>4915</v>
      </c>
      <c r="B4552" t="s">
        <v>83</v>
      </c>
      <c r="C4552" t="s">
        <v>84</v>
      </c>
      <c r="D4552" t="str">
        <f>HYPERLINK("http://service.sap.com/sap/support/notes/1732943","1732943")</f>
        <v>1732943</v>
      </c>
      <c r="E4552">
        <v>1</v>
      </c>
      <c r="F4552" t="s">
        <v>4588</v>
      </c>
    </row>
    <row r="4553" spans="1:6" x14ac:dyDescent="0.25">
      <c r="A4553" t="s">
        <v>4915</v>
      </c>
      <c r="B4553" t="s">
        <v>83</v>
      </c>
      <c r="C4553" t="s">
        <v>84</v>
      </c>
      <c r="D4553" t="str">
        <f>HYPERLINK("http://service.sap.com/sap/support/notes/1733083","1733083")</f>
        <v>1733083</v>
      </c>
      <c r="E4553">
        <v>2</v>
      </c>
      <c r="F4553" t="s">
        <v>4589</v>
      </c>
    </row>
    <row r="4554" spans="1:6" x14ac:dyDescent="0.25">
      <c r="A4554" t="s">
        <v>4915</v>
      </c>
      <c r="B4554" t="s">
        <v>83</v>
      </c>
      <c r="C4554" t="s">
        <v>84</v>
      </c>
      <c r="D4554" t="str">
        <f>HYPERLINK("http://service.sap.com/sap/support/notes/1733091","1733091")</f>
        <v>1733091</v>
      </c>
      <c r="E4554">
        <v>1</v>
      </c>
      <c r="F4554" t="s">
        <v>4590</v>
      </c>
    </row>
    <row r="4555" spans="1:6" x14ac:dyDescent="0.25">
      <c r="A4555" t="s">
        <v>4915</v>
      </c>
      <c r="B4555" t="s">
        <v>83</v>
      </c>
      <c r="C4555" t="s">
        <v>84</v>
      </c>
      <c r="D4555" t="str">
        <f>HYPERLINK("http://service.sap.com/sap/support/notes/1733511","1733511")</f>
        <v>1733511</v>
      </c>
      <c r="E4555">
        <v>1</v>
      </c>
      <c r="F4555" t="s">
        <v>4591</v>
      </c>
    </row>
    <row r="4556" spans="1:6" x14ac:dyDescent="0.25">
      <c r="A4556" t="s">
        <v>4915</v>
      </c>
      <c r="B4556" t="s">
        <v>83</v>
      </c>
      <c r="C4556" t="s">
        <v>84</v>
      </c>
      <c r="D4556" t="str">
        <f>HYPERLINK("http://service.sap.com/sap/support/notes/1733847","1733847")</f>
        <v>1733847</v>
      </c>
      <c r="E4556">
        <v>1</v>
      </c>
      <c r="F4556" t="s">
        <v>4592</v>
      </c>
    </row>
    <row r="4557" spans="1:6" x14ac:dyDescent="0.25">
      <c r="A4557" t="s">
        <v>4915</v>
      </c>
      <c r="B4557" t="s">
        <v>83</v>
      </c>
      <c r="C4557" t="s">
        <v>84</v>
      </c>
      <c r="D4557" t="str">
        <f>HYPERLINK("http://service.sap.com/sap/support/notes/1733851","1733851")</f>
        <v>1733851</v>
      </c>
      <c r="E4557">
        <v>1</v>
      </c>
      <c r="F4557" t="s">
        <v>4593</v>
      </c>
    </row>
    <row r="4558" spans="1:6" x14ac:dyDescent="0.25">
      <c r="A4558" t="s">
        <v>4915</v>
      </c>
      <c r="B4558" t="s">
        <v>83</v>
      </c>
      <c r="C4558" t="s">
        <v>84</v>
      </c>
      <c r="D4558" t="str">
        <f>HYPERLINK("http://service.sap.com/sap/support/notes/1733980","1733980")</f>
        <v>1733980</v>
      </c>
      <c r="E4558">
        <v>1</v>
      </c>
      <c r="F4558" t="s">
        <v>4594</v>
      </c>
    </row>
    <row r="4559" spans="1:6" x14ac:dyDescent="0.25">
      <c r="A4559" t="s">
        <v>4915</v>
      </c>
      <c r="B4559" t="s">
        <v>83</v>
      </c>
      <c r="C4559" t="s">
        <v>84</v>
      </c>
      <c r="D4559" t="str">
        <f>HYPERLINK("http://service.sap.com/sap/support/notes/1734044","1734044")</f>
        <v>1734044</v>
      </c>
      <c r="E4559">
        <v>2</v>
      </c>
      <c r="F4559" t="s">
        <v>4595</v>
      </c>
    </row>
    <row r="4560" spans="1:6" x14ac:dyDescent="0.25">
      <c r="A4560" t="s">
        <v>4915</v>
      </c>
      <c r="B4560" t="s">
        <v>83</v>
      </c>
      <c r="C4560" t="s">
        <v>84</v>
      </c>
      <c r="D4560" t="str">
        <f>HYPERLINK("http://service.sap.com/sap/support/notes/1734111","1734111")</f>
        <v>1734111</v>
      </c>
      <c r="E4560">
        <v>1</v>
      </c>
      <c r="F4560" t="s">
        <v>4596</v>
      </c>
    </row>
    <row r="4561" spans="1:6" x14ac:dyDescent="0.25">
      <c r="A4561" t="s">
        <v>4915</v>
      </c>
      <c r="B4561" t="s">
        <v>83</v>
      </c>
      <c r="C4561" t="s">
        <v>84</v>
      </c>
      <c r="D4561" t="str">
        <f>HYPERLINK("http://service.sap.com/sap/support/notes/1734556","1734556")</f>
        <v>1734556</v>
      </c>
      <c r="E4561">
        <v>1</v>
      </c>
      <c r="F4561" t="s">
        <v>4597</v>
      </c>
    </row>
    <row r="4562" spans="1:6" x14ac:dyDescent="0.25">
      <c r="A4562" t="s">
        <v>4915</v>
      </c>
      <c r="B4562" t="s">
        <v>83</v>
      </c>
      <c r="C4562" t="s">
        <v>84</v>
      </c>
      <c r="D4562" t="str">
        <f>HYPERLINK("http://service.sap.com/sap/support/notes/1735696","1735696")</f>
        <v>1735696</v>
      </c>
      <c r="E4562">
        <v>1</v>
      </c>
      <c r="F4562" t="s">
        <v>4598</v>
      </c>
    </row>
    <row r="4563" spans="1:6" x14ac:dyDescent="0.25">
      <c r="A4563" t="s">
        <v>4915</v>
      </c>
      <c r="B4563" t="s">
        <v>83</v>
      </c>
      <c r="C4563" t="s">
        <v>84</v>
      </c>
      <c r="D4563" t="str">
        <f>HYPERLINK("http://service.sap.com/sap/support/notes/1736043","1736043")</f>
        <v>1736043</v>
      </c>
      <c r="E4563">
        <v>1</v>
      </c>
      <c r="F4563" t="s">
        <v>4599</v>
      </c>
    </row>
    <row r="4564" spans="1:6" x14ac:dyDescent="0.25">
      <c r="A4564" t="s">
        <v>4915</v>
      </c>
      <c r="B4564" t="s">
        <v>83</v>
      </c>
      <c r="C4564" t="s">
        <v>84</v>
      </c>
      <c r="D4564" t="str">
        <f>HYPERLINK("http://service.sap.com/sap/support/notes/1736296","1736296")</f>
        <v>1736296</v>
      </c>
      <c r="E4564">
        <v>1</v>
      </c>
      <c r="F4564" t="s">
        <v>4600</v>
      </c>
    </row>
    <row r="4565" spans="1:6" x14ac:dyDescent="0.25">
      <c r="A4565" t="s">
        <v>4915</v>
      </c>
      <c r="B4565" t="s">
        <v>83</v>
      </c>
      <c r="C4565" t="s">
        <v>84</v>
      </c>
      <c r="D4565" t="str">
        <f>HYPERLINK("http://service.sap.com/sap/support/notes/1736456","1736456")</f>
        <v>1736456</v>
      </c>
      <c r="E4565">
        <v>1</v>
      </c>
      <c r="F4565" t="s">
        <v>4601</v>
      </c>
    </row>
    <row r="4566" spans="1:6" x14ac:dyDescent="0.25">
      <c r="A4566" t="s">
        <v>4915</v>
      </c>
      <c r="B4566" t="s">
        <v>83</v>
      </c>
      <c r="C4566" t="s">
        <v>84</v>
      </c>
      <c r="D4566" t="str">
        <f>HYPERLINK("http://service.sap.com/sap/support/notes/1736463","1736463")</f>
        <v>1736463</v>
      </c>
      <c r="E4566">
        <v>1</v>
      </c>
      <c r="F4566" t="s">
        <v>4602</v>
      </c>
    </row>
    <row r="4567" spans="1:6" x14ac:dyDescent="0.25">
      <c r="A4567" t="s">
        <v>4915</v>
      </c>
      <c r="B4567" t="s">
        <v>83</v>
      </c>
      <c r="C4567" t="s">
        <v>84</v>
      </c>
      <c r="D4567" t="str">
        <f>HYPERLINK("http://service.sap.com/sap/support/notes/1736937","1736937")</f>
        <v>1736937</v>
      </c>
      <c r="E4567">
        <v>1</v>
      </c>
      <c r="F4567" t="s">
        <v>4603</v>
      </c>
    </row>
    <row r="4568" spans="1:6" x14ac:dyDescent="0.25">
      <c r="A4568" t="s">
        <v>4915</v>
      </c>
      <c r="B4568" t="s">
        <v>83</v>
      </c>
      <c r="C4568" t="s">
        <v>84</v>
      </c>
      <c r="D4568" t="str">
        <f>HYPERLINK("http://service.sap.com/sap/support/notes/1737976","1737976")</f>
        <v>1737976</v>
      </c>
      <c r="E4568">
        <v>1</v>
      </c>
      <c r="F4568" t="s">
        <v>4604</v>
      </c>
    </row>
    <row r="4569" spans="1:6" x14ac:dyDescent="0.25">
      <c r="A4569" t="s">
        <v>4915</v>
      </c>
      <c r="B4569" t="s">
        <v>83</v>
      </c>
      <c r="C4569" t="s">
        <v>84</v>
      </c>
      <c r="D4569" t="str">
        <f>HYPERLINK("http://service.sap.com/sap/support/notes/1738030","1738030")</f>
        <v>1738030</v>
      </c>
      <c r="E4569">
        <v>1</v>
      </c>
      <c r="F4569" t="s">
        <v>4605</v>
      </c>
    </row>
    <row r="4570" spans="1:6" x14ac:dyDescent="0.25">
      <c r="A4570" t="s">
        <v>4915</v>
      </c>
      <c r="B4570" t="s">
        <v>83</v>
      </c>
      <c r="C4570" t="s">
        <v>84</v>
      </c>
      <c r="D4570" t="str">
        <f>HYPERLINK("http://service.sap.com/sap/support/notes/1739953","1739953")</f>
        <v>1739953</v>
      </c>
      <c r="E4570">
        <v>1</v>
      </c>
      <c r="F4570" t="s">
        <v>4606</v>
      </c>
    </row>
    <row r="4571" spans="1:6" x14ac:dyDescent="0.25">
      <c r="A4571" t="s">
        <v>4915</v>
      </c>
      <c r="B4571" t="s">
        <v>83</v>
      </c>
      <c r="C4571" t="s">
        <v>84</v>
      </c>
      <c r="D4571" t="str">
        <f>HYPERLINK("http://service.sap.com/sap/support/notes/1740225","1740225")</f>
        <v>1740225</v>
      </c>
      <c r="E4571">
        <v>1</v>
      </c>
      <c r="F4571" t="s">
        <v>4607</v>
      </c>
    </row>
    <row r="4572" spans="1:6" x14ac:dyDescent="0.25">
      <c r="A4572" t="s">
        <v>4915</v>
      </c>
      <c r="B4572" t="s">
        <v>83</v>
      </c>
      <c r="C4572" t="s">
        <v>84</v>
      </c>
      <c r="D4572" t="str">
        <f>HYPERLINK("http://service.sap.com/sap/support/notes/1740537","1740537")</f>
        <v>1740537</v>
      </c>
      <c r="E4572">
        <v>2</v>
      </c>
      <c r="F4572" t="s">
        <v>4608</v>
      </c>
    </row>
    <row r="4573" spans="1:6" x14ac:dyDescent="0.25">
      <c r="A4573" t="s">
        <v>4915</v>
      </c>
      <c r="B4573" t="s">
        <v>83</v>
      </c>
      <c r="C4573" t="s">
        <v>84</v>
      </c>
      <c r="D4573" t="str">
        <f>HYPERLINK("http://service.sap.com/sap/support/notes/1741262","1741262")</f>
        <v>1741262</v>
      </c>
      <c r="E4573">
        <v>1</v>
      </c>
      <c r="F4573" t="s">
        <v>4609</v>
      </c>
    </row>
    <row r="4574" spans="1:6" x14ac:dyDescent="0.25">
      <c r="A4574" t="s">
        <v>4915</v>
      </c>
      <c r="B4574" t="s">
        <v>83</v>
      </c>
      <c r="C4574" t="s">
        <v>84</v>
      </c>
      <c r="D4574" t="str">
        <f>HYPERLINK("http://service.sap.com/sap/support/notes/1743781","1743781")</f>
        <v>1743781</v>
      </c>
      <c r="E4574">
        <v>1</v>
      </c>
      <c r="F4574" t="s">
        <v>4610</v>
      </c>
    </row>
    <row r="4575" spans="1:6" x14ac:dyDescent="0.25">
      <c r="A4575" t="s">
        <v>4915</v>
      </c>
      <c r="B4575" t="s">
        <v>83</v>
      </c>
      <c r="C4575" t="s">
        <v>84</v>
      </c>
      <c r="D4575" t="str">
        <f>HYPERLINK("http://service.sap.com/sap/support/notes/1743799","1743799")</f>
        <v>1743799</v>
      </c>
      <c r="E4575">
        <v>1</v>
      </c>
      <c r="F4575" t="s">
        <v>4611</v>
      </c>
    </row>
    <row r="4576" spans="1:6" x14ac:dyDescent="0.25">
      <c r="A4576" t="s">
        <v>4915</v>
      </c>
      <c r="B4576" t="s">
        <v>86</v>
      </c>
      <c r="C4576" t="s">
        <v>87</v>
      </c>
      <c r="D4576" t="str">
        <f>HYPERLINK("http://service.sap.com/sap/support/notes/1735000","1735000")</f>
        <v>1735000</v>
      </c>
      <c r="E4576">
        <v>2</v>
      </c>
      <c r="F4576" t="s">
        <v>4612</v>
      </c>
    </row>
    <row r="4577" spans="1:6" x14ac:dyDescent="0.25">
      <c r="A4577" t="s">
        <v>4915</v>
      </c>
      <c r="B4577" t="s">
        <v>88</v>
      </c>
      <c r="C4577" t="s">
        <v>82</v>
      </c>
      <c r="D4577" t="str">
        <f>HYPERLINK("http://service.sap.com/sap/support/notes/1726664","1726664")</f>
        <v>1726664</v>
      </c>
      <c r="E4577">
        <v>1</v>
      </c>
      <c r="F4577" t="s">
        <v>4613</v>
      </c>
    </row>
    <row r="4578" spans="1:6" x14ac:dyDescent="0.25">
      <c r="A4578" t="s">
        <v>4915</v>
      </c>
      <c r="B4578" t="s">
        <v>88</v>
      </c>
      <c r="C4578" t="s">
        <v>82</v>
      </c>
      <c r="D4578" t="str">
        <f>HYPERLINK("http://service.sap.com/sap/support/notes/1732246","1732246")</f>
        <v>1732246</v>
      </c>
      <c r="E4578">
        <v>1</v>
      </c>
      <c r="F4578" t="s">
        <v>4614</v>
      </c>
    </row>
    <row r="4579" spans="1:6" x14ac:dyDescent="0.25">
      <c r="A4579" t="s">
        <v>4915</v>
      </c>
      <c r="B4579" t="s">
        <v>89</v>
      </c>
      <c r="C4579" t="s">
        <v>34</v>
      </c>
      <c r="D4579" t="str">
        <f>HYPERLINK("http://service.sap.com/sap/support/notes/1720185","1720185")</f>
        <v>1720185</v>
      </c>
      <c r="E4579">
        <v>3</v>
      </c>
      <c r="F4579" t="s">
        <v>4615</v>
      </c>
    </row>
    <row r="4580" spans="1:6" x14ac:dyDescent="0.25">
      <c r="A4580" t="s">
        <v>4915</v>
      </c>
      <c r="B4580" t="s">
        <v>89</v>
      </c>
      <c r="C4580" t="s">
        <v>34</v>
      </c>
      <c r="D4580" t="str">
        <f>HYPERLINK("http://service.sap.com/sap/support/notes/1724540","1724540")</f>
        <v>1724540</v>
      </c>
      <c r="E4580">
        <v>2</v>
      </c>
      <c r="F4580" t="s">
        <v>4616</v>
      </c>
    </row>
    <row r="4581" spans="1:6" x14ac:dyDescent="0.25">
      <c r="A4581" t="s">
        <v>4915</v>
      </c>
      <c r="B4581" t="s">
        <v>89</v>
      </c>
      <c r="C4581" t="s">
        <v>34</v>
      </c>
      <c r="D4581" t="str">
        <f>HYPERLINK("http://service.sap.com/sap/support/notes/1725569","1725569")</f>
        <v>1725569</v>
      </c>
      <c r="E4581">
        <v>1</v>
      </c>
      <c r="F4581" t="s">
        <v>4617</v>
      </c>
    </row>
    <row r="4582" spans="1:6" x14ac:dyDescent="0.25">
      <c r="A4582" t="s">
        <v>4915</v>
      </c>
      <c r="B4582" t="s">
        <v>89</v>
      </c>
      <c r="C4582" t="s">
        <v>34</v>
      </c>
      <c r="D4582" t="str">
        <f>HYPERLINK("http://service.sap.com/sap/support/notes/1729637","1729637")</f>
        <v>1729637</v>
      </c>
      <c r="E4582">
        <v>3</v>
      </c>
      <c r="F4582" t="s">
        <v>4618</v>
      </c>
    </row>
    <row r="4583" spans="1:6" x14ac:dyDescent="0.25">
      <c r="A4583" t="s">
        <v>4915</v>
      </c>
      <c r="B4583" t="s">
        <v>89</v>
      </c>
      <c r="C4583" t="s">
        <v>34</v>
      </c>
      <c r="D4583" t="str">
        <f>HYPERLINK("http://service.sap.com/sap/support/notes/1732358","1732358")</f>
        <v>1732358</v>
      </c>
      <c r="E4583">
        <v>1</v>
      </c>
      <c r="F4583" t="s">
        <v>4619</v>
      </c>
    </row>
    <row r="4584" spans="1:6" x14ac:dyDescent="0.25">
      <c r="A4584" t="s">
        <v>4915</v>
      </c>
      <c r="B4584" t="s">
        <v>89</v>
      </c>
      <c r="C4584" t="s">
        <v>34</v>
      </c>
      <c r="D4584" t="str">
        <f>HYPERLINK("http://service.sap.com/sap/support/notes/1732959","1732959")</f>
        <v>1732959</v>
      </c>
      <c r="E4584">
        <v>1</v>
      </c>
      <c r="F4584" t="s">
        <v>4620</v>
      </c>
    </row>
    <row r="4585" spans="1:6" x14ac:dyDescent="0.25">
      <c r="A4585" t="s">
        <v>4915</v>
      </c>
      <c r="B4585" t="s">
        <v>89</v>
      </c>
      <c r="C4585" t="s">
        <v>34</v>
      </c>
      <c r="D4585" t="str">
        <f>HYPERLINK("http://service.sap.com/sap/support/notes/1733060","1733060")</f>
        <v>1733060</v>
      </c>
      <c r="E4585">
        <v>2</v>
      </c>
      <c r="F4585" t="s">
        <v>4621</v>
      </c>
    </row>
    <row r="4586" spans="1:6" x14ac:dyDescent="0.25">
      <c r="A4586" t="s">
        <v>4915</v>
      </c>
      <c r="B4586" t="s">
        <v>89</v>
      </c>
      <c r="C4586" t="s">
        <v>34</v>
      </c>
      <c r="D4586" t="str">
        <f>HYPERLINK("http://service.sap.com/sap/support/notes/1733355","1733355")</f>
        <v>1733355</v>
      </c>
      <c r="E4586">
        <v>2</v>
      </c>
      <c r="F4586" t="s">
        <v>4622</v>
      </c>
    </row>
    <row r="4587" spans="1:6" x14ac:dyDescent="0.25">
      <c r="A4587" t="s">
        <v>4915</v>
      </c>
      <c r="B4587" t="s">
        <v>89</v>
      </c>
      <c r="C4587" t="s">
        <v>34</v>
      </c>
      <c r="D4587" t="str">
        <f>HYPERLINK("http://service.sap.com/sap/support/notes/1733525","1733525")</f>
        <v>1733525</v>
      </c>
      <c r="E4587">
        <v>1</v>
      </c>
      <c r="F4587" t="s">
        <v>4623</v>
      </c>
    </row>
    <row r="4588" spans="1:6" x14ac:dyDescent="0.25">
      <c r="A4588" t="s">
        <v>4915</v>
      </c>
      <c r="B4588" t="s">
        <v>89</v>
      </c>
      <c r="C4588" t="s">
        <v>34</v>
      </c>
      <c r="D4588" t="str">
        <f>HYPERLINK("http://service.sap.com/sap/support/notes/1735187","1735187")</f>
        <v>1735187</v>
      </c>
      <c r="E4588">
        <v>1</v>
      </c>
      <c r="F4588" t="s">
        <v>4624</v>
      </c>
    </row>
    <row r="4589" spans="1:6" x14ac:dyDescent="0.25">
      <c r="A4589" t="s">
        <v>4915</v>
      </c>
      <c r="B4589" t="s">
        <v>89</v>
      </c>
      <c r="C4589" t="s">
        <v>34</v>
      </c>
      <c r="D4589" t="str">
        <f>HYPERLINK("http://service.sap.com/sap/support/notes/1736382","1736382")</f>
        <v>1736382</v>
      </c>
      <c r="E4589">
        <v>3</v>
      </c>
      <c r="F4589" t="s">
        <v>4625</v>
      </c>
    </row>
    <row r="4590" spans="1:6" x14ac:dyDescent="0.25">
      <c r="A4590" t="s">
        <v>4915</v>
      </c>
      <c r="B4590" t="s">
        <v>89</v>
      </c>
      <c r="C4590" t="s">
        <v>34</v>
      </c>
      <c r="D4590" t="str">
        <f>HYPERLINK("http://service.sap.com/sap/support/notes/1736409","1736409")</f>
        <v>1736409</v>
      </c>
      <c r="E4590">
        <v>2</v>
      </c>
      <c r="F4590" t="s">
        <v>4626</v>
      </c>
    </row>
    <row r="4591" spans="1:6" x14ac:dyDescent="0.25">
      <c r="A4591" t="s">
        <v>4915</v>
      </c>
      <c r="B4591" t="s">
        <v>89</v>
      </c>
      <c r="C4591" t="s">
        <v>34</v>
      </c>
      <c r="D4591" t="str">
        <f>HYPERLINK("http://service.sap.com/sap/support/notes/1736584","1736584")</f>
        <v>1736584</v>
      </c>
      <c r="E4591">
        <v>3</v>
      </c>
      <c r="F4591" t="s">
        <v>4627</v>
      </c>
    </row>
    <row r="4592" spans="1:6" x14ac:dyDescent="0.25">
      <c r="A4592" t="s">
        <v>4915</v>
      </c>
      <c r="B4592" t="s">
        <v>89</v>
      </c>
      <c r="C4592" t="s">
        <v>34</v>
      </c>
      <c r="D4592" t="str">
        <f>HYPERLINK("http://service.sap.com/sap/support/notes/1739675","1739675")</f>
        <v>1739675</v>
      </c>
      <c r="E4592">
        <v>4</v>
      </c>
      <c r="F4592" t="s">
        <v>4628</v>
      </c>
    </row>
    <row r="4593" spans="1:6" x14ac:dyDescent="0.25">
      <c r="A4593" t="s">
        <v>4915</v>
      </c>
      <c r="B4593" t="s">
        <v>89</v>
      </c>
      <c r="C4593" t="s">
        <v>34</v>
      </c>
      <c r="D4593" t="str">
        <f>HYPERLINK("http://service.sap.com/sap/support/notes/1742940","1742940")</f>
        <v>1742940</v>
      </c>
      <c r="E4593">
        <v>1</v>
      </c>
      <c r="F4593" t="s">
        <v>4629</v>
      </c>
    </row>
    <row r="4594" spans="1:6" x14ac:dyDescent="0.25">
      <c r="A4594" t="s">
        <v>4915</v>
      </c>
      <c r="B4594" t="s">
        <v>91</v>
      </c>
      <c r="C4594" t="s">
        <v>92</v>
      </c>
      <c r="D4594" t="str">
        <f>HYPERLINK("http://service.sap.com/sap/support/notes/1679986","1679986")</f>
        <v>1679986</v>
      </c>
      <c r="E4594">
        <v>4</v>
      </c>
      <c r="F4594" t="s">
        <v>4630</v>
      </c>
    </row>
    <row r="4595" spans="1:6" x14ac:dyDescent="0.25">
      <c r="A4595" t="s">
        <v>4915</v>
      </c>
      <c r="B4595" t="s">
        <v>91</v>
      </c>
      <c r="C4595" t="s">
        <v>92</v>
      </c>
      <c r="D4595" t="str">
        <f>HYPERLINK("http://service.sap.com/sap/support/notes/1700689","1700689")</f>
        <v>1700689</v>
      </c>
      <c r="E4595">
        <v>4</v>
      </c>
      <c r="F4595" t="s">
        <v>4631</v>
      </c>
    </row>
    <row r="4596" spans="1:6" x14ac:dyDescent="0.25">
      <c r="A4596" t="s">
        <v>4915</v>
      </c>
      <c r="B4596" t="s">
        <v>91</v>
      </c>
      <c r="C4596" t="s">
        <v>92</v>
      </c>
      <c r="D4596" t="str">
        <f>HYPERLINK("http://service.sap.com/sap/support/notes/1716498","1716498")</f>
        <v>1716498</v>
      </c>
      <c r="E4596">
        <v>3</v>
      </c>
      <c r="F4596" t="s">
        <v>4632</v>
      </c>
    </row>
    <row r="4597" spans="1:6" x14ac:dyDescent="0.25">
      <c r="A4597" t="s">
        <v>4915</v>
      </c>
      <c r="B4597" t="s">
        <v>91</v>
      </c>
      <c r="C4597" t="s">
        <v>92</v>
      </c>
      <c r="D4597" t="str">
        <f>HYPERLINK("http://service.sap.com/sap/support/notes/1726939","1726939")</f>
        <v>1726939</v>
      </c>
      <c r="E4597">
        <v>2</v>
      </c>
      <c r="F4597" t="s">
        <v>4633</v>
      </c>
    </row>
    <row r="4598" spans="1:6" x14ac:dyDescent="0.25">
      <c r="A4598" t="s">
        <v>4915</v>
      </c>
      <c r="B4598" t="s">
        <v>91</v>
      </c>
      <c r="C4598" t="s">
        <v>92</v>
      </c>
      <c r="D4598" t="str">
        <f>HYPERLINK("http://service.sap.com/sap/support/notes/1728187","1728187")</f>
        <v>1728187</v>
      </c>
      <c r="E4598">
        <v>2</v>
      </c>
      <c r="F4598" t="s">
        <v>4634</v>
      </c>
    </row>
    <row r="4599" spans="1:6" x14ac:dyDescent="0.25">
      <c r="A4599" t="s">
        <v>4915</v>
      </c>
      <c r="B4599" t="s">
        <v>91</v>
      </c>
      <c r="C4599" t="s">
        <v>92</v>
      </c>
      <c r="D4599" t="str">
        <f>HYPERLINK("http://service.sap.com/sap/support/notes/1730967","1730967")</f>
        <v>1730967</v>
      </c>
      <c r="E4599">
        <v>2</v>
      </c>
      <c r="F4599" t="s">
        <v>4635</v>
      </c>
    </row>
    <row r="4600" spans="1:6" x14ac:dyDescent="0.25">
      <c r="A4600" t="s">
        <v>4915</v>
      </c>
      <c r="B4600" t="s">
        <v>91</v>
      </c>
      <c r="C4600" t="s">
        <v>92</v>
      </c>
      <c r="D4600" t="str">
        <f>HYPERLINK("http://service.sap.com/sap/support/notes/1731618","1731618")</f>
        <v>1731618</v>
      </c>
      <c r="E4600">
        <v>1</v>
      </c>
      <c r="F4600" t="s">
        <v>4300</v>
      </c>
    </row>
    <row r="4601" spans="1:6" x14ac:dyDescent="0.25">
      <c r="A4601" t="s">
        <v>4915</v>
      </c>
      <c r="B4601" t="s">
        <v>91</v>
      </c>
      <c r="C4601" t="s">
        <v>92</v>
      </c>
      <c r="D4601" t="str">
        <f>HYPERLINK("http://service.sap.com/sap/support/notes/1733170","1733170")</f>
        <v>1733170</v>
      </c>
      <c r="E4601">
        <v>2</v>
      </c>
      <c r="F4601" t="s">
        <v>4636</v>
      </c>
    </row>
    <row r="4602" spans="1:6" x14ac:dyDescent="0.25">
      <c r="A4602" t="s">
        <v>4915</v>
      </c>
      <c r="B4602" t="s">
        <v>91</v>
      </c>
      <c r="C4602" t="s">
        <v>92</v>
      </c>
      <c r="D4602" t="str">
        <f>HYPERLINK("http://service.sap.com/sap/support/notes/1733202","1733202")</f>
        <v>1733202</v>
      </c>
      <c r="E4602">
        <v>1</v>
      </c>
      <c r="F4602" t="s">
        <v>4637</v>
      </c>
    </row>
    <row r="4603" spans="1:6" x14ac:dyDescent="0.25">
      <c r="A4603" t="s">
        <v>4915</v>
      </c>
      <c r="B4603" t="s">
        <v>91</v>
      </c>
      <c r="C4603" t="s">
        <v>92</v>
      </c>
      <c r="D4603" t="str">
        <f>HYPERLINK("http://service.sap.com/sap/support/notes/1733845","1733845")</f>
        <v>1733845</v>
      </c>
      <c r="E4603">
        <v>2</v>
      </c>
      <c r="F4603" t="s">
        <v>4638</v>
      </c>
    </row>
    <row r="4604" spans="1:6" x14ac:dyDescent="0.25">
      <c r="A4604" t="s">
        <v>4915</v>
      </c>
      <c r="B4604" t="s">
        <v>91</v>
      </c>
      <c r="C4604" t="s">
        <v>92</v>
      </c>
      <c r="D4604" t="str">
        <f>HYPERLINK("http://service.sap.com/sap/support/notes/1735420","1735420")</f>
        <v>1735420</v>
      </c>
      <c r="E4604">
        <v>3</v>
      </c>
      <c r="F4604" t="s">
        <v>4639</v>
      </c>
    </row>
    <row r="4605" spans="1:6" x14ac:dyDescent="0.25">
      <c r="A4605" t="s">
        <v>4915</v>
      </c>
      <c r="B4605" t="s">
        <v>91</v>
      </c>
      <c r="C4605" t="s">
        <v>92</v>
      </c>
      <c r="D4605" t="str">
        <f>HYPERLINK("http://service.sap.com/sap/support/notes/1736239","1736239")</f>
        <v>1736239</v>
      </c>
      <c r="E4605">
        <v>4</v>
      </c>
      <c r="F4605" t="s">
        <v>4640</v>
      </c>
    </row>
    <row r="4606" spans="1:6" x14ac:dyDescent="0.25">
      <c r="A4606" t="s">
        <v>4915</v>
      </c>
      <c r="B4606" t="s">
        <v>91</v>
      </c>
      <c r="C4606" t="s">
        <v>92</v>
      </c>
      <c r="D4606" t="str">
        <f>HYPERLINK("http://service.sap.com/sap/support/notes/1737765","1737765")</f>
        <v>1737765</v>
      </c>
      <c r="E4606">
        <v>10</v>
      </c>
      <c r="F4606" t="s">
        <v>4641</v>
      </c>
    </row>
    <row r="4607" spans="1:6" x14ac:dyDescent="0.25">
      <c r="A4607" t="s">
        <v>4915</v>
      </c>
      <c r="B4607" t="s">
        <v>94</v>
      </c>
      <c r="C4607" t="s">
        <v>95</v>
      </c>
    </row>
    <row r="4608" spans="1:6" x14ac:dyDescent="0.25">
      <c r="A4608" t="s">
        <v>4915</v>
      </c>
      <c r="B4608" t="s">
        <v>306</v>
      </c>
      <c r="C4608" t="s">
        <v>132</v>
      </c>
      <c r="D4608" t="str">
        <f>HYPERLINK("http://service.sap.com/sap/support/notes/1726053","1726053")</f>
        <v>1726053</v>
      </c>
      <c r="E4608">
        <v>4</v>
      </c>
      <c r="F4608" t="s">
        <v>4642</v>
      </c>
    </row>
    <row r="4609" spans="1:6" x14ac:dyDescent="0.25">
      <c r="A4609" t="s">
        <v>4915</v>
      </c>
      <c r="B4609" t="s">
        <v>96</v>
      </c>
      <c r="C4609" t="s">
        <v>97</v>
      </c>
      <c r="D4609" t="str">
        <f>HYPERLINK("http://service.sap.com/sap/support/notes/1696564","1696564")</f>
        <v>1696564</v>
      </c>
      <c r="E4609">
        <v>2</v>
      </c>
      <c r="F4609" t="s">
        <v>4643</v>
      </c>
    </row>
    <row r="4610" spans="1:6" x14ac:dyDescent="0.25">
      <c r="A4610" t="s">
        <v>4915</v>
      </c>
      <c r="B4610" t="s">
        <v>96</v>
      </c>
      <c r="C4610" t="s">
        <v>97</v>
      </c>
      <c r="D4610" t="str">
        <f>HYPERLINK("http://service.sap.com/sap/support/notes/1734709","1734709")</f>
        <v>1734709</v>
      </c>
      <c r="E4610">
        <v>1</v>
      </c>
      <c r="F4610" t="s">
        <v>4644</v>
      </c>
    </row>
    <row r="4611" spans="1:6" x14ac:dyDescent="0.25">
      <c r="A4611" t="s">
        <v>4915</v>
      </c>
      <c r="B4611" t="s">
        <v>96</v>
      </c>
      <c r="C4611" t="s">
        <v>97</v>
      </c>
      <c r="D4611" t="str">
        <f>HYPERLINK("http://service.sap.com/sap/support/notes/1738762","1738762")</f>
        <v>1738762</v>
      </c>
      <c r="E4611">
        <v>1</v>
      </c>
      <c r="F4611" t="s">
        <v>4645</v>
      </c>
    </row>
    <row r="4612" spans="1:6" x14ac:dyDescent="0.25">
      <c r="A4612" t="s">
        <v>4915</v>
      </c>
      <c r="B4612" t="s">
        <v>98</v>
      </c>
      <c r="C4612" t="s">
        <v>99</v>
      </c>
      <c r="D4612" t="str">
        <f>HYPERLINK("http://service.sap.com/sap/support/notes/1667988","1667988")</f>
        <v>1667988</v>
      </c>
      <c r="E4612">
        <v>4</v>
      </c>
      <c r="F4612" t="s">
        <v>4646</v>
      </c>
    </row>
    <row r="4613" spans="1:6" x14ac:dyDescent="0.25">
      <c r="A4613" t="s">
        <v>4915</v>
      </c>
      <c r="B4613" t="s">
        <v>98</v>
      </c>
      <c r="C4613" t="s">
        <v>99</v>
      </c>
      <c r="D4613" t="str">
        <f>HYPERLINK("http://service.sap.com/sap/support/notes/1723306","1723306")</f>
        <v>1723306</v>
      </c>
      <c r="E4613">
        <v>2</v>
      </c>
      <c r="F4613" t="s">
        <v>4647</v>
      </c>
    </row>
    <row r="4614" spans="1:6" x14ac:dyDescent="0.25">
      <c r="A4614" t="s">
        <v>4915</v>
      </c>
      <c r="B4614" t="s">
        <v>98</v>
      </c>
      <c r="C4614" t="s">
        <v>99</v>
      </c>
      <c r="D4614" t="str">
        <f>HYPERLINK("http://service.sap.com/sap/support/notes/1727438","1727438")</f>
        <v>1727438</v>
      </c>
      <c r="E4614">
        <v>3</v>
      </c>
      <c r="F4614" t="s">
        <v>4648</v>
      </c>
    </row>
    <row r="4615" spans="1:6" x14ac:dyDescent="0.25">
      <c r="A4615" t="s">
        <v>4915</v>
      </c>
      <c r="B4615" t="s">
        <v>101</v>
      </c>
      <c r="C4615" t="s">
        <v>38</v>
      </c>
    </row>
    <row r="4616" spans="1:6" x14ac:dyDescent="0.25">
      <c r="A4616" t="s">
        <v>4915</v>
      </c>
      <c r="B4616" t="s">
        <v>102</v>
      </c>
      <c r="C4616" t="s">
        <v>103</v>
      </c>
      <c r="D4616" t="str">
        <f>HYPERLINK("http://service.sap.com/sap/support/notes/1732569","1732569")</f>
        <v>1732569</v>
      </c>
      <c r="E4616">
        <v>7</v>
      </c>
      <c r="F4616" t="s">
        <v>4649</v>
      </c>
    </row>
    <row r="4617" spans="1:6" x14ac:dyDescent="0.25">
      <c r="A4617" t="s">
        <v>4915</v>
      </c>
      <c r="B4617" t="s">
        <v>104</v>
      </c>
      <c r="C4617" t="s">
        <v>105</v>
      </c>
      <c r="D4617" t="str">
        <f>HYPERLINK("http://service.sap.com/sap/support/notes/1721145","1721145")</f>
        <v>1721145</v>
      </c>
      <c r="E4617">
        <v>4</v>
      </c>
      <c r="F4617" t="s">
        <v>4650</v>
      </c>
    </row>
    <row r="4618" spans="1:6" x14ac:dyDescent="0.25">
      <c r="A4618" t="s">
        <v>4915</v>
      </c>
      <c r="B4618" t="s">
        <v>104</v>
      </c>
      <c r="C4618" t="s">
        <v>105</v>
      </c>
      <c r="D4618" t="str">
        <f>HYPERLINK("http://service.sap.com/sap/support/notes/1731166","1731166")</f>
        <v>1731166</v>
      </c>
      <c r="E4618">
        <v>3</v>
      </c>
      <c r="F4618" t="s">
        <v>4651</v>
      </c>
    </row>
    <row r="4619" spans="1:6" x14ac:dyDescent="0.25">
      <c r="A4619" t="s">
        <v>4915</v>
      </c>
      <c r="B4619" t="s">
        <v>106</v>
      </c>
      <c r="C4619" t="s">
        <v>107</v>
      </c>
    </row>
    <row r="4620" spans="1:6" x14ac:dyDescent="0.25">
      <c r="A4620" t="s">
        <v>4915</v>
      </c>
      <c r="B4620" t="s">
        <v>108</v>
      </c>
      <c r="C4620" t="s">
        <v>109</v>
      </c>
      <c r="D4620" t="str">
        <f>HYPERLINK("http://service.sap.com/sap/support/notes/1734520","1734520")</f>
        <v>1734520</v>
      </c>
      <c r="E4620">
        <v>1</v>
      </c>
      <c r="F4620" t="s">
        <v>4652</v>
      </c>
    </row>
    <row r="4621" spans="1:6" x14ac:dyDescent="0.25">
      <c r="A4621" t="s">
        <v>4915</v>
      </c>
      <c r="B4621" t="s">
        <v>110</v>
      </c>
      <c r="C4621" t="s">
        <v>111</v>
      </c>
      <c r="D4621" t="str">
        <f>HYPERLINK("http://service.sap.com/sap/support/notes/1728715","1728715")</f>
        <v>1728715</v>
      </c>
      <c r="E4621">
        <v>3</v>
      </c>
      <c r="F4621" t="s">
        <v>4653</v>
      </c>
    </row>
    <row r="4622" spans="1:6" x14ac:dyDescent="0.25">
      <c r="A4622" t="s">
        <v>4915</v>
      </c>
      <c r="B4622" t="s">
        <v>609</v>
      </c>
      <c r="C4622" t="s">
        <v>610</v>
      </c>
      <c r="D4622" t="str">
        <f>HYPERLINK("http://service.sap.com/sap/support/notes/1642185","1642185")</f>
        <v>1642185</v>
      </c>
      <c r="E4622">
        <v>1</v>
      </c>
      <c r="F4622" t="s">
        <v>4654</v>
      </c>
    </row>
    <row r="4623" spans="1:6" x14ac:dyDescent="0.25">
      <c r="A4623" t="s">
        <v>4915</v>
      </c>
      <c r="B4623" t="s">
        <v>609</v>
      </c>
      <c r="C4623" t="s">
        <v>610</v>
      </c>
      <c r="D4623" t="str">
        <f>HYPERLINK("http://service.sap.com/sap/support/notes/1732087","1732087")</f>
        <v>1732087</v>
      </c>
      <c r="E4623">
        <v>2</v>
      </c>
      <c r="F4623" t="s">
        <v>4655</v>
      </c>
    </row>
    <row r="4624" spans="1:6" x14ac:dyDescent="0.25">
      <c r="A4624" t="s">
        <v>4915</v>
      </c>
      <c r="B4624" t="s">
        <v>609</v>
      </c>
      <c r="C4624" t="s">
        <v>610</v>
      </c>
      <c r="D4624" t="str">
        <f>HYPERLINK("http://service.sap.com/sap/support/notes/1732417","1732417")</f>
        <v>1732417</v>
      </c>
      <c r="E4624">
        <v>2</v>
      </c>
      <c r="F4624" t="s">
        <v>4656</v>
      </c>
    </row>
    <row r="4625" spans="1:6" x14ac:dyDescent="0.25">
      <c r="A4625" t="s">
        <v>4915</v>
      </c>
      <c r="B4625" t="s">
        <v>312</v>
      </c>
      <c r="C4625" t="s">
        <v>313</v>
      </c>
      <c r="D4625" t="str">
        <f>HYPERLINK("http://service.sap.com/sap/support/notes/1714411","1714411")</f>
        <v>1714411</v>
      </c>
      <c r="E4625">
        <v>2</v>
      </c>
      <c r="F4625" t="s">
        <v>4657</v>
      </c>
    </row>
    <row r="4626" spans="1:6" x14ac:dyDescent="0.25">
      <c r="A4626" t="s">
        <v>4915</v>
      </c>
      <c r="B4626" t="s">
        <v>312</v>
      </c>
      <c r="C4626" t="s">
        <v>313</v>
      </c>
      <c r="D4626" t="str">
        <f>HYPERLINK("http://service.sap.com/sap/support/notes/1720780","1720780")</f>
        <v>1720780</v>
      </c>
      <c r="E4626">
        <v>3</v>
      </c>
      <c r="F4626" t="s">
        <v>4658</v>
      </c>
    </row>
    <row r="4627" spans="1:6" x14ac:dyDescent="0.25">
      <c r="A4627" t="s">
        <v>4915</v>
      </c>
      <c r="B4627" t="s">
        <v>312</v>
      </c>
      <c r="C4627" t="s">
        <v>313</v>
      </c>
      <c r="D4627" t="str">
        <f>HYPERLINK("http://service.sap.com/sap/support/notes/1740349","1740349")</f>
        <v>1740349</v>
      </c>
      <c r="E4627">
        <v>1</v>
      </c>
      <c r="F4627" t="s">
        <v>4659</v>
      </c>
    </row>
    <row r="4628" spans="1:6" x14ac:dyDescent="0.25">
      <c r="A4628" t="s">
        <v>4915</v>
      </c>
      <c r="B4628" t="s">
        <v>114</v>
      </c>
      <c r="C4628" t="s">
        <v>115</v>
      </c>
    </row>
    <row r="4629" spans="1:6" x14ac:dyDescent="0.25">
      <c r="A4629" t="s">
        <v>4915</v>
      </c>
      <c r="B4629" t="s">
        <v>118</v>
      </c>
      <c r="C4629" t="s">
        <v>119</v>
      </c>
      <c r="D4629" t="str">
        <f>HYPERLINK("http://service.sap.com/sap/support/notes/1706138","1706138")</f>
        <v>1706138</v>
      </c>
      <c r="E4629">
        <v>7</v>
      </c>
      <c r="F4629" t="s">
        <v>4660</v>
      </c>
    </row>
    <row r="4630" spans="1:6" x14ac:dyDescent="0.25">
      <c r="A4630" t="s">
        <v>4915</v>
      </c>
      <c r="B4630" t="s">
        <v>118</v>
      </c>
      <c r="C4630" t="s">
        <v>119</v>
      </c>
      <c r="D4630" t="str">
        <f>HYPERLINK("http://service.sap.com/sap/support/notes/1728497","1728497")</f>
        <v>1728497</v>
      </c>
      <c r="E4630">
        <v>1</v>
      </c>
      <c r="F4630" t="s">
        <v>4661</v>
      </c>
    </row>
    <row r="4631" spans="1:6" x14ac:dyDescent="0.25">
      <c r="A4631" t="s">
        <v>4915</v>
      </c>
      <c r="B4631" t="s">
        <v>118</v>
      </c>
      <c r="C4631" t="s">
        <v>119</v>
      </c>
      <c r="D4631" t="str">
        <f>HYPERLINK("http://service.sap.com/sap/support/notes/1737490","1737490")</f>
        <v>1737490</v>
      </c>
      <c r="E4631">
        <v>3</v>
      </c>
      <c r="F4631" t="s">
        <v>4662</v>
      </c>
    </row>
    <row r="4632" spans="1:6" x14ac:dyDescent="0.25">
      <c r="A4632" t="s">
        <v>4915</v>
      </c>
      <c r="B4632" t="s">
        <v>120</v>
      </c>
      <c r="C4632" t="s">
        <v>121</v>
      </c>
      <c r="D4632" t="str">
        <f>HYPERLINK("http://service.sap.com/sap/support/notes/1727183","1727183")</f>
        <v>1727183</v>
      </c>
      <c r="E4632">
        <v>1</v>
      </c>
      <c r="F4632" t="s">
        <v>4663</v>
      </c>
    </row>
    <row r="4633" spans="1:6" x14ac:dyDescent="0.25">
      <c r="A4633" t="s">
        <v>4915</v>
      </c>
      <c r="B4633" t="s">
        <v>120</v>
      </c>
      <c r="C4633" t="s">
        <v>121</v>
      </c>
      <c r="D4633" t="str">
        <f>HYPERLINK("http://service.sap.com/sap/support/notes/1729219","1729219")</f>
        <v>1729219</v>
      </c>
      <c r="E4633">
        <v>1</v>
      </c>
      <c r="F4633" t="s">
        <v>4664</v>
      </c>
    </row>
    <row r="4634" spans="1:6" x14ac:dyDescent="0.25">
      <c r="A4634" t="s">
        <v>4915</v>
      </c>
      <c r="B4634" t="s">
        <v>120</v>
      </c>
      <c r="C4634" t="s">
        <v>121</v>
      </c>
      <c r="D4634" t="str">
        <f>HYPERLINK("http://service.sap.com/sap/support/notes/1730765","1730765")</f>
        <v>1730765</v>
      </c>
      <c r="E4634">
        <v>3</v>
      </c>
      <c r="F4634" t="s">
        <v>4665</v>
      </c>
    </row>
    <row r="4635" spans="1:6" x14ac:dyDescent="0.25">
      <c r="A4635" t="s">
        <v>4915</v>
      </c>
      <c r="B4635" t="s">
        <v>120</v>
      </c>
      <c r="C4635" t="s">
        <v>121</v>
      </c>
      <c r="D4635" t="str">
        <f>HYPERLINK("http://service.sap.com/sap/support/notes/1733440","1733440")</f>
        <v>1733440</v>
      </c>
      <c r="E4635">
        <v>1</v>
      </c>
      <c r="F4635" t="s">
        <v>4666</v>
      </c>
    </row>
    <row r="4636" spans="1:6" x14ac:dyDescent="0.25">
      <c r="A4636" t="s">
        <v>4915</v>
      </c>
      <c r="B4636" t="s">
        <v>120</v>
      </c>
      <c r="C4636" t="s">
        <v>121</v>
      </c>
      <c r="D4636" t="str">
        <f>HYPERLINK("http://service.sap.com/sap/support/notes/1739858","1739858")</f>
        <v>1739858</v>
      </c>
      <c r="E4636">
        <v>2</v>
      </c>
      <c r="F4636" t="s">
        <v>4667</v>
      </c>
    </row>
    <row r="4637" spans="1:6" x14ac:dyDescent="0.25">
      <c r="A4637" t="s">
        <v>4915</v>
      </c>
      <c r="B4637" t="s">
        <v>314</v>
      </c>
      <c r="C4637" t="s">
        <v>396</v>
      </c>
      <c r="D4637" t="str">
        <f>HYPERLINK("http://service.sap.com/sap/support/notes/1741465","1741465")</f>
        <v>1741465</v>
      </c>
      <c r="E4637">
        <v>1</v>
      </c>
      <c r="F4637" t="s">
        <v>4668</v>
      </c>
    </row>
    <row r="4638" spans="1:6" x14ac:dyDescent="0.25">
      <c r="A4638" t="s">
        <v>4915</v>
      </c>
      <c r="B4638" t="s">
        <v>122</v>
      </c>
      <c r="C4638" t="s">
        <v>123</v>
      </c>
      <c r="D4638" t="str">
        <f>HYPERLINK("http://service.sap.com/sap/support/notes/1716912","1716912")</f>
        <v>1716912</v>
      </c>
      <c r="E4638">
        <v>3</v>
      </c>
      <c r="F4638" t="s">
        <v>4669</v>
      </c>
    </row>
    <row r="4639" spans="1:6" x14ac:dyDescent="0.25">
      <c r="A4639" t="s">
        <v>4915</v>
      </c>
      <c r="B4639" t="s">
        <v>122</v>
      </c>
      <c r="C4639" t="s">
        <v>123</v>
      </c>
      <c r="D4639" t="str">
        <f>HYPERLINK("http://service.sap.com/sap/support/notes/1724436","1724436")</f>
        <v>1724436</v>
      </c>
      <c r="E4639">
        <v>1</v>
      </c>
      <c r="F4639" t="s">
        <v>4670</v>
      </c>
    </row>
    <row r="4640" spans="1:6" x14ac:dyDescent="0.25">
      <c r="A4640" t="s">
        <v>4915</v>
      </c>
      <c r="B4640" t="s">
        <v>122</v>
      </c>
      <c r="C4640" t="s">
        <v>123</v>
      </c>
      <c r="D4640" t="str">
        <f>HYPERLINK("http://service.sap.com/sap/support/notes/1733098","1733098")</f>
        <v>1733098</v>
      </c>
      <c r="E4640">
        <v>2</v>
      </c>
      <c r="F4640" t="s">
        <v>4671</v>
      </c>
    </row>
    <row r="4641" spans="1:6" x14ac:dyDescent="0.25">
      <c r="A4641" t="s">
        <v>4915</v>
      </c>
      <c r="B4641" t="s">
        <v>122</v>
      </c>
      <c r="C4641" t="s">
        <v>123</v>
      </c>
      <c r="D4641" t="str">
        <f>HYPERLINK("http://service.sap.com/sap/support/notes/1738728","1738728")</f>
        <v>1738728</v>
      </c>
      <c r="E4641">
        <v>1</v>
      </c>
      <c r="F4641" t="s">
        <v>4672</v>
      </c>
    </row>
    <row r="4642" spans="1:6" x14ac:dyDescent="0.25">
      <c r="A4642" t="s">
        <v>4915</v>
      </c>
      <c r="B4642" t="s">
        <v>122</v>
      </c>
      <c r="C4642" t="s">
        <v>123</v>
      </c>
      <c r="D4642" t="str">
        <f>HYPERLINK("http://service.sap.com/sap/support/notes/1741360","1741360")</f>
        <v>1741360</v>
      </c>
      <c r="E4642">
        <v>1</v>
      </c>
      <c r="F4642" t="s">
        <v>4673</v>
      </c>
    </row>
    <row r="4643" spans="1:6" x14ac:dyDescent="0.25">
      <c r="A4643" t="s">
        <v>4915</v>
      </c>
      <c r="B4643" t="s">
        <v>122</v>
      </c>
      <c r="C4643" t="s">
        <v>123</v>
      </c>
      <c r="D4643" t="str">
        <f>HYPERLINK("http://service.sap.com/sap/support/notes/1744291","1744291")</f>
        <v>1744291</v>
      </c>
      <c r="E4643">
        <v>1</v>
      </c>
      <c r="F4643" t="s">
        <v>4674</v>
      </c>
    </row>
    <row r="4644" spans="1:6" x14ac:dyDescent="0.25">
      <c r="A4644" t="s">
        <v>4915</v>
      </c>
      <c r="B4644" t="s">
        <v>124</v>
      </c>
      <c r="C4644" t="s">
        <v>82</v>
      </c>
      <c r="D4644" t="str">
        <f>HYPERLINK("http://service.sap.com/sap/support/notes/1720532","1720532")</f>
        <v>1720532</v>
      </c>
      <c r="E4644">
        <v>1</v>
      </c>
      <c r="F4644" t="s">
        <v>4675</v>
      </c>
    </row>
    <row r="4645" spans="1:6" x14ac:dyDescent="0.25">
      <c r="A4645" t="s">
        <v>4915</v>
      </c>
      <c r="B4645" t="s">
        <v>124</v>
      </c>
      <c r="C4645" t="s">
        <v>82</v>
      </c>
      <c r="D4645" t="str">
        <f>HYPERLINK("http://service.sap.com/sap/support/notes/1721047","1721047")</f>
        <v>1721047</v>
      </c>
      <c r="E4645">
        <v>2</v>
      </c>
      <c r="F4645" t="s">
        <v>4676</v>
      </c>
    </row>
    <row r="4646" spans="1:6" x14ac:dyDescent="0.25">
      <c r="A4646" t="s">
        <v>4915</v>
      </c>
      <c r="B4646" t="s">
        <v>124</v>
      </c>
      <c r="C4646" t="s">
        <v>82</v>
      </c>
      <c r="D4646" t="str">
        <f>HYPERLINK("http://service.sap.com/sap/support/notes/1729863","1729863")</f>
        <v>1729863</v>
      </c>
      <c r="E4646">
        <v>6</v>
      </c>
      <c r="F4646" t="s">
        <v>4677</v>
      </c>
    </row>
    <row r="4647" spans="1:6" x14ac:dyDescent="0.25">
      <c r="A4647" t="s">
        <v>4915</v>
      </c>
      <c r="B4647" t="s">
        <v>124</v>
      </c>
      <c r="C4647" t="s">
        <v>82</v>
      </c>
      <c r="D4647" t="str">
        <f>HYPERLINK("http://service.sap.com/sap/support/notes/1730145","1730145")</f>
        <v>1730145</v>
      </c>
      <c r="E4647">
        <v>1</v>
      </c>
      <c r="F4647" t="s">
        <v>4678</v>
      </c>
    </row>
    <row r="4648" spans="1:6" x14ac:dyDescent="0.25">
      <c r="A4648" t="s">
        <v>4915</v>
      </c>
      <c r="B4648" t="s">
        <v>124</v>
      </c>
      <c r="C4648" t="s">
        <v>82</v>
      </c>
      <c r="D4648" t="str">
        <f>HYPERLINK("http://service.sap.com/sap/support/notes/1730598","1730598")</f>
        <v>1730598</v>
      </c>
      <c r="E4648">
        <v>2</v>
      </c>
      <c r="F4648" t="s">
        <v>4679</v>
      </c>
    </row>
    <row r="4649" spans="1:6" x14ac:dyDescent="0.25">
      <c r="A4649" t="s">
        <v>4915</v>
      </c>
      <c r="B4649" t="s">
        <v>124</v>
      </c>
      <c r="C4649" t="s">
        <v>82</v>
      </c>
      <c r="D4649" t="str">
        <f>HYPERLINK("http://service.sap.com/sap/support/notes/1733218","1733218")</f>
        <v>1733218</v>
      </c>
      <c r="E4649">
        <v>1</v>
      </c>
      <c r="F4649" t="s">
        <v>4680</v>
      </c>
    </row>
    <row r="4650" spans="1:6" x14ac:dyDescent="0.25">
      <c r="A4650" t="s">
        <v>4915</v>
      </c>
      <c r="B4650" t="s">
        <v>124</v>
      </c>
      <c r="C4650" t="s">
        <v>82</v>
      </c>
      <c r="D4650" t="str">
        <f>HYPERLINK("http://service.sap.com/sap/support/notes/1737320","1737320")</f>
        <v>1737320</v>
      </c>
      <c r="E4650">
        <v>2</v>
      </c>
      <c r="F4650" t="s">
        <v>4681</v>
      </c>
    </row>
    <row r="4651" spans="1:6" x14ac:dyDescent="0.25">
      <c r="A4651" t="s">
        <v>4915</v>
      </c>
      <c r="B4651" t="s">
        <v>124</v>
      </c>
      <c r="C4651" t="s">
        <v>82</v>
      </c>
      <c r="D4651" t="str">
        <f>HYPERLINK("http://service.sap.com/sap/support/notes/1740891","1740891")</f>
        <v>1740891</v>
      </c>
      <c r="E4651">
        <v>2</v>
      </c>
      <c r="F4651" t="s">
        <v>4682</v>
      </c>
    </row>
    <row r="4652" spans="1:6" x14ac:dyDescent="0.25">
      <c r="A4652" t="s">
        <v>4915</v>
      </c>
      <c r="B4652" t="s">
        <v>124</v>
      </c>
      <c r="C4652" t="s">
        <v>82</v>
      </c>
      <c r="D4652" t="str">
        <f>HYPERLINK("http://service.sap.com/sap/support/notes/1741202","1741202")</f>
        <v>1741202</v>
      </c>
      <c r="E4652">
        <v>1</v>
      </c>
      <c r="F4652" t="s">
        <v>4683</v>
      </c>
    </row>
    <row r="4653" spans="1:6" x14ac:dyDescent="0.25">
      <c r="A4653" t="s">
        <v>4915</v>
      </c>
      <c r="B4653" t="s">
        <v>124</v>
      </c>
      <c r="C4653" t="s">
        <v>82</v>
      </c>
      <c r="D4653" t="str">
        <f>HYPERLINK("http://service.sap.com/sap/support/notes/1741254","1741254")</f>
        <v>1741254</v>
      </c>
      <c r="E4653">
        <v>1</v>
      </c>
      <c r="F4653" t="s">
        <v>4684</v>
      </c>
    </row>
    <row r="4654" spans="1:6" x14ac:dyDescent="0.25">
      <c r="A4654" t="s">
        <v>4915</v>
      </c>
      <c r="B4654" t="s">
        <v>124</v>
      </c>
      <c r="C4654" t="s">
        <v>82</v>
      </c>
      <c r="D4654" t="str">
        <f>HYPERLINK("http://service.sap.com/sap/support/notes/1741726","1741726")</f>
        <v>1741726</v>
      </c>
      <c r="E4654">
        <v>2</v>
      </c>
      <c r="F4654" t="s">
        <v>4685</v>
      </c>
    </row>
    <row r="4655" spans="1:6" x14ac:dyDescent="0.25">
      <c r="A4655" t="s">
        <v>4915</v>
      </c>
      <c r="B4655" t="s">
        <v>124</v>
      </c>
      <c r="C4655" t="s">
        <v>82</v>
      </c>
      <c r="D4655" t="str">
        <f>HYPERLINK("http://service.sap.com/sap/support/notes/1741908","1741908")</f>
        <v>1741908</v>
      </c>
      <c r="E4655">
        <v>2</v>
      </c>
      <c r="F4655" t="s">
        <v>4686</v>
      </c>
    </row>
    <row r="4656" spans="1:6" x14ac:dyDescent="0.25">
      <c r="A4656" t="s">
        <v>4915</v>
      </c>
      <c r="B4656" t="s">
        <v>125</v>
      </c>
      <c r="C4656" t="s">
        <v>126</v>
      </c>
      <c r="D4656" t="str">
        <f>HYPERLINK("http://service.sap.com/sap/support/notes/1721237","1721237")</f>
        <v>1721237</v>
      </c>
      <c r="E4656">
        <v>2</v>
      </c>
      <c r="F4656" t="s">
        <v>4687</v>
      </c>
    </row>
    <row r="4657" spans="1:6" x14ac:dyDescent="0.25">
      <c r="A4657" t="s">
        <v>4915</v>
      </c>
      <c r="B4657" t="s">
        <v>127</v>
      </c>
      <c r="C4657" t="s">
        <v>128</v>
      </c>
      <c r="D4657" t="str">
        <f>HYPERLINK("http://service.sap.com/sap/support/notes/1690663","1690663")</f>
        <v>1690663</v>
      </c>
      <c r="E4657">
        <v>1</v>
      </c>
      <c r="F4657" t="s">
        <v>4688</v>
      </c>
    </row>
    <row r="4658" spans="1:6" x14ac:dyDescent="0.25">
      <c r="A4658" t="s">
        <v>4915</v>
      </c>
      <c r="B4658" t="s">
        <v>127</v>
      </c>
      <c r="C4658" t="s">
        <v>128</v>
      </c>
      <c r="D4658" t="str">
        <f>HYPERLINK("http://service.sap.com/sap/support/notes/1722129","1722129")</f>
        <v>1722129</v>
      </c>
      <c r="E4658">
        <v>3</v>
      </c>
      <c r="F4658" t="s">
        <v>4689</v>
      </c>
    </row>
    <row r="4659" spans="1:6" x14ac:dyDescent="0.25">
      <c r="A4659" t="s">
        <v>4915</v>
      </c>
      <c r="B4659" t="s">
        <v>127</v>
      </c>
      <c r="C4659" t="s">
        <v>128</v>
      </c>
      <c r="D4659" t="str">
        <f>HYPERLINK("http://service.sap.com/sap/support/notes/1728371","1728371")</f>
        <v>1728371</v>
      </c>
      <c r="E4659">
        <v>2</v>
      </c>
      <c r="F4659" t="s">
        <v>4690</v>
      </c>
    </row>
    <row r="4660" spans="1:6" x14ac:dyDescent="0.25">
      <c r="A4660" t="s">
        <v>4915</v>
      </c>
      <c r="B4660" t="s">
        <v>127</v>
      </c>
      <c r="C4660" t="s">
        <v>128</v>
      </c>
      <c r="D4660" t="str">
        <f>HYPERLINK("http://service.sap.com/sap/support/notes/1739745","1739745")</f>
        <v>1739745</v>
      </c>
      <c r="E4660">
        <v>2</v>
      </c>
      <c r="F4660" t="s">
        <v>4691</v>
      </c>
    </row>
    <row r="4661" spans="1:6" x14ac:dyDescent="0.25">
      <c r="A4661" t="s">
        <v>4915</v>
      </c>
      <c r="B4661" t="s">
        <v>127</v>
      </c>
      <c r="C4661" t="s">
        <v>128</v>
      </c>
      <c r="D4661" t="str">
        <f>HYPERLINK("http://service.sap.com/sap/support/notes/1740312","1740312")</f>
        <v>1740312</v>
      </c>
      <c r="E4661">
        <v>1</v>
      </c>
      <c r="F4661" t="s">
        <v>4692</v>
      </c>
    </row>
    <row r="4662" spans="1:6" x14ac:dyDescent="0.25">
      <c r="A4662" t="s">
        <v>4915</v>
      </c>
      <c r="B4662" t="s">
        <v>127</v>
      </c>
      <c r="C4662" t="s">
        <v>128</v>
      </c>
      <c r="D4662" t="str">
        <f>HYPERLINK("http://service.sap.com/sap/support/notes/1744659","1744659")</f>
        <v>1744659</v>
      </c>
      <c r="E4662">
        <v>1</v>
      </c>
      <c r="F4662" t="s">
        <v>4693</v>
      </c>
    </row>
    <row r="4663" spans="1:6" x14ac:dyDescent="0.25">
      <c r="A4663" t="s">
        <v>4915</v>
      </c>
      <c r="B4663" t="s">
        <v>127</v>
      </c>
      <c r="C4663" t="s">
        <v>128</v>
      </c>
      <c r="D4663" t="str">
        <f>HYPERLINK("http://service.sap.com/sap/support/notes/1744662","1744662")</f>
        <v>1744662</v>
      </c>
      <c r="E4663">
        <v>1</v>
      </c>
      <c r="F4663" t="s">
        <v>4694</v>
      </c>
    </row>
    <row r="4664" spans="1:6" x14ac:dyDescent="0.25">
      <c r="A4664" t="s">
        <v>4915</v>
      </c>
      <c r="B4664" t="s">
        <v>129</v>
      </c>
      <c r="C4664" t="s">
        <v>130</v>
      </c>
      <c r="D4664" t="str">
        <f>HYPERLINK("http://service.sap.com/sap/support/notes/1726240","1726240")</f>
        <v>1726240</v>
      </c>
      <c r="E4664">
        <v>13</v>
      </c>
      <c r="F4664" t="s">
        <v>4695</v>
      </c>
    </row>
    <row r="4665" spans="1:6" x14ac:dyDescent="0.25">
      <c r="A4665" t="s">
        <v>4915</v>
      </c>
      <c r="B4665" t="s">
        <v>129</v>
      </c>
      <c r="C4665" t="s">
        <v>130</v>
      </c>
      <c r="D4665" t="str">
        <f>HYPERLINK("http://service.sap.com/sap/support/notes/1732097","1732097")</f>
        <v>1732097</v>
      </c>
      <c r="E4665">
        <v>2</v>
      </c>
      <c r="F4665" t="s">
        <v>4696</v>
      </c>
    </row>
    <row r="4666" spans="1:6" x14ac:dyDescent="0.25">
      <c r="A4666" t="s">
        <v>4915</v>
      </c>
      <c r="B4666" t="s">
        <v>131</v>
      </c>
      <c r="C4666" t="s">
        <v>132</v>
      </c>
    </row>
    <row r="4667" spans="1:6" x14ac:dyDescent="0.25">
      <c r="A4667" t="s">
        <v>4915</v>
      </c>
      <c r="B4667" t="s">
        <v>320</v>
      </c>
      <c r="C4667" t="s">
        <v>359</v>
      </c>
      <c r="D4667" t="str">
        <f>HYPERLINK("http://service.sap.com/sap/support/notes/1692614","1692614")</f>
        <v>1692614</v>
      </c>
      <c r="E4667">
        <v>4</v>
      </c>
      <c r="F4667" t="s">
        <v>4697</v>
      </c>
    </row>
    <row r="4668" spans="1:6" x14ac:dyDescent="0.25">
      <c r="A4668" t="s">
        <v>4915</v>
      </c>
      <c r="B4668" t="s">
        <v>320</v>
      </c>
      <c r="C4668" t="s">
        <v>359</v>
      </c>
      <c r="D4668" t="str">
        <f>HYPERLINK("http://service.sap.com/sap/support/notes/1730888","1730888")</f>
        <v>1730888</v>
      </c>
      <c r="E4668">
        <v>2</v>
      </c>
      <c r="F4668" t="s">
        <v>595</v>
      </c>
    </row>
    <row r="4669" spans="1:6" x14ac:dyDescent="0.25">
      <c r="A4669" t="s">
        <v>4915</v>
      </c>
      <c r="B4669" t="s">
        <v>133</v>
      </c>
      <c r="C4669" t="s">
        <v>134</v>
      </c>
      <c r="D4669" t="str">
        <f>HYPERLINK("http://service.sap.com/sap/support/notes/1721797","1721797")</f>
        <v>1721797</v>
      </c>
      <c r="E4669">
        <v>4</v>
      </c>
      <c r="F4669" t="s">
        <v>4698</v>
      </c>
    </row>
    <row r="4670" spans="1:6" x14ac:dyDescent="0.25">
      <c r="A4670" t="s">
        <v>4915</v>
      </c>
      <c r="B4670" t="s">
        <v>135</v>
      </c>
      <c r="C4670" t="s">
        <v>136</v>
      </c>
      <c r="D4670" t="str">
        <f>HYPERLINK("http://service.sap.com/sap/support/notes/1664747","1664747")</f>
        <v>1664747</v>
      </c>
      <c r="E4670">
        <v>6</v>
      </c>
      <c r="F4670" t="s">
        <v>4699</v>
      </c>
    </row>
    <row r="4671" spans="1:6" x14ac:dyDescent="0.25">
      <c r="A4671" t="s">
        <v>4915</v>
      </c>
      <c r="B4671" t="s">
        <v>135</v>
      </c>
      <c r="C4671" t="s">
        <v>136</v>
      </c>
      <c r="D4671" t="str">
        <f>HYPERLINK("http://service.sap.com/sap/support/notes/1677150","1677150")</f>
        <v>1677150</v>
      </c>
      <c r="E4671">
        <v>2</v>
      </c>
      <c r="F4671" t="s">
        <v>4700</v>
      </c>
    </row>
    <row r="4672" spans="1:6" x14ac:dyDescent="0.25">
      <c r="A4672" t="s">
        <v>4915</v>
      </c>
      <c r="B4672" t="s">
        <v>135</v>
      </c>
      <c r="C4672" t="s">
        <v>136</v>
      </c>
      <c r="D4672" t="str">
        <f>HYPERLINK("http://service.sap.com/sap/support/notes/1709447","1709447")</f>
        <v>1709447</v>
      </c>
      <c r="E4672">
        <v>3</v>
      </c>
      <c r="F4672" t="s">
        <v>4701</v>
      </c>
    </row>
    <row r="4673" spans="1:6" x14ac:dyDescent="0.25">
      <c r="A4673" t="s">
        <v>4915</v>
      </c>
      <c r="B4673" t="s">
        <v>135</v>
      </c>
      <c r="C4673" t="s">
        <v>136</v>
      </c>
      <c r="D4673" t="str">
        <f>HYPERLINK("http://service.sap.com/sap/support/notes/1711630","1711630")</f>
        <v>1711630</v>
      </c>
      <c r="E4673">
        <v>9</v>
      </c>
      <c r="F4673" t="s">
        <v>4702</v>
      </c>
    </row>
    <row r="4674" spans="1:6" x14ac:dyDescent="0.25">
      <c r="A4674" t="s">
        <v>4915</v>
      </c>
      <c r="B4674" t="s">
        <v>135</v>
      </c>
      <c r="C4674" t="s">
        <v>136</v>
      </c>
      <c r="D4674" t="str">
        <f>HYPERLINK("http://service.sap.com/sap/support/notes/1712059","1712059")</f>
        <v>1712059</v>
      </c>
      <c r="E4674">
        <v>2</v>
      </c>
      <c r="F4674" t="s">
        <v>4703</v>
      </c>
    </row>
    <row r="4675" spans="1:6" x14ac:dyDescent="0.25">
      <c r="A4675" t="s">
        <v>4915</v>
      </c>
      <c r="B4675" t="s">
        <v>135</v>
      </c>
      <c r="C4675" t="s">
        <v>136</v>
      </c>
      <c r="D4675" t="str">
        <f>HYPERLINK("http://service.sap.com/sap/support/notes/1713542","1713542")</f>
        <v>1713542</v>
      </c>
      <c r="E4675">
        <v>2</v>
      </c>
      <c r="F4675" t="s">
        <v>4704</v>
      </c>
    </row>
    <row r="4676" spans="1:6" x14ac:dyDescent="0.25">
      <c r="A4676" t="s">
        <v>4915</v>
      </c>
      <c r="B4676" t="s">
        <v>135</v>
      </c>
      <c r="C4676" t="s">
        <v>136</v>
      </c>
      <c r="D4676" t="str">
        <f>HYPERLINK("http://service.sap.com/sap/support/notes/1723437","1723437")</f>
        <v>1723437</v>
      </c>
      <c r="E4676">
        <v>4</v>
      </c>
      <c r="F4676" t="s">
        <v>4705</v>
      </c>
    </row>
    <row r="4677" spans="1:6" x14ac:dyDescent="0.25">
      <c r="A4677" t="s">
        <v>4915</v>
      </c>
      <c r="B4677" t="s">
        <v>135</v>
      </c>
      <c r="C4677" t="s">
        <v>136</v>
      </c>
      <c r="D4677" t="str">
        <f>HYPERLINK("http://service.sap.com/sap/support/notes/1723679","1723679")</f>
        <v>1723679</v>
      </c>
      <c r="E4677">
        <v>3</v>
      </c>
      <c r="F4677" t="s">
        <v>4706</v>
      </c>
    </row>
    <row r="4678" spans="1:6" x14ac:dyDescent="0.25">
      <c r="A4678" t="s">
        <v>4915</v>
      </c>
      <c r="B4678" t="s">
        <v>135</v>
      </c>
      <c r="C4678" t="s">
        <v>136</v>
      </c>
      <c r="D4678" t="str">
        <f>HYPERLINK("http://service.sap.com/sap/support/notes/1723718","1723718")</f>
        <v>1723718</v>
      </c>
      <c r="E4678">
        <v>3</v>
      </c>
      <c r="F4678" t="s">
        <v>4707</v>
      </c>
    </row>
    <row r="4679" spans="1:6" x14ac:dyDescent="0.25">
      <c r="A4679" t="s">
        <v>4915</v>
      </c>
      <c r="B4679" t="s">
        <v>135</v>
      </c>
      <c r="C4679" t="s">
        <v>136</v>
      </c>
      <c r="D4679" t="str">
        <f>HYPERLINK("http://service.sap.com/sap/support/notes/1723734","1723734")</f>
        <v>1723734</v>
      </c>
      <c r="E4679">
        <v>2</v>
      </c>
      <c r="F4679" t="s">
        <v>4708</v>
      </c>
    </row>
    <row r="4680" spans="1:6" x14ac:dyDescent="0.25">
      <c r="A4680" t="s">
        <v>4915</v>
      </c>
      <c r="B4680" t="s">
        <v>135</v>
      </c>
      <c r="C4680" t="s">
        <v>136</v>
      </c>
      <c r="D4680" t="str">
        <f>HYPERLINK("http://service.sap.com/sap/support/notes/1723753","1723753")</f>
        <v>1723753</v>
      </c>
      <c r="E4680">
        <v>1</v>
      </c>
      <c r="F4680" t="s">
        <v>4709</v>
      </c>
    </row>
    <row r="4681" spans="1:6" x14ac:dyDescent="0.25">
      <c r="A4681" t="s">
        <v>4915</v>
      </c>
      <c r="B4681" t="s">
        <v>135</v>
      </c>
      <c r="C4681" t="s">
        <v>136</v>
      </c>
      <c r="D4681" t="str">
        <f>HYPERLINK("http://service.sap.com/sap/support/notes/1724189","1724189")</f>
        <v>1724189</v>
      </c>
      <c r="E4681">
        <v>2</v>
      </c>
      <c r="F4681" t="s">
        <v>4710</v>
      </c>
    </row>
    <row r="4682" spans="1:6" x14ac:dyDescent="0.25">
      <c r="A4682" t="s">
        <v>4915</v>
      </c>
      <c r="B4682" t="s">
        <v>135</v>
      </c>
      <c r="C4682" t="s">
        <v>136</v>
      </c>
      <c r="D4682" t="str">
        <f>HYPERLINK("http://service.sap.com/sap/support/notes/1724731","1724731")</f>
        <v>1724731</v>
      </c>
      <c r="E4682">
        <v>2</v>
      </c>
      <c r="F4682" t="s">
        <v>4711</v>
      </c>
    </row>
    <row r="4683" spans="1:6" x14ac:dyDescent="0.25">
      <c r="A4683" t="s">
        <v>4915</v>
      </c>
      <c r="B4683" t="s">
        <v>135</v>
      </c>
      <c r="C4683" t="s">
        <v>136</v>
      </c>
      <c r="D4683" t="str">
        <f>HYPERLINK("http://service.sap.com/sap/support/notes/1726934","1726934")</f>
        <v>1726934</v>
      </c>
      <c r="E4683">
        <v>5</v>
      </c>
      <c r="F4683" t="s">
        <v>4712</v>
      </c>
    </row>
    <row r="4684" spans="1:6" x14ac:dyDescent="0.25">
      <c r="A4684" t="s">
        <v>4915</v>
      </c>
      <c r="B4684" t="s">
        <v>135</v>
      </c>
      <c r="C4684" t="s">
        <v>136</v>
      </c>
      <c r="D4684" t="str">
        <f>HYPERLINK("http://service.sap.com/sap/support/notes/1727455","1727455")</f>
        <v>1727455</v>
      </c>
      <c r="E4684">
        <v>5</v>
      </c>
      <c r="F4684" t="s">
        <v>4713</v>
      </c>
    </row>
    <row r="4685" spans="1:6" x14ac:dyDescent="0.25">
      <c r="A4685" t="s">
        <v>4915</v>
      </c>
      <c r="B4685" t="s">
        <v>135</v>
      </c>
      <c r="C4685" t="s">
        <v>136</v>
      </c>
      <c r="D4685" t="str">
        <f>HYPERLINK("http://service.sap.com/sap/support/notes/1727489","1727489")</f>
        <v>1727489</v>
      </c>
      <c r="E4685">
        <v>3</v>
      </c>
      <c r="F4685" t="s">
        <v>4714</v>
      </c>
    </row>
    <row r="4686" spans="1:6" x14ac:dyDescent="0.25">
      <c r="A4686" t="s">
        <v>4915</v>
      </c>
      <c r="B4686" t="s">
        <v>135</v>
      </c>
      <c r="C4686" t="s">
        <v>136</v>
      </c>
      <c r="D4686" t="str">
        <f>HYPERLINK("http://service.sap.com/sap/support/notes/1728130","1728130")</f>
        <v>1728130</v>
      </c>
      <c r="E4686">
        <v>2</v>
      </c>
      <c r="F4686" t="s">
        <v>4715</v>
      </c>
    </row>
    <row r="4687" spans="1:6" x14ac:dyDescent="0.25">
      <c r="A4687" t="s">
        <v>4915</v>
      </c>
      <c r="B4687" t="s">
        <v>135</v>
      </c>
      <c r="C4687" t="s">
        <v>136</v>
      </c>
      <c r="D4687" t="str">
        <f>HYPERLINK("http://service.sap.com/sap/support/notes/1729761","1729761")</f>
        <v>1729761</v>
      </c>
      <c r="E4687">
        <v>2</v>
      </c>
      <c r="F4687" t="s">
        <v>4716</v>
      </c>
    </row>
    <row r="4688" spans="1:6" x14ac:dyDescent="0.25">
      <c r="A4688" t="s">
        <v>4915</v>
      </c>
      <c r="B4688" t="s">
        <v>135</v>
      </c>
      <c r="C4688" t="s">
        <v>136</v>
      </c>
      <c r="D4688" t="str">
        <f>HYPERLINK("http://service.sap.com/sap/support/notes/1730301","1730301")</f>
        <v>1730301</v>
      </c>
      <c r="E4688">
        <v>3</v>
      </c>
      <c r="F4688" t="s">
        <v>4717</v>
      </c>
    </row>
    <row r="4689" spans="1:6" x14ac:dyDescent="0.25">
      <c r="A4689" t="s">
        <v>4915</v>
      </c>
      <c r="B4689" t="s">
        <v>135</v>
      </c>
      <c r="C4689" t="s">
        <v>136</v>
      </c>
      <c r="D4689" t="str">
        <f>HYPERLINK("http://service.sap.com/sap/support/notes/1732043","1732043")</f>
        <v>1732043</v>
      </c>
      <c r="E4689">
        <v>5</v>
      </c>
      <c r="F4689" t="s">
        <v>4718</v>
      </c>
    </row>
    <row r="4690" spans="1:6" x14ac:dyDescent="0.25">
      <c r="A4690" t="s">
        <v>4915</v>
      </c>
      <c r="B4690" t="s">
        <v>135</v>
      </c>
      <c r="C4690" t="s">
        <v>136</v>
      </c>
      <c r="D4690" t="str">
        <f>HYPERLINK("http://service.sap.com/sap/support/notes/1732118","1732118")</f>
        <v>1732118</v>
      </c>
      <c r="E4690">
        <v>3</v>
      </c>
      <c r="F4690" t="s">
        <v>4719</v>
      </c>
    </row>
    <row r="4691" spans="1:6" x14ac:dyDescent="0.25">
      <c r="A4691" t="s">
        <v>4915</v>
      </c>
      <c r="B4691" t="s">
        <v>135</v>
      </c>
      <c r="C4691" t="s">
        <v>136</v>
      </c>
      <c r="D4691" t="str">
        <f>HYPERLINK("http://service.sap.com/sap/support/notes/1732183","1732183")</f>
        <v>1732183</v>
      </c>
      <c r="E4691">
        <v>4</v>
      </c>
      <c r="F4691" t="s">
        <v>4720</v>
      </c>
    </row>
    <row r="4692" spans="1:6" x14ac:dyDescent="0.25">
      <c r="A4692" t="s">
        <v>4915</v>
      </c>
      <c r="B4692" t="s">
        <v>135</v>
      </c>
      <c r="C4692" t="s">
        <v>136</v>
      </c>
      <c r="D4692" t="str">
        <f>HYPERLINK("http://service.sap.com/sap/support/notes/1732617","1732617")</f>
        <v>1732617</v>
      </c>
      <c r="E4692">
        <v>3</v>
      </c>
      <c r="F4692" t="s">
        <v>4721</v>
      </c>
    </row>
    <row r="4693" spans="1:6" x14ac:dyDescent="0.25">
      <c r="A4693" t="s">
        <v>4915</v>
      </c>
      <c r="B4693" t="s">
        <v>135</v>
      </c>
      <c r="C4693" t="s">
        <v>136</v>
      </c>
      <c r="D4693" t="str">
        <f>HYPERLINK("http://service.sap.com/sap/support/notes/1733209","1733209")</f>
        <v>1733209</v>
      </c>
      <c r="E4693">
        <v>2</v>
      </c>
      <c r="F4693" t="s">
        <v>4722</v>
      </c>
    </row>
    <row r="4694" spans="1:6" x14ac:dyDescent="0.25">
      <c r="A4694" t="s">
        <v>4915</v>
      </c>
      <c r="B4694" t="s">
        <v>135</v>
      </c>
      <c r="C4694" t="s">
        <v>136</v>
      </c>
      <c r="D4694" t="str">
        <f>HYPERLINK("http://service.sap.com/sap/support/notes/1733336","1733336")</f>
        <v>1733336</v>
      </c>
      <c r="E4694">
        <v>2</v>
      </c>
      <c r="F4694" t="s">
        <v>4723</v>
      </c>
    </row>
    <row r="4695" spans="1:6" x14ac:dyDescent="0.25">
      <c r="A4695" t="s">
        <v>4915</v>
      </c>
      <c r="B4695" t="s">
        <v>135</v>
      </c>
      <c r="C4695" t="s">
        <v>136</v>
      </c>
      <c r="D4695" t="str">
        <f>HYPERLINK("http://service.sap.com/sap/support/notes/1733369","1733369")</f>
        <v>1733369</v>
      </c>
      <c r="E4695">
        <v>4</v>
      </c>
      <c r="F4695" t="s">
        <v>4724</v>
      </c>
    </row>
    <row r="4696" spans="1:6" x14ac:dyDescent="0.25">
      <c r="A4696" t="s">
        <v>4915</v>
      </c>
      <c r="B4696" t="s">
        <v>135</v>
      </c>
      <c r="C4696" t="s">
        <v>136</v>
      </c>
      <c r="D4696" t="str">
        <f>HYPERLINK("http://service.sap.com/sap/support/notes/1733372","1733372")</f>
        <v>1733372</v>
      </c>
      <c r="E4696">
        <v>5</v>
      </c>
      <c r="F4696" t="s">
        <v>4725</v>
      </c>
    </row>
    <row r="4697" spans="1:6" x14ac:dyDescent="0.25">
      <c r="A4697" t="s">
        <v>4915</v>
      </c>
      <c r="B4697" t="s">
        <v>135</v>
      </c>
      <c r="C4697" t="s">
        <v>136</v>
      </c>
      <c r="D4697" t="str">
        <f>HYPERLINK("http://service.sap.com/sap/support/notes/1733397","1733397")</f>
        <v>1733397</v>
      </c>
      <c r="E4697">
        <v>2</v>
      </c>
      <c r="F4697" t="s">
        <v>4726</v>
      </c>
    </row>
    <row r="4698" spans="1:6" x14ac:dyDescent="0.25">
      <c r="A4698" t="s">
        <v>4915</v>
      </c>
      <c r="B4698" t="s">
        <v>135</v>
      </c>
      <c r="C4698" t="s">
        <v>136</v>
      </c>
      <c r="D4698" t="str">
        <f>HYPERLINK("http://service.sap.com/sap/support/notes/1734858","1734858")</f>
        <v>1734858</v>
      </c>
      <c r="E4698">
        <v>2</v>
      </c>
      <c r="F4698" t="s">
        <v>4727</v>
      </c>
    </row>
    <row r="4699" spans="1:6" x14ac:dyDescent="0.25">
      <c r="A4699" t="s">
        <v>4915</v>
      </c>
      <c r="B4699" t="s">
        <v>135</v>
      </c>
      <c r="C4699" t="s">
        <v>136</v>
      </c>
      <c r="D4699" t="str">
        <f>HYPERLINK("http://service.sap.com/sap/support/notes/1735453","1735453")</f>
        <v>1735453</v>
      </c>
      <c r="E4699">
        <v>3</v>
      </c>
      <c r="F4699" t="s">
        <v>4728</v>
      </c>
    </row>
    <row r="4700" spans="1:6" x14ac:dyDescent="0.25">
      <c r="A4700" t="s">
        <v>4915</v>
      </c>
      <c r="B4700" t="s">
        <v>135</v>
      </c>
      <c r="C4700" t="s">
        <v>136</v>
      </c>
      <c r="D4700" t="str">
        <f>HYPERLINK("http://service.sap.com/sap/support/notes/1735502","1735502")</f>
        <v>1735502</v>
      </c>
      <c r="E4700">
        <v>2</v>
      </c>
      <c r="F4700" t="s">
        <v>4729</v>
      </c>
    </row>
    <row r="4701" spans="1:6" x14ac:dyDescent="0.25">
      <c r="A4701" t="s">
        <v>4915</v>
      </c>
      <c r="B4701" t="s">
        <v>135</v>
      </c>
      <c r="C4701" t="s">
        <v>136</v>
      </c>
      <c r="D4701" t="str">
        <f>HYPERLINK("http://service.sap.com/sap/support/notes/1737214","1737214")</f>
        <v>1737214</v>
      </c>
      <c r="E4701">
        <v>2</v>
      </c>
      <c r="F4701" t="s">
        <v>4730</v>
      </c>
    </row>
    <row r="4702" spans="1:6" x14ac:dyDescent="0.25">
      <c r="A4702" t="s">
        <v>4915</v>
      </c>
      <c r="B4702" t="s">
        <v>135</v>
      </c>
      <c r="C4702" t="s">
        <v>136</v>
      </c>
      <c r="D4702" t="str">
        <f>HYPERLINK("http://service.sap.com/sap/support/notes/1738707","1738707")</f>
        <v>1738707</v>
      </c>
      <c r="E4702">
        <v>4</v>
      </c>
      <c r="F4702" t="s">
        <v>4731</v>
      </c>
    </row>
    <row r="4703" spans="1:6" x14ac:dyDescent="0.25">
      <c r="A4703" t="s">
        <v>4915</v>
      </c>
      <c r="B4703" t="s">
        <v>135</v>
      </c>
      <c r="C4703" t="s">
        <v>136</v>
      </c>
      <c r="D4703" t="str">
        <f>HYPERLINK("http://service.sap.com/sap/support/notes/1741867","1741867")</f>
        <v>1741867</v>
      </c>
      <c r="E4703">
        <v>4</v>
      </c>
      <c r="F4703" t="s">
        <v>4732</v>
      </c>
    </row>
    <row r="4704" spans="1:6" x14ac:dyDescent="0.25">
      <c r="A4704" t="s">
        <v>4915</v>
      </c>
      <c r="B4704" t="s">
        <v>135</v>
      </c>
      <c r="C4704" t="s">
        <v>136</v>
      </c>
      <c r="D4704" t="str">
        <f>HYPERLINK("http://service.sap.com/sap/support/notes/1742648","1742648")</f>
        <v>1742648</v>
      </c>
      <c r="E4704">
        <v>2</v>
      </c>
      <c r="F4704" t="s">
        <v>4733</v>
      </c>
    </row>
    <row r="4705" spans="1:6" x14ac:dyDescent="0.25">
      <c r="A4705" t="s">
        <v>4915</v>
      </c>
      <c r="B4705" t="s">
        <v>137</v>
      </c>
      <c r="C4705" t="s">
        <v>40</v>
      </c>
      <c r="D4705" t="str">
        <f>HYPERLINK("http://service.sap.com/sap/support/notes/1671724","1671724")</f>
        <v>1671724</v>
      </c>
      <c r="E4705">
        <v>1</v>
      </c>
      <c r="F4705" t="s">
        <v>4734</v>
      </c>
    </row>
    <row r="4706" spans="1:6" x14ac:dyDescent="0.25">
      <c r="A4706" t="s">
        <v>4915</v>
      </c>
      <c r="B4706" t="s">
        <v>137</v>
      </c>
      <c r="C4706" t="s">
        <v>40</v>
      </c>
      <c r="D4706" t="str">
        <f>HYPERLINK("http://service.sap.com/sap/support/notes/1731961","1731961")</f>
        <v>1731961</v>
      </c>
      <c r="E4706">
        <v>1</v>
      </c>
      <c r="F4706" t="s">
        <v>4735</v>
      </c>
    </row>
    <row r="4707" spans="1:6" x14ac:dyDescent="0.25">
      <c r="A4707" t="s">
        <v>4915</v>
      </c>
      <c r="B4707" t="s">
        <v>138</v>
      </c>
      <c r="C4707" t="s">
        <v>42</v>
      </c>
      <c r="D4707" t="str">
        <f>HYPERLINK("http://service.sap.com/sap/support/notes/1715897","1715897")</f>
        <v>1715897</v>
      </c>
      <c r="E4707">
        <v>4</v>
      </c>
      <c r="F4707" t="s">
        <v>4736</v>
      </c>
    </row>
    <row r="4708" spans="1:6" x14ac:dyDescent="0.25">
      <c r="A4708" t="s">
        <v>4915</v>
      </c>
      <c r="B4708" t="s">
        <v>138</v>
      </c>
      <c r="C4708" t="s">
        <v>42</v>
      </c>
      <c r="D4708" t="str">
        <f>HYPERLINK("http://service.sap.com/sap/support/notes/1715915","1715915")</f>
        <v>1715915</v>
      </c>
      <c r="E4708">
        <v>2</v>
      </c>
      <c r="F4708" t="s">
        <v>4737</v>
      </c>
    </row>
    <row r="4709" spans="1:6" x14ac:dyDescent="0.25">
      <c r="A4709" t="s">
        <v>4915</v>
      </c>
      <c r="B4709" t="s">
        <v>138</v>
      </c>
      <c r="C4709" t="s">
        <v>42</v>
      </c>
      <c r="D4709" t="str">
        <f>HYPERLINK("http://service.sap.com/sap/support/notes/1716448","1716448")</f>
        <v>1716448</v>
      </c>
      <c r="E4709">
        <v>1</v>
      </c>
      <c r="F4709" t="s">
        <v>4738</v>
      </c>
    </row>
    <row r="4710" spans="1:6" x14ac:dyDescent="0.25">
      <c r="A4710" t="s">
        <v>4915</v>
      </c>
      <c r="B4710" t="s">
        <v>138</v>
      </c>
      <c r="C4710" t="s">
        <v>42</v>
      </c>
      <c r="D4710" t="str">
        <f>HYPERLINK("http://service.sap.com/sap/support/notes/1717028","1717028")</f>
        <v>1717028</v>
      </c>
      <c r="E4710">
        <v>1</v>
      </c>
      <c r="F4710" t="s">
        <v>4739</v>
      </c>
    </row>
    <row r="4711" spans="1:6" x14ac:dyDescent="0.25">
      <c r="A4711" t="s">
        <v>4915</v>
      </c>
      <c r="B4711" t="s">
        <v>138</v>
      </c>
      <c r="C4711" t="s">
        <v>42</v>
      </c>
      <c r="D4711" t="str">
        <f>HYPERLINK("http://service.sap.com/sap/support/notes/1723937","1723937")</f>
        <v>1723937</v>
      </c>
      <c r="E4711">
        <v>2</v>
      </c>
      <c r="F4711" t="s">
        <v>4740</v>
      </c>
    </row>
    <row r="4712" spans="1:6" x14ac:dyDescent="0.25">
      <c r="A4712" t="s">
        <v>4915</v>
      </c>
      <c r="B4712" t="s">
        <v>138</v>
      </c>
      <c r="C4712" t="s">
        <v>42</v>
      </c>
      <c r="D4712" t="str">
        <f>HYPERLINK("http://service.sap.com/sap/support/notes/1730454","1730454")</f>
        <v>1730454</v>
      </c>
      <c r="E4712">
        <v>2</v>
      </c>
      <c r="F4712" t="s">
        <v>4393</v>
      </c>
    </row>
    <row r="4713" spans="1:6" x14ac:dyDescent="0.25">
      <c r="A4713" t="s">
        <v>4915</v>
      </c>
      <c r="B4713" t="s">
        <v>138</v>
      </c>
      <c r="C4713" t="s">
        <v>42</v>
      </c>
      <c r="D4713" t="str">
        <f>HYPERLINK("http://service.sap.com/sap/support/notes/1731167","1731167")</f>
        <v>1731167</v>
      </c>
      <c r="E4713">
        <v>1</v>
      </c>
      <c r="F4713" t="s">
        <v>4741</v>
      </c>
    </row>
    <row r="4714" spans="1:6" x14ac:dyDescent="0.25">
      <c r="A4714" t="s">
        <v>4915</v>
      </c>
      <c r="B4714" t="s">
        <v>138</v>
      </c>
      <c r="C4714" t="s">
        <v>42</v>
      </c>
      <c r="D4714" t="str">
        <f>HYPERLINK("http://service.sap.com/sap/support/notes/1731174","1731174")</f>
        <v>1731174</v>
      </c>
      <c r="E4714">
        <v>1</v>
      </c>
      <c r="F4714" t="s">
        <v>4742</v>
      </c>
    </row>
    <row r="4715" spans="1:6" x14ac:dyDescent="0.25">
      <c r="A4715" t="s">
        <v>4915</v>
      </c>
      <c r="B4715" t="s">
        <v>138</v>
      </c>
      <c r="C4715" t="s">
        <v>42</v>
      </c>
      <c r="D4715" t="str">
        <f>HYPERLINK("http://service.sap.com/sap/support/notes/1731178","1731178")</f>
        <v>1731178</v>
      </c>
      <c r="E4715">
        <v>1</v>
      </c>
      <c r="F4715" t="s">
        <v>4743</v>
      </c>
    </row>
    <row r="4716" spans="1:6" x14ac:dyDescent="0.25">
      <c r="A4716" t="s">
        <v>4915</v>
      </c>
      <c r="B4716" t="s">
        <v>138</v>
      </c>
      <c r="C4716" t="s">
        <v>42</v>
      </c>
      <c r="D4716" t="str">
        <f>HYPERLINK("http://service.sap.com/sap/support/notes/1731206","1731206")</f>
        <v>1731206</v>
      </c>
      <c r="E4716">
        <v>5</v>
      </c>
      <c r="F4716" t="s">
        <v>4744</v>
      </c>
    </row>
    <row r="4717" spans="1:6" x14ac:dyDescent="0.25">
      <c r="A4717" t="s">
        <v>4915</v>
      </c>
      <c r="B4717" t="s">
        <v>138</v>
      </c>
      <c r="C4717" t="s">
        <v>42</v>
      </c>
      <c r="D4717" t="str">
        <f>HYPERLINK("http://service.sap.com/sap/support/notes/1731212","1731212")</f>
        <v>1731212</v>
      </c>
      <c r="E4717">
        <v>1</v>
      </c>
      <c r="F4717" t="s">
        <v>4745</v>
      </c>
    </row>
    <row r="4718" spans="1:6" x14ac:dyDescent="0.25">
      <c r="A4718" t="s">
        <v>4915</v>
      </c>
      <c r="B4718" t="s">
        <v>138</v>
      </c>
      <c r="C4718" t="s">
        <v>42</v>
      </c>
      <c r="D4718" t="str">
        <f>HYPERLINK("http://service.sap.com/sap/support/notes/1732015","1732015")</f>
        <v>1732015</v>
      </c>
      <c r="E4718">
        <v>2</v>
      </c>
      <c r="F4718" t="s">
        <v>4746</v>
      </c>
    </row>
    <row r="4719" spans="1:6" x14ac:dyDescent="0.25">
      <c r="A4719" t="s">
        <v>4915</v>
      </c>
      <c r="B4719" t="s">
        <v>138</v>
      </c>
      <c r="C4719" t="s">
        <v>42</v>
      </c>
      <c r="D4719" t="str">
        <f>HYPERLINK("http://service.sap.com/sap/support/notes/1732134","1732134")</f>
        <v>1732134</v>
      </c>
      <c r="E4719">
        <v>1</v>
      </c>
      <c r="F4719" t="s">
        <v>4747</v>
      </c>
    </row>
    <row r="4720" spans="1:6" x14ac:dyDescent="0.25">
      <c r="A4720" t="s">
        <v>4915</v>
      </c>
      <c r="B4720" t="s">
        <v>138</v>
      </c>
      <c r="C4720" t="s">
        <v>42</v>
      </c>
      <c r="D4720" t="str">
        <f>HYPERLINK("http://service.sap.com/sap/support/notes/1732334","1732334")</f>
        <v>1732334</v>
      </c>
      <c r="E4720">
        <v>1</v>
      </c>
      <c r="F4720" t="s">
        <v>4748</v>
      </c>
    </row>
    <row r="4721" spans="1:6" x14ac:dyDescent="0.25">
      <c r="A4721" t="s">
        <v>4915</v>
      </c>
      <c r="B4721" t="s">
        <v>138</v>
      </c>
      <c r="C4721" t="s">
        <v>42</v>
      </c>
      <c r="D4721" t="str">
        <f>HYPERLINK("http://service.sap.com/sap/support/notes/1733798","1733798")</f>
        <v>1733798</v>
      </c>
      <c r="E4721">
        <v>1</v>
      </c>
      <c r="F4721" t="s">
        <v>4749</v>
      </c>
    </row>
    <row r="4722" spans="1:6" x14ac:dyDescent="0.25">
      <c r="A4722" t="s">
        <v>4915</v>
      </c>
      <c r="B4722" t="s">
        <v>138</v>
      </c>
      <c r="C4722" t="s">
        <v>42</v>
      </c>
      <c r="D4722" t="str">
        <f>HYPERLINK("http://service.sap.com/sap/support/notes/1733799","1733799")</f>
        <v>1733799</v>
      </c>
      <c r="E4722">
        <v>1</v>
      </c>
      <c r="F4722" t="s">
        <v>4750</v>
      </c>
    </row>
    <row r="4723" spans="1:6" x14ac:dyDescent="0.25">
      <c r="A4723" t="s">
        <v>4915</v>
      </c>
      <c r="B4723" t="s">
        <v>138</v>
      </c>
      <c r="C4723" t="s">
        <v>42</v>
      </c>
      <c r="D4723" t="str">
        <f>HYPERLINK("http://service.sap.com/sap/support/notes/1734141","1734141")</f>
        <v>1734141</v>
      </c>
      <c r="E4723">
        <v>3</v>
      </c>
      <c r="F4723" t="s">
        <v>4751</v>
      </c>
    </row>
    <row r="4724" spans="1:6" x14ac:dyDescent="0.25">
      <c r="A4724" t="s">
        <v>4915</v>
      </c>
      <c r="B4724" t="s">
        <v>138</v>
      </c>
      <c r="C4724" t="s">
        <v>42</v>
      </c>
      <c r="D4724" t="str">
        <f>HYPERLINK("http://service.sap.com/sap/support/notes/1734695","1734695")</f>
        <v>1734695</v>
      </c>
      <c r="E4724">
        <v>1</v>
      </c>
      <c r="F4724" t="s">
        <v>4752</v>
      </c>
    </row>
    <row r="4725" spans="1:6" x14ac:dyDescent="0.25">
      <c r="A4725" t="s">
        <v>4915</v>
      </c>
      <c r="B4725" t="s">
        <v>138</v>
      </c>
      <c r="C4725" t="s">
        <v>42</v>
      </c>
      <c r="D4725" t="str">
        <f>HYPERLINK("http://service.sap.com/sap/support/notes/1734864","1734864")</f>
        <v>1734864</v>
      </c>
      <c r="E4725">
        <v>1</v>
      </c>
      <c r="F4725" t="s">
        <v>4753</v>
      </c>
    </row>
    <row r="4726" spans="1:6" x14ac:dyDescent="0.25">
      <c r="A4726" t="s">
        <v>4915</v>
      </c>
      <c r="B4726" t="s">
        <v>138</v>
      </c>
      <c r="C4726" t="s">
        <v>42</v>
      </c>
      <c r="D4726" t="str">
        <f>HYPERLINK("http://service.sap.com/sap/support/notes/1735121","1735121")</f>
        <v>1735121</v>
      </c>
      <c r="E4726">
        <v>2</v>
      </c>
      <c r="F4726" t="s">
        <v>4754</v>
      </c>
    </row>
    <row r="4727" spans="1:6" x14ac:dyDescent="0.25">
      <c r="A4727" t="s">
        <v>4915</v>
      </c>
      <c r="B4727" t="s">
        <v>138</v>
      </c>
      <c r="C4727" t="s">
        <v>42</v>
      </c>
      <c r="D4727" t="str">
        <f>HYPERLINK("http://service.sap.com/sap/support/notes/1735269","1735269")</f>
        <v>1735269</v>
      </c>
      <c r="E4727">
        <v>1</v>
      </c>
      <c r="F4727" t="s">
        <v>4755</v>
      </c>
    </row>
    <row r="4728" spans="1:6" x14ac:dyDescent="0.25">
      <c r="A4728" t="s">
        <v>4915</v>
      </c>
      <c r="B4728" t="s">
        <v>138</v>
      </c>
      <c r="C4728" t="s">
        <v>42</v>
      </c>
      <c r="D4728" t="str">
        <f>HYPERLINK("http://service.sap.com/sap/support/notes/1735480","1735480")</f>
        <v>1735480</v>
      </c>
      <c r="E4728">
        <v>2</v>
      </c>
      <c r="F4728" t="s">
        <v>4756</v>
      </c>
    </row>
    <row r="4729" spans="1:6" x14ac:dyDescent="0.25">
      <c r="A4729" t="s">
        <v>4915</v>
      </c>
      <c r="B4729" t="s">
        <v>138</v>
      </c>
      <c r="C4729" t="s">
        <v>42</v>
      </c>
      <c r="D4729" t="str">
        <f>HYPERLINK("http://service.sap.com/sap/support/notes/1735789","1735789")</f>
        <v>1735789</v>
      </c>
      <c r="E4729">
        <v>1</v>
      </c>
      <c r="F4729" t="s">
        <v>4757</v>
      </c>
    </row>
    <row r="4730" spans="1:6" x14ac:dyDescent="0.25">
      <c r="A4730" t="s">
        <v>4915</v>
      </c>
      <c r="B4730" t="s">
        <v>138</v>
      </c>
      <c r="C4730" t="s">
        <v>42</v>
      </c>
      <c r="D4730" t="str">
        <f>HYPERLINK("http://service.sap.com/sap/support/notes/1736418","1736418")</f>
        <v>1736418</v>
      </c>
      <c r="E4730">
        <v>1</v>
      </c>
      <c r="F4730" t="s">
        <v>4758</v>
      </c>
    </row>
    <row r="4731" spans="1:6" x14ac:dyDescent="0.25">
      <c r="A4731" t="s">
        <v>4915</v>
      </c>
      <c r="B4731" t="s">
        <v>138</v>
      </c>
      <c r="C4731" t="s">
        <v>42</v>
      </c>
      <c r="D4731" t="str">
        <f>HYPERLINK("http://service.sap.com/sap/support/notes/1736555","1736555")</f>
        <v>1736555</v>
      </c>
      <c r="E4731">
        <v>5</v>
      </c>
      <c r="F4731" t="s">
        <v>4759</v>
      </c>
    </row>
    <row r="4732" spans="1:6" x14ac:dyDescent="0.25">
      <c r="A4732" t="s">
        <v>4915</v>
      </c>
      <c r="B4732" t="s">
        <v>138</v>
      </c>
      <c r="C4732" t="s">
        <v>42</v>
      </c>
      <c r="D4732" t="str">
        <f>HYPERLINK("http://service.sap.com/sap/support/notes/1737727","1737727")</f>
        <v>1737727</v>
      </c>
      <c r="E4732">
        <v>2</v>
      </c>
      <c r="F4732" t="s">
        <v>4760</v>
      </c>
    </row>
    <row r="4733" spans="1:6" x14ac:dyDescent="0.25">
      <c r="A4733" t="s">
        <v>4915</v>
      </c>
      <c r="B4733" t="s">
        <v>138</v>
      </c>
      <c r="C4733" t="s">
        <v>42</v>
      </c>
      <c r="D4733" t="str">
        <f>HYPERLINK("http://service.sap.com/sap/support/notes/1738746","1738746")</f>
        <v>1738746</v>
      </c>
      <c r="E4733">
        <v>1</v>
      </c>
      <c r="F4733" t="s">
        <v>4761</v>
      </c>
    </row>
    <row r="4734" spans="1:6" x14ac:dyDescent="0.25">
      <c r="A4734" t="s">
        <v>4915</v>
      </c>
      <c r="B4734" t="s">
        <v>138</v>
      </c>
      <c r="C4734" t="s">
        <v>42</v>
      </c>
      <c r="D4734" t="str">
        <f>HYPERLINK("http://service.sap.com/sap/support/notes/1740416","1740416")</f>
        <v>1740416</v>
      </c>
      <c r="E4734">
        <v>2</v>
      </c>
      <c r="F4734" t="s">
        <v>4762</v>
      </c>
    </row>
    <row r="4735" spans="1:6" x14ac:dyDescent="0.25">
      <c r="A4735" t="s">
        <v>4915</v>
      </c>
      <c r="B4735" t="s">
        <v>138</v>
      </c>
      <c r="C4735" t="s">
        <v>42</v>
      </c>
      <c r="D4735" t="str">
        <f>HYPERLINK("http://service.sap.com/sap/support/notes/1740818","1740818")</f>
        <v>1740818</v>
      </c>
      <c r="E4735">
        <v>4</v>
      </c>
      <c r="F4735" t="s">
        <v>4763</v>
      </c>
    </row>
    <row r="4736" spans="1:6" x14ac:dyDescent="0.25">
      <c r="A4736" t="s">
        <v>4915</v>
      </c>
      <c r="B4736" t="s">
        <v>138</v>
      </c>
      <c r="C4736" t="s">
        <v>42</v>
      </c>
      <c r="D4736" t="str">
        <f>HYPERLINK("http://service.sap.com/sap/support/notes/1740920","1740920")</f>
        <v>1740920</v>
      </c>
      <c r="E4736">
        <v>1</v>
      </c>
      <c r="F4736" t="s">
        <v>4764</v>
      </c>
    </row>
    <row r="4737" spans="1:6" x14ac:dyDescent="0.25">
      <c r="A4737" t="s">
        <v>4915</v>
      </c>
      <c r="B4737" t="s">
        <v>138</v>
      </c>
      <c r="C4737" t="s">
        <v>42</v>
      </c>
      <c r="D4737" t="str">
        <f>HYPERLINK("http://service.sap.com/sap/support/notes/1741784","1741784")</f>
        <v>1741784</v>
      </c>
      <c r="E4737">
        <v>1</v>
      </c>
      <c r="F4737" t="s">
        <v>4765</v>
      </c>
    </row>
    <row r="4738" spans="1:6" x14ac:dyDescent="0.25">
      <c r="A4738" t="s">
        <v>4915</v>
      </c>
      <c r="B4738" t="s">
        <v>138</v>
      </c>
      <c r="C4738" t="s">
        <v>42</v>
      </c>
      <c r="D4738" t="str">
        <f>HYPERLINK("http://service.sap.com/sap/support/notes/1743100","1743100")</f>
        <v>1743100</v>
      </c>
      <c r="E4738">
        <v>2</v>
      </c>
      <c r="F4738" t="s">
        <v>4766</v>
      </c>
    </row>
    <row r="4739" spans="1:6" x14ac:dyDescent="0.25">
      <c r="A4739" t="s">
        <v>4915</v>
      </c>
      <c r="B4739" t="s">
        <v>138</v>
      </c>
      <c r="C4739" t="s">
        <v>42</v>
      </c>
      <c r="D4739" t="str">
        <f>HYPERLINK("http://service.sap.com/sap/support/notes/1743143","1743143")</f>
        <v>1743143</v>
      </c>
      <c r="E4739">
        <v>1</v>
      </c>
      <c r="F4739" t="s">
        <v>4767</v>
      </c>
    </row>
    <row r="4740" spans="1:6" x14ac:dyDescent="0.25">
      <c r="A4740" t="s">
        <v>4915</v>
      </c>
      <c r="B4740" t="s">
        <v>138</v>
      </c>
      <c r="C4740" t="s">
        <v>42</v>
      </c>
      <c r="D4740" t="str">
        <f>HYPERLINK("http://service.sap.com/sap/support/notes/1744655","1744655")</f>
        <v>1744655</v>
      </c>
      <c r="E4740">
        <v>3</v>
      </c>
      <c r="F4740" t="s">
        <v>4768</v>
      </c>
    </row>
    <row r="4741" spans="1:6" x14ac:dyDescent="0.25">
      <c r="A4741" t="s">
        <v>4915</v>
      </c>
      <c r="B4741" t="s">
        <v>602</v>
      </c>
      <c r="C4741" t="s">
        <v>360</v>
      </c>
      <c r="D4741" t="str">
        <f>HYPERLINK("http://service.sap.com/sap/support/notes/1706478","1706478")</f>
        <v>1706478</v>
      </c>
      <c r="E4741">
        <v>2</v>
      </c>
      <c r="F4741" t="s">
        <v>4769</v>
      </c>
    </row>
    <row r="4742" spans="1:6" x14ac:dyDescent="0.25">
      <c r="A4742" t="s">
        <v>4915</v>
      </c>
      <c r="B4742" t="s">
        <v>383</v>
      </c>
      <c r="C4742" t="s">
        <v>82</v>
      </c>
      <c r="D4742" t="str">
        <f>HYPERLINK("http://service.sap.com/sap/support/notes/1731764","1731764")</f>
        <v>1731764</v>
      </c>
      <c r="E4742">
        <v>1</v>
      </c>
      <c r="F4742" t="s">
        <v>4770</v>
      </c>
    </row>
    <row r="4743" spans="1:6" x14ac:dyDescent="0.25">
      <c r="A4743" t="s">
        <v>4915</v>
      </c>
      <c r="B4743" t="s">
        <v>139</v>
      </c>
      <c r="C4743" t="s">
        <v>140</v>
      </c>
      <c r="D4743" t="str">
        <f>HYPERLINK("http://service.sap.com/sap/support/notes/1707802","1707802")</f>
        <v>1707802</v>
      </c>
      <c r="E4743">
        <v>3</v>
      </c>
      <c r="F4743" t="s">
        <v>4771</v>
      </c>
    </row>
    <row r="4744" spans="1:6" x14ac:dyDescent="0.25">
      <c r="A4744" t="s">
        <v>4915</v>
      </c>
      <c r="B4744" t="s">
        <v>139</v>
      </c>
      <c r="C4744" t="s">
        <v>140</v>
      </c>
      <c r="D4744" t="str">
        <f>HYPERLINK("http://service.sap.com/sap/support/notes/1724387","1724387")</f>
        <v>1724387</v>
      </c>
      <c r="E4744">
        <v>4</v>
      </c>
      <c r="F4744" t="s">
        <v>4772</v>
      </c>
    </row>
    <row r="4745" spans="1:6" x14ac:dyDescent="0.25">
      <c r="A4745" t="s">
        <v>4915</v>
      </c>
      <c r="B4745" t="s">
        <v>139</v>
      </c>
      <c r="C4745" t="s">
        <v>140</v>
      </c>
      <c r="D4745" t="str">
        <f>HYPERLINK("http://service.sap.com/sap/support/notes/1737884","1737884")</f>
        <v>1737884</v>
      </c>
      <c r="E4745">
        <v>5</v>
      </c>
      <c r="F4745" t="s">
        <v>4773</v>
      </c>
    </row>
    <row r="4746" spans="1:6" x14ac:dyDescent="0.25">
      <c r="A4746" t="s">
        <v>4915</v>
      </c>
      <c r="B4746" t="s">
        <v>322</v>
      </c>
      <c r="C4746" t="s">
        <v>115</v>
      </c>
    </row>
    <row r="4747" spans="1:6" x14ac:dyDescent="0.25">
      <c r="A4747" t="s">
        <v>4915</v>
      </c>
      <c r="B4747" t="s">
        <v>398</v>
      </c>
      <c r="C4747" t="s">
        <v>123</v>
      </c>
      <c r="D4747" t="str">
        <f>HYPERLINK("http://service.sap.com/sap/support/notes/1744576","1744576")</f>
        <v>1744576</v>
      </c>
      <c r="E4747">
        <v>1</v>
      </c>
      <c r="F4747" t="s">
        <v>4774</v>
      </c>
    </row>
    <row r="4748" spans="1:6" x14ac:dyDescent="0.25">
      <c r="A4748" t="s">
        <v>4915</v>
      </c>
      <c r="B4748" t="s">
        <v>142</v>
      </c>
      <c r="C4748" t="s">
        <v>82</v>
      </c>
      <c r="D4748" t="str">
        <f>HYPERLINK("http://service.sap.com/sap/support/notes/1737501","1737501")</f>
        <v>1737501</v>
      </c>
      <c r="E4748">
        <v>1</v>
      </c>
      <c r="F4748" t="s">
        <v>4775</v>
      </c>
    </row>
    <row r="4749" spans="1:6" x14ac:dyDescent="0.25">
      <c r="A4749" t="s">
        <v>4915</v>
      </c>
      <c r="B4749" t="s">
        <v>143</v>
      </c>
      <c r="C4749" t="s">
        <v>132</v>
      </c>
      <c r="D4749" t="str">
        <f>HYPERLINK("http://service.sap.com/sap/support/notes/1710059","1710059")</f>
        <v>1710059</v>
      </c>
      <c r="E4749">
        <v>2</v>
      </c>
      <c r="F4749" t="s">
        <v>4776</v>
      </c>
    </row>
    <row r="4750" spans="1:6" x14ac:dyDescent="0.25">
      <c r="A4750" t="s">
        <v>4915</v>
      </c>
      <c r="B4750" t="s">
        <v>144</v>
      </c>
      <c r="C4750" t="s">
        <v>145</v>
      </c>
      <c r="D4750" t="str">
        <f>HYPERLINK("http://service.sap.com/sap/support/notes/1709725","1709725")</f>
        <v>1709725</v>
      </c>
      <c r="E4750">
        <v>2</v>
      </c>
      <c r="F4750" t="s">
        <v>4777</v>
      </c>
    </row>
    <row r="4751" spans="1:6" x14ac:dyDescent="0.25">
      <c r="A4751" t="s">
        <v>4915</v>
      </c>
      <c r="B4751" t="s">
        <v>144</v>
      </c>
      <c r="C4751" t="s">
        <v>145</v>
      </c>
      <c r="D4751" t="str">
        <f>HYPERLINK("http://service.sap.com/sap/support/notes/1720764","1720764")</f>
        <v>1720764</v>
      </c>
      <c r="E4751">
        <v>2</v>
      </c>
      <c r="F4751" t="s">
        <v>4778</v>
      </c>
    </row>
    <row r="4752" spans="1:6" x14ac:dyDescent="0.25">
      <c r="A4752" t="s">
        <v>4915</v>
      </c>
      <c r="B4752" t="s">
        <v>144</v>
      </c>
      <c r="C4752" t="s">
        <v>145</v>
      </c>
      <c r="D4752" t="str">
        <f>HYPERLINK("http://service.sap.com/sap/support/notes/1723005","1723005")</f>
        <v>1723005</v>
      </c>
      <c r="E4752">
        <v>4</v>
      </c>
      <c r="F4752" t="s">
        <v>4779</v>
      </c>
    </row>
    <row r="4753" spans="1:6" x14ac:dyDescent="0.25">
      <c r="A4753" t="s">
        <v>4915</v>
      </c>
      <c r="B4753" t="s">
        <v>144</v>
      </c>
      <c r="C4753" t="s">
        <v>145</v>
      </c>
      <c r="D4753" t="str">
        <f>HYPERLINK("http://service.sap.com/sap/support/notes/1730393","1730393")</f>
        <v>1730393</v>
      </c>
      <c r="E4753">
        <v>3</v>
      </c>
      <c r="F4753" t="s">
        <v>4780</v>
      </c>
    </row>
    <row r="4754" spans="1:6" x14ac:dyDescent="0.25">
      <c r="A4754" t="s">
        <v>4915</v>
      </c>
      <c r="B4754" t="s">
        <v>144</v>
      </c>
      <c r="C4754" t="s">
        <v>145</v>
      </c>
      <c r="D4754" t="str">
        <f>HYPERLINK("http://service.sap.com/sap/support/notes/1732245","1732245")</f>
        <v>1732245</v>
      </c>
      <c r="E4754">
        <v>1</v>
      </c>
      <c r="F4754" t="s">
        <v>4781</v>
      </c>
    </row>
    <row r="4755" spans="1:6" x14ac:dyDescent="0.25">
      <c r="A4755" t="s">
        <v>4915</v>
      </c>
      <c r="B4755" t="s">
        <v>144</v>
      </c>
      <c r="C4755" t="s">
        <v>145</v>
      </c>
      <c r="D4755" t="str">
        <f>HYPERLINK("http://service.sap.com/sap/support/notes/1732866","1732866")</f>
        <v>1732866</v>
      </c>
      <c r="E4755">
        <v>1</v>
      </c>
      <c r="F4755" t="s">
        <v>4782</v>
      </c>
    </row>
    <row r="4756" spans="1:6" x14ac:dyDescent="0.25">
      <c r="A4756" t="s">
        <v>4915</v>
      </c>
      <c r="B4756" t="s">
        <v>144</v>
      </c>
      <c r="C4756" t="s">
        <v>145</v>
      </c>
      <c r="D4756" t="str">
        <f>HYPERLINK("http://service.sap.com/sap/support/notes/1734518","1734518")</f>
        <v>1734518</v>
      </c>
      <c r="E4756">
        <v>2</v>
      </c>
      <c r="F4756" t="s">
        <v>4783</v>
      </c>
    </row>
    <row r="4757" spans="1:6" x14ac:dyDescent="0.25">
      <c r="A4757" t="s">
        <v>4915</v>
      </c>
      <c r="B4757" t="s">
        <v>144</v>
      </c>
      <c r="C4757" t="s">
        <v>145</v>
      </c>
      <c r="D4757" t="str">
        <f>HYPERLINK("http://service.sap.com/sap/support/notes/1734957","1734957")</f>
        <v>1734957</v>
      </c>
      <c r="E4757">
        <v>1</v>
      </c>
      <c r="F4757" t="s">
        <v>4784</v>
      </c>
    </row>
    <row r="4758" spans="1:6" x14ac:dyDescent="0.25">
      <c r="A4758" t="s">
        <v>4915</v>
      </c>
      <c r="B4758" t="s">
        <v>144</v>
      </c>
      <c r="C4758" t="s">
        <v>145</v>
      </c>
      <c r="D4758" t="str">
        <f>HYPERLINK("http://service.sap.com/sap/support/notes/1737421","1737421")</f>
        <v>1737421</v>
      </c>
      <c r="E4758">
        <v>1</v>
      </c>
      <c r="F4758" t="s">
        <v>4785</v>
      </c>
    </row>
    <row r="4759" spans="1:6" x14ac:dyDescent="0.25">
      <c r="A4759" t="s">
        <v>4915</v>
      </c>
      <c r="B4759" t="s">
        <v>144</v>
      </c>
      <c r="C4759" t="s">
        <v>145</v>
      </c>
      <c r="D4759" t="str">
        <f>HYPERLINK("http://service.sap.com/sap/support/notes/1738104","1738104")</f>
        <v>1738104</v>
      </c>
      <c r="E4759">
        <v>1</v>
      </c>
      <c r="F4759" t="s">
        <v>4786</v>
      </c>
    </row>
    <row r="4760" spans="1:6" x14ac:dyDescent="0.25">
      <c r="A4760" t="s">
        <v>4915</v>
      </c>
      <c r="B4760" t="s">
        <v>144</v>
      </c>
      <c r="C4760" t="s">
        <v>145</v>
      </c>
      <c r="D4760" t="str">
        <f>HYPERLINK("http://service.sap.com/sap/support/notes/1742609","1742609")</f>
        <v>1742609</v>
      </c>
      <c r="E4760">
        <v>1</v>
      </c>
      <c r="F4760" t="s">
        <v>4787</v>
      </c>
    </row>
    <row r="4761" spans="1:6" x14ac:dyDescent="0.25">
      <c r="A4761" t="s">
        <v>4915</v>
      </c>
      <c r="B4761" t="s">
        <v>144</v>
      </c>
      <c r="C4761" t="s">
        <v>145</v>
      </c>
      <c r="D4761" t="str">
        <f>HYPERLINK("http://service.sap.com/sap/support/notes/1744332","1744332")</f>
        <v>1744332</v>
      </c>
      <c r="E4761">
        <v>1</v>
      </c>
      <c r="F4761" t="s">
        <v>4788</v>
      </c>
    </row>
    <row r="4762" spans="1:6" x14ac:dyDescent="0.25">
      <c r="A4762" t="s">
        <v>4915</v>
      </c>
      <c r="B4762" t="s">
        <v>146</v>
      </c>
      <c r="C4762" t="s">
        <v>147</v>
      </c>
      <c r="D4762" t="str">
        <f>HYPERLINK("http://service.sap.com/sap/support/notes/1708276","1708276")</f>
        <v>1708276</v>
      </c>
      <c r="E4762">
        <v>1</v>
      </c>
      <c r="F4762" t="s">
        <v>4789</v>
      </c>
    </row>
    <row r="4763" spans="1:6" x14ac:dyDescent="0.25">
      <c r="A4763" t="s">
        <v>4915</v>
      </c>
      <c r="B4763" t="s">
        <v>146</v>
      </c>
      <c r="C4763" t="s">
        <v>147</v>
      </c>
      <c r="D4763" t="str">
        <f>HYPERLINK("http://service.sap.com/sap/support/notes/1736902","1736902")</f>
        <v>1736902</v>
      </c>
      <c r="E4763">
        <v>4</v>
      </c>
      <c r="F4763" t="s">
        <v>4790</v>
      </c>
    </row>
    <row r="4764" spans="1:6" x14ac:dyDescent="0.25">
      <c r="A4764" t="s">
        <v>4915</v>
      </c>
      <c r="B4764" t="s">
        <v>148</v>
      </c>
      <c r="C4764" t="s">
        <v>45</v>
      </c>
      <c r="D4764" t="str">
        <f>HYPERLINK("http://service.sap.com/sap/support/notes/1734054","1734054")</f>
        <v>1734054</v>
      </c>
      <c r="E4764">
        <v>1</v>
      </c>
      <c r="F4764" t="s">
        <v>4791</v>
      </c>
    </row>
    <row r="4765" spans="1:6" x14ac:dyDescent="0.25">
      <c r="A4765" t="s">
        <v>4915</v>
      </c>
      <c r="B4765" t="s">
        <v>149</v>
      </c>
      <c r="C4765" t="s">
        <v>150</v>
      </c>
      <c r="D4765" t="str">
        <f>HYPERLINK("http://service.sap.com/sap/support/notes/1724564","1724564")</f>
        <v>1724564</v>
      </c>
      <c r="E4765">
        <v>3</v>
      </c>
      <c r="F4765" t="s">
        <v>4792</v>
      </c>
    </row>
    <row r="4766" spans="1:6" x14ac:dyDescent="0.25">
      <c r="A4766" t="s">
        <v>4915</v>
      </c>
      <c r="B4766" t="s">
        <v>149</v>
      </c>
      <c r="C4766" t="s">
        <v>150</v>
      </c>
      <c r="D4766" t="str">
        <f>HYPERLINK("http://service.sap.com/sap/support/notes/1729685","1729685")</f>
        <v>1729685</v>
      </c>
      <c r="E4766">
        <v>2</v>
      </c>
      <c r="F4766" t="s">
        <v>4793</v>
      </c>
    </row>
    <row r="4767" spans="1:6" x14ac:dyDescent="0.25">
      <c r="A4767" t="s">
        <v>4915</v>
      </c>
      <c r="B4767" t="s">
        <v>152</v>
      </c>
      <c r="C4767" t="s">
        <v>47</v>
      </c>
      <c r="D4767" t="str">
        <f>HYPERLINK("http://service.sap.com/sap/support/notes/1707877","1707877")</f>
        <v>1707877</v>
      </c>
      <c r="E4767">
        <v>3</v>
      </c>
      <c r="F4767" t="s">
        <v>4794</v>
      </c>
    </row>
    <row r="4768" spans="1:6" x14ac:dyDescent="0.25">
      <c r="A4768" t="s">
        <v>4915</v>
      </c>
      <c r="B4768" t="s">
        <v>152</v>
      </c>
      <c r="C4768" t="s">
        <v>47</v>
      </c>
      <c r="D4768" t="str">
        <f>HYPERLINK("http://service.sap.com/sap/support/notes/1713493","1713493")</f>
        <v>1713493</v>
      </c>
      <c r="E4768">
        <v>2</v>
      </c>
      <c r="F4768" t="s">
        <v>4795</v>
      </c>
    </row>
    <row r="4769" spans="1:6" x14ac:dyDescent="0.25">
      <c r="A4769" t="s">
        <v>4915</v>
      </c>
      <c r="B4769" t="s">
        <v>152</v>
      </c>
      <c r="C4769" t="s">
        <v>47</v>
      </c>
      <c r="D4769" t="str">
        <f>HYPERLINK("http://service.sap.com/sap/support/notes/1717589","1717589")</f>
        <v>1717589</v>
      </c>
      <c r="E4769">
        <v>1</v>
      </c>
      <c r="F4769" t="s">
        <v>4796</v>
      </c>
    </row>
    <row r="4770" spans="1:6" x14ac:dyDescent="0.25">
      <c r="A4770" t="s">
        <v>4915</v>
      </c>
      <c r="B4770" t="s">
        <v>152</v>
      </c>
      <c r="C4770" t="s">
        <v>47</v>
      </c>
      <c r="D4770" t="str">
        <f>HYPERLINK("http://service.sap.com/sap/support/notes/1724071","1724071")</f>
        <v>1724071</v>
      </c>
      <c r="E4770">
        <v>2</v>
      </c>
      <c r="F4770" t="s">
        <v>4797</v>
      </c>
    </row>
    <row r="4771" spans="1:6" x14ac:dyDescent="0.25">
      <c r="A4771" t="s">
        <v>4915</v>
      </c>
      <c r="B4771" t="s">
        <v>152</v>
      </c>
      <c r="C4771" t="s">
        <v>47</v>
      </c>
      <c r="D4771" t="str">
        <f>HYPERLINK("http://service.sap.com/sap/support/notes/1727139","1727139")</f>
        <v>1727139</v>
      </c>
      <c r="E4771">
        <v>4</v>
      </c>
      <c r="F4771" t="s">
        <v>4798</v>
      </c>
    </row>
    <row r="4772" spans="1:6" x14ac:dyDescent="0.25">
      <c r="A4772" t="s">
        <v>4915</v>
      </c>
      <c r="B4772" t="s">
        <v>152</v>
      </c>
      <c r="C4772" t="s">
        <v>47</v>
      </c>
      <c r="D4772" t="str">
        <f>HYPERLINK("http://service.sap.com/sap/support/notes/1728381","1728381")</f>
        <v>1728381</v>
      </c>
      <c r="E4772">
        <v>4</v>
      </c>
      <c r="F4772" t="s">
        <v>4799</v>
      </c>
    </row>
    <row r="4773" spans="1:6" x14ac:dyDescent="0.25">
      <c r="A4773" t="s">
        <v>4915</v>
      </c>
      <c r="B4773" t="s">
        <v>152</v>
      </c>
      <c r="C4773" t="s">
        <v>47</v>
      </c>
      <c r="D4773" t="str">
        <f>HYPERLINK("http://service.sap.com/sap/support/notes/1730541","1730541")</f>
        <v>1730541</v>
      </c>
      <c r="E4773">
        <v>2</v>
      </c>
      <c r="F4773" t="s">
        <v>4800</v>
      </c>
    </row>
    <row r="4774" spans="1:6" x14ac:dyDescent="0.25">
      <c r="A4774" t="s">
        <v>4915</v>
      </c>
      <c r="B4774" t="s">
        <v>152</v>
      </c>
      <c r="C4774" t="s">
        <v>47</v>
      </c>
      <c r="D4774" t="str">
        <f>HYPERLINK("http://service.sap.com/sap/support/notes/1731727","1731727")</f>
        <v>1731727</v>
      </c>
      <c r="E4774">
        <v>1</v>
      </c>
      <c r="F4774" t="s">
        <v>4801</v>
      </c>
    </row>
    <row r="4775" spans="1:6" x14ac:dyDescent="0.25">
      <c r="A4775" t="s">
        <v>4915</v>
      </c>
      <c r="B4775" t="s">
        <v>152</v>
      </c>
      <c r="C4775" t="s">
        <v>47</v>
      </c>
      <c r="D4775" t="str">
        <f>HYPERLINK("http://service.sap.com/sap/support/notes/1732447","1732447")</f>
        <v>1732447</v>
      </c>
      <c r="E4775">
        <v>2</v>
      </c>
      <c r="F4775" t="s">
        <v>4802</v>
      </c>
    </row>
    <row r="4776" spans="1:6" x14ac:dyDescent="0.25">
      <c r="A4776" t="s">
        <v>4915</v>
      </c>
      <c r="B4776" t="s">
        <v>152</v>
      </c>
      <c r="C4776" t="s">
        <v>47</v>
      </c>
      <c r="D4776" t="str">
        <f>HYPERLINK("http://service.sap.com/sap/support/notes/1734563","1734563")</f>
        <v>1734563</v>
      </c>
      <c r="E4776">
        <v>1</v>
      </c>
      <c r="F4776" t="s">
        <v>4803</v>
      </c>
    </row>
    <row r="4777" spans="1:6" x14ac:dyDescent="0.25">
      <c r="A4777" t="s">
        <v>4915</v>
      </c>
      <c r="B4777" t="s">
        <v>152</v>
      </c>
      <c r="C4777" t="s">
        <v>47</v>
      </c>
      <c r="D4777" t="str">
        <f>HYPERLINK("http://service.sap.com/sap/support/notes/1739167","1739167")</f>
        <v>1739167</v>
      </c>
      <c r="E4777">
        <v>3</v>
      </c>
      <c r="F4777" t="s">
        <v>4804</v>
      </c>
    </row>
    <row r="4778" spans="1:6" x14ac:dyDescent="0.25">
      <c r="A4778" t="s">
        <v>4915</v>
      </c>
      <c r="B4778" t="s">
        <v>152</v>
      </c>
      <c r="C4778" t="s">
        <v>47</v>
      </c>
      <c r="D4778" t="str">
        <f>HYPERLINK("http://service.sap.com/sap/support/notes/1744069","1744069")</f>
        <v>1744069</v>
      </c>
      <c r="E4778">
        <v>3</v>
      </c>
      <c r="F4778" t="s">
        <v>4805</v>
      </c>
    </row>
    <row r="4779" spans="1:6" x14ac:dyDescent="0.25">
      <c r="A4779" t="s">
        <v>4915</v>
      </c>
      <c r="B4779" t="s">
        <v>155</v>
      </c>
      <c r="C4779" t="s">
        <v>49</v>
      </c>
      <c r="D4779" t="str">
        <f>HYPERLINK("http://service.sap.com/sap/support/notes/1691470","1691470")</f>
        <v>1691470</v>
      </c>
      <c r="E4779">
        <v>10</v>
      </c>
      <c r="F4779" t="s">
        <v>4806</v>
      </c>
    </row>
    <row r="4780" spans="1:6" x14ac:dyDescent="0.25">
      <c r="A4780" t="s">
        <v>4915</v>
      </c>
      <c r="B4780" t="s">
        <v>155</v>
      </c>
      <c r="C4780" t="s">
        <v>49</v>
      </c>
      <c r="D4780" t="str">
        <f>HYPERLINK("http://service.sap.com/sap/support/notes/1717125","1717125")</f>
        <v>1717125</v>
      </c>
      <c r="E4780">
        <v>4</v>
      </c>
      <c r="F4780" t="s">
        <v>4807</v>
      </c>
    </row>
    <row r="4781" spans="1:6" x14ac:dyDescent="0.25">
      <c r="A4781" t="s">
        <v>4915</v>
      </c>
      <c r="B4781" t="s">
        <v>155</v>
      </c>
      <c r="C4781" t="s">
        <v>49</v>
      </c>
      <c r="D4781" t="str">
        <f>HYPERLINK("http://service.sap.com/sap/support/notes/1725206","1725206")</f>
        <v>1725206</v>
      </c>
      <c r="E4781">
        <v>2</v>
      </c>
      <c r="F4781" t="s">
        <v>4808</v>
      </c>
    </row>
    <row r="4782" spans="1:6" x14ac:dyDescent="0.25">
      <c r="A4782" t="s">
        <v>4915</v>
      </c>
      <c r="B4782" t="s">
        <v>155</v>
      </c>
      <c r="C4782" t="s">
        <v>49</v>
      </c>
      <c r="D4782" t="str">
        <f>HYPERLINK("http://service.sap.com/sap/support/notes/1729928","1729928")</f>
        <v>1729928</v>
      </c>
      <c r="E4782">
        <v>1</v>
      </c>
      <c r="F4782" t="s">
        <v>4809</v>
      </c>
    </row>
    <row r="4783" spans="1:6" x14ac:dyDescent="0.25">
      <c r="A4783" t="s">
        <v>4915</v>
      </c>
      <c r="B4783" t="s">
        <v>155</v>
      </c>
      <c r="C4783" t="s">
        <v>49</v>
      </c>
      <c r="D4783" t="str">
        <f>HYPERLINK("http://service.sap.com/sap/support/notes/1732044","1732044")</f>
        <v>1732044</v>
      </c>
      <c r="E4783">
        <v>2</v>
      </c>
      <c r="F4783" t="s">
        <v>4810</v>
      </c>
    </row>
    <row r="4784" spans="1:6" x14ac:dyDescent="0.25">
      <c r="A4784" t="s">
        <v>4915</v>
      </c>
      <c r="B4784" t="s">
        <v>155</v>
      </c>
      <c r="C4784" t="s">
        <v>49</v>
      </c>
      <c r="D4784" t="str">
        <f>HYPERLINK("http://service.sap.com/sap/support/notes/1736130","1736130")</f>
        <v>1736130</v>
      </c>
      <c r="E4784">
        <v>2</v>
      </c>
      <c r="F4784" t="s">
        <v>4811</v>
      </c>
    </row>
    <row r="4785" spans="1:6" x14ac:dyDescent="0.25">
      <c r="A4785" t="s">
        <v>4915</v>
      </c>
      <c r="B4785" t="s">
        <v>155</v>
      </c>
      <c r="C4785" t="s">
        <v>49</v>
      </c>
      <c r="D4785" t="str">
        <f>HYPERLINK("http://service.sap.com/sap/support/notes/1736733","1736733")</f>
        <v>1736733</v>
      </c>
      <c r="E4785">
        <v>1</v>
      </c>
      <c r="F4785" t="s">
        <v>4812</v>
      </c>
    </row>
    <row r="4786" spans="1:6" x14ac:dyDescent="0.25">
      <c r="A4786" t="s">
        <v>4915</v>
      </c>
      <c r="B4786" t="s">
        <v>155</v>
      </c>
      <c r="C4786" t="s">
        <v>49</v>
      </c>
      <c r="D4786" t="str">
        <f>HYPERLINK("http://service.sap.com/sap/support/notes/1740511","1740511")</f>
        <v>1740511</v>
      </c>
      <c r="E4786">
        <v>2</v>
      </c>
      <c r="F4786" t="s">
        <v>4813</v>
      </c>
    </row>
    <row r="4787" spans="1:6" x14ac:dyDescent="0.25">
      <c r="A4787" t="s">
        <v>4915</v>
      </c>
      <c r="B4787" t="s">
        <v>156</v>
      </c>
      <c r="C4787" t="s">
        <v>52</v>
      </c>
      <c r="D4787" t="str">
        <f>HYPERLINK("http://service.sap.com/sap/support/notes/1729503","1729503")</f>
        <v>1729503</v>
      </c>
      <c r="E4787">
        <v>3</v>
      </c>
      <c r="F4787" t="s">
        <v>4814</v>
      </c>
    </row>
    <row r="4788" spans="1:6" x14ac:dyDescent="0.25">
      <c r="A4788" t="s">
        <v>4915</v>
      </c>
      <c r="B4788" t="s">
        <v>156</v>
      </c>
      <c r="C4788" t="s">
        <v>52</v>
      </c>
      <c r="D4788" t="str">
        <f>HYPERLINK("http://service.sap.com/sap/support/notes/1730645","1730645")</f>
        <v>1730645</v>
      </c>
      <c r="E4788">
        <v>1</v>
      </c>
      <c r="F4788" t="s">
        <v>4815</v>
      </c>
    </row>
    <row r="4789" spans="1:6" x14ac:dyDescent="0.25">
      <c r="A4789" t="s">
        <v>4915</v>
      </c>
      <c r="B4789" t="s">
        <v>156</v>
      </c>
      <c r="C4789" t="s">
        <v>52</v>
      </c>
      <c r="D4789" t="str">
        <f>HYPERLINK("http://service.sap.com/sap/support/notes/1731052","1731052")</f>
        <v>1731052</v>
      </c>
      <c r="E4789">
        <v>1</v>
      </c>
      <c r="F4789" t="s">
        <v>4816</v>
      </c>
    </row>
    <row r="4790" spans="1:6" x14ac:dyDescent="0.25">
      <c r="A4790" t="s">
        <v>4915</v>
      </c>
      <c r="B4790" t="s">
        <v>156</v>
      </c>
      <c r="C4790" t="s">
        <v>52</v>
      </c>
      <c r="D4790" t="str">
        <f>HYPERLINK("http://service.sap.com/sap/support/notes/1732907","1732907")</f>
        <v>1732907</v>
      </c>
      <c r="E4790">
        <v>2</v>
      </c>
      <c r="F4790" t="s">
        <v>4817</v>
      </c>
    </row>
    <row r="4791" spans="1:6" x14ac:dyDescent="0.25">
      <c r="A4791" t="s">
        <v>4915</v>
      </c>
      <c r="B4791" t="s">
        <v>156</v>
      </c>
      <c r="C4791" t="s">
        <v>52</v>
      </c>
      <c r="D4791" t="str">
        <f>HYPERLINK("http://service.sap.com/sap/support/notes/1737962","1737962")</f>
        <v>1737962</v>
      </c>
      <c r="E4791">
        <v>1</v>
      </c>
      <c r="F4791" t="s">
        <v>4818</v>
      </c>
    </row>
    <row r="4792" spans="1:6" x14ac:dyDescent="0.25">
      <c r="A4792" t="s">
        <v>4915</v>
      </c>
      <c r="B4792" t="s">
        <v>158</v>
      </c>
      <c r="C4792" t="s">
        <v>54</v>
      </c>
      <c r="D4792" t="str">
        <f>HYPERLINK("http://service.sap.com/sap/support/notes/1731290","1731290")</f>
        <v>1731290</v>
      </c>
      <c r="E4792">
        <v>2</v>
      </c>
      <c r="F4792" t="s">
        <v>4819</v>
      </c>
    </row>
    <row r="4793" spans="1:6" x14ac:dyDescent="0.25">
      <c r="A4793" t="s">
        <v>4915</v>
      </c>
      <c r="B4793" t="s">
        <v>158</v>
      </c>
      <c r="C4793" t="s">
        <v>54</v>
      </c>
      <c r="D4793" t="str">
        <f>HYPERLINK("http://service.sap.com/sap/support/notes/1731647","1731647")</f>
        <v>1731647</v>
      </c>
      <c r="E4793">
        <v>3</v>
      </c>
      <c r="F4793" t="s">
        <v>4820</v>
      </c>
    </row>
    <row r="4794" spans="1:6" x14ac:dyDescent="0.25">
      <c r="A4794" t="s">
        <v>4915</v>
      </c>
      <c r="B4794" t="s">
        <v>158</v>
      </c>
      <c r="C4794" t="s">
        <v>54</v>
      </c>
      <c r="D4794" t="str">
        <f>HYPERLINK("http://service.sap.com/sap/support/notes/1731649","1731649")</f>
        <v>1731649</v>
      </c>
      <c r="E4794">
        <v>2</v>
      </c>
      <c r="F4794" t="s">
        <v>4821</v>
      </c>
    </row>
    <row r="4795" spans="1:6" x14ac:dyDescent="0.25">
      <c r="A4795" t="s">
        <v>4915</v>
      </c>
      <c r="B4795" t="s">
        <v>158</v>
      </c>
      <c r="C4795" t="s">
        <v>54</v>
      </c>
      <c r="D4795" t="str">
        <f>HYPERLINK("http://service.sap.com/sap/support/notes/1739076","1739076")</f>
        <v>1739076</v>
      </c>
      <c r="E4795">
        <v>3</v>
      </c>
      <c r="F4795" t="s">
        <v>4822</v>
      </c>
    </row>
    <row r="4796" spans="1:6" x14ac:dyDescent="0.25">
      <c r="A4796" t="s">
        <v>4915</v>
      </c>
      <c r="B4796" t="s">
        <v>158</v>
      </c>
      <c r="C4796" t="s">
        <v>54</v>
      </c>
      <c r="D4796" t="str">
        <f>HYPERLINK("http://service.sap.com/sap/support/notes/1740492","1740492")</f>
        <v>1740492</v>
      </c>
      <c r="E4796">
        <v>1</v>
      </c>
      <c r="F4796" t="s">
        <v>4823</v>
      </c>
    </row>
    <row r="4797" spans="1:6" x14ac:dyDescent="0.25">
      <c r="A4797" t="s">
        <v>4915</v>
      </c>
      <c r="B4797" t="s">
        <v>163</v>
      </c>
      <c r="C4797" t="s">
        <v>56</v>
      </c>
      <c r="D4797" t="str">
        <f>HYPERLINK("http://service.sap.com/sap/support/notes/1683400","1683400")</f>
        <v>1683400</v>
      </c>
      <c r="E4797">
        <v>2</v>
      </c>
      <c r="F4797" t="s">
        <v>4824</v>
      </c>
    </row>
    <row r="4798" spans="1:6" x14ac:dyDescent="0.25">
      <c r="A4798" t="s">
        <v>4915</v>
      </c>
      <c r="B4798" t="s">
        <v>163</v>
      </c>
      <c r="C4798" t="s">
        <v>56</v>
      </c>
      <c r="D4798" t="str">
        <f>HYPERLINK("http://service.sap.com/sap/support/notes/1725362","1725362")</f>
        <v>1725362</v>
      </c>
      <c r="E4798">
        <v>1</v>
      </c>
      <c r="F4798" t="s">
        <v>4825</v>
      </c>
    </row>
    <row r="4799" spans="1:6" x14ac:dyDescent="0.25">
      <c r="A4799" t="s">
        <v>4915</v>
      </c>
      <c r="B4799" t="s">
        <v>163</v>
      </c>
      <c r="C4799" t="s">
        <v>56</v>
      </c>
      <c r="D4799" t="str">
        <f>HYPERLINK("http://service.sap.com/sap/support/notes/1727643","1727643")</f>
        <v>1727643</v>
      </c>
      <c r="E4799">
        <v>1</v>
      </c>
      <c r="F4799" t="s">
        <v>4826</v>
      </c>
    </row>
    <row r="4800" spans="1:6" x14ac:dyDescent="0.25">
      <c r="A4800" t="s">
        <v>4915</v>
      </c>
      <c r="B4800" t="s">
        <v>163</v>
      </c>
      <c r="C4800" t="s">
        <v>56</v>
      </c>
      <c r="D4800" t="str">
        <f>HYPERLINK("http://service.sap.com/sap/support/notes/1734201","1734201")</f>
        <v>1734201</v>
      </c>
      <c r="E4800">
        <v>1</v>
      </c>
      <c r="F4800" t="s">
        <v>4827</v>
      </c>
    </row>
    <row r="4801" spans="1:6" x14ac:dyDescent="0.25">
      <c r="A4801" t="s">
        <v>4915</v>
      </c>
      <c r="B4801" t="s">
        <v>163</v>
      </c>
      <c r="C4801" t="s">
        <v>56</v>
      </c>
      <c r="D4801" t="str">
        <f>HYPERLINK("http://service.sap.com/sap/support/notes/1739028","1739028")</f>
        <v>1739028</v>
      </c>
      <c r="E4801">
        <v>2</v>
      </c>
      <c r="F4801" t="s">
        <v>4828</v>
      </c>
    </row>
    <row r="4802" spans="1:6" x14ac:dyDescent="0.25">
      <c r="A4802" t="s">
        <v>4915</v>
      </c>
      <c r="B4802" t="s">
        <v>164</v>
      </c>
      <c r="C4802" t="s">
        <v>165</v>
      </c>
      <c r="D4802" t="str">
        <f>HYPERLINK("http://service.sap.com/sap/support/notes/1699480","1699480")</f>
        <v>1699480</v>
      </c>
      <c r="E4802">
        <v>1</v>
      </c>
      <c r="F4802" t="s">
        <v>4829</v>
      </c>
    </row>
    <row r="4803" spans="1:6" x14ac:dyDescent="0.25">
      <c r="A4803" t="s">
        <v>4915</v>
      </c>
      <c r="B4803" t="s">
        <v>164</v>
      </c>
      <c r="C4803" t="s">
        <v>165</v>
      </c>
      <c r="D4803" t="str">
        <f>HYPERLINK("http://service.sap.com/sap/support/notes/1715610","1715610")</f>
        <v>1715610</v>
      </c>
      <c r="E4803">
        <v>4</v>
      </c>
      <c r="F4803" t="s">
        <v>4830</v>
      </c>
    </row>
    <row r="4804" spans="1:6" x14ac:dyDescent="0.25">
      <c r="A4804" t="s">
        <v>4915</v>
      </c>
      <c r="B4804" t="s">
        <v>164</v>
      </c>
      <c r="C4804" t="s">
        <v>165</v>
      </c>
      <c r="D4804" t="str">
        <f>HYPERLINK("http://service.sap.com/sap/support/notes/1733002","1733002")</f>
        <v>1733002</v>
      </c>
      <c r="E4804">
        <v>1</v>
      </c>
      <c r="F4804" t="s">
        <v>4831</v>
      </c>
    </row>
    <row r="4805" spans="1:6" x14ac:dyDescent="0.25">
      <c r="A4805" t="s">
        <v>4915</v>
      </c>
      <c r="B4805" t="s">
        <v>164</v>
      </c>
      <c r="C4805" t="s">
        <v>165</v>
      </c>
      <c r="D4805" t="str">
        <f>HYPERLINK("http://service.sap.com/sap/support/notes/1733115","1733115")</f>
        <v>1733115</v>
      </c>
      <c r="E4805">
        <v>1</v>
      </c>
      <c r="F4805" t="s">
        <v>4832</v>
      </c>
    </row>
    <row r="4806" spans="1:6" x14ac:dyDescent="0.25">
      <c r="A4806" t="s">
        <v>4915</v>
      </c>
      <c r="B4806" t="s">
        <v>164</v>
      </c>
      <c r="C4806" t="s">
        <v>165</v>
      </c>
      <c r="D4806" t="str">
        <f>HYPERLINK("http://service.sap.com/sap/support/notes/1733492","1733492")</f>
        <v>1733492</v>
      </c>
      <c r="E4806">
        <v>1</v>
      </c>
      <c r="F4806" t="s">
        <v>4833</v>
      </c>
    </row>
    <row r="4807" spans="1:6" x14ac:dyDescent="0.25">
      <c r="A4807" t="s">
        <v>4915</v>
      </c>
      <c r="B4807" t="s">
        <v>164</v>
      </c>
      <c r="C4807" t="s">
        <v>165</v>
      </c>
      <c r="D4807" t="str">
        <f>HYPERLINK("http://service.sap.com/sap/support/notes/1734032","1734032")</f>
        <v>1734032</v>
      </c>
      <c r="E4807">
        <v>3</v>
      </c>
      <c r="F4807" t="s">
        <v>4834</v>
      </c>
    </row>
    <row r="4808" spans="1:6" x14ac:dyDescent="0.25">
      <c r="A4808" t="s">
        <v>4915</v>
      </c>
      <c r="B4808" t="s">
        <v>164</v>
      </c>
      <c r="C4808" t="s">
        <v>165</v>
      </c>
      <c r="D4808" t="str">
        <f>HYPERLINK("http://service.sap.com/sap/support/notes/1743535","1743535")</f>
        <v>1743535</v>
      </c>
      <c r="E4808">
        <v>1</v>
      </c>
      <c r="F4808" t="s">
        <v>4835</v>
      </c>
    </row>
    <row r="4809" spans="1:6" x14ac:dyDescent="0.25">
      <c r="A4809" t="s">
        <v>4915</v>
      </c>
      <c r="B4809" t="s">
        <v>166</v>
      </c>
      <c r="C4809" t="s">
        <v>167</v>
      </c>
      <c r="D4809" t="str">
        <f>HYPERLINK("http://service.sap.com/sap/support/notes/1722731","1722731")</f>
        <v>1722731</v>
      </c>
      <c r="E4809">
        <v>2</v>
      </c>
      <c r="F4809" t="s">
        <v>4836</v>
      </c>
    </row>
    <row r="4810" spans="1:6" x14ac:dyDescent="0.25">
      <c r="A4810" t="s">
        <v>4915</v>
      </c>
      <c r="B4810" t="s">
        <v>166</v>
      </c>
      <c r="C4810" t="s">
        <v>167</v>
      </c>
      <c r="D4810" t="str">
        <f>HYPERLINK("http://service.sap.com/sap/support/notes/1724882","1724882")</f>
        <v>1724882</v>
      </c>
      <c r="E4810">
        <v>8</v>
      </c>
      <c r="F4810" t="s">
        <v>4837</v>
      </c>
    </row>
    <row r="4811" spans="1:6" x14ac:dyDescent="0.25">
      <c r="A4811" t="s">
        <v>4915</v>
      </c>
      <c r="B4811" t="s">
        <v>327</v>
      </c>
      <c r="C4811" t="s">
        <v>399</v>
      </c>
      <c r="D4811" t="str">
        <f>HYPERLINK("http://service.sap.com/sap/support/notes/1693983","1693983")</f>
        <v>1693983</v>
      </c>
      <c r="E4811">
        <v>3</v>
      </c>
      <c r="F4811" t="s">
        <v>4838</v>
      </c>
    </row>
    <row r="4812" spans="1:6" x14ac:dyDescent="0.25">
      <c r="A4812" t="s">
        <v>4915</v>
      </c>
      <c r="B4812" t="s">
        <v>327</v>
      </c>
      <c r="C4812" t="s">
        <v>399</v>
      </c>
      <c r="D4812" t="str">
        <f>HYPERLINK("http://service.sap.com/sap/support/notes/1730417","1730417")</f>
        <v>1730417</v>
      </c>
      <c r="E4812">
        <v>3</v>
      </c>
      <c r="F4812" t="s">
        <v>4839</v>
      </c>
    </row>
    <row r="4813" spans="1:6" x14ac:dyDescent="0.25">
      <c r="A4813" t="s">
        <v>4915</v>
      </c>
      <c r="B4813" t="s">
        <v>168</v>
      </c>
      <c r="C4813" t="s">
        <v>169</v>
      </c>
      <c r="D4813" t="str">
        <f>HYPERLINK("http://service.sap.com/sap/support/notes/1681907","1681907")</f>
        <v>1681907</v>
      </c>
      <c r="E4813">
        <v>2</v>
      </c>
      <c r="F4813" t="s">
        <v>4840</v>
      </c>
    </row>
    <row r="4814" spans="1:6" x14ac:dyDescent="0.25">
      <c r="A4814" t="s">
        <v>4915</v>
      </c>
      <c r="B4814" t="s">
        <v>168</v>
      </c>
      <c r="C4814" t="s">
        <v>169</v>
      </c>
      <c r="D4814" t="str">
        <f>HYPERLINK("http://service.sap.com/sap/support/notes/1722640","1722640")</f>
        <v>1722640</v>
      </c>
      <c r="E4814">
        <v>1</v>
      </c>
      <c r="F4814" t="s">
        <v>4841</v>
      </c>
    </row>
    <row r="4815" spans="1:6" x14ac:dyDescent="0.25">
      <c r="A4815" t="s">
        <v>4915</v>
      </c>
      <c r="B4815" t="s">
        <v>168</v>
      </c>
      <c r="C4815" t="s">
        <v>169</v>
      </c>
      <c r="D4815" t="str">
        <f>HYPERLINK("http://service.sap.com/sap/support/notes/1723943","1723943")</f>
        <v>1723943</v>
      </c>
      <c r="E4815">
        <v>1</v>
      </c>
      <c r="F4815" t="s">
        <v>4842</v>
      </c>
    </row>
    <row r="4816" spans="1:6" x14ac:dyDescent="0.25">
      <c r="A4816" t="s">
        <v>4915</v>
      </c>
      <c r="B4816" t="s">
        <v>168</v>
      </c>
      <c r="C4816" t="s">
        <v>169</v>
      </c>
      <c r="D4816" t="str">
        <f>HYPERLINK("http://service.sap.com/sap/support/notes/1735874","1735874")</f>
        <v>1735874</v>
      </c>
      <c r="E4816">
        <v>1</v>
      </c>
      <c r="F4816" t="s">
        <v>4843</v>
      </c>
    </row>
    <row r="4817" spans="1:6" x14ac:dyDescent="0.25">
      <c r="A4817" t="s">
        <v>4915</v>
      </c>
      <c r="B4817" t="s">
        <v>168</v>
      </c>
      <c r="C4817" t="s">
        <v>169</v>
      </c>
      <c r="D4817" t="str">
        <f>HYPERLINK("http://service.sap.com/sap/support/notes/1741664","1741664")</f>
        <v>1741664</v>
      </c>
      <c r="E4817">
        <v>1</v>
      </c>
      <c r="F4817" t="s">
        <v>4844</v>
      </c>
    </row>
    <row r="4818" spans="1:6" x14ac:dyDescent="0.25">
      <c r="A4818" t="s">
        <v>4915</v>
      </c>
      <c r="B4818" t="s">
        <v>171</v>
      </c>
      <c r="C4818" t="s">
        <v>172</v>
      </c>
      <c r="D4818" t="str">
        <f>HYPERLINK("http://service.sap.com/sap/support/notes/1710124","1710124")</f>
        <v>1710124</v>
      </c>
      <c r="E4818">
        <v>1</v>
      </c>
      <c r="F4818" t="s">
        <v>4845</v>
      </c>
    </row>
    <row r="4819" spans="1:6" x14ac:dyDescent="0.25">
      <c r="A4819" t="s">
        <v>4915</v>
      </c>
      <c r="B4819" t="s">
        <v>171</v>
      </c>
      <c r="C4819" t="s">
        <v>172</v>
      </c>
      <c r="D4819" t="str">
        <f>HYPERLINK("http://service.sap.com/sap/support/notes/1724734","1724734")</f>
        <v>1724734</v>
      </c>
      <c r="E4819">
        <v>1</v>
      </c>
      <c r="F4819" t="s">
        <v>4846</v>
      </c>
    </row>
    <row r="4820" spans="1:6" x14ac:dyDescent="0.25">
      <c r="A4820" t="s">
        <v>4915</v>
      </c>
      <c r="B4820" t="s">
        <v>171</v>
      </c>
      <c r="C4820" t="s">
        <v>172</v>
      </c>
      <c r="D4820" t="str">
        <f>HYPERLINK("http://service.sap.com/sap/support/notes/1727830","1727830")</f>
        <v>1727830</v>
      </c>
      <c r="E4820">
        <v>3</v>
      </c>
      <c r="F4820" t="s">
        <v>4847</v>
      </c>
    </row>
    <row r="4821" spans="1:6" x14ac:dyDescent="0.25">
      <c r="A4821" t="s">
        <v>4915</v>
      </c>
      <c r="B4821" t="s">
        <v>171</v>
      </c>
      <c r="C4821" t="s">
        <v>172</v>
      </c>
      <c r="D4821" t="str">
        <f>HYPERLINK("http://service.sap.com/sap/support/notes/1727861","1727861")</f>
        <v>1727861</v>
      </c>
      <c r="E4821">
        <v>2</v>
      </c>
      <c r="F4821" t="s">
        <v>4848</v>
      </c>
    </row>
    <row r="4822" spans="1:6" x14ac:dyDescent="0.25">
      <c r="A4822" t="s">
        <v>4915</v>
      </c>
      <c r="B4822" t="s">
        <v>171</v>
      </c>
      <c r="C4822" t="s">
        <v>172</v>
      </c>
      <c r="D4822" t="str">
        <f>HYPERLINK("http://service.sap.com/sap/support/notes/1735640","1735640")</f>
        <v>1735640</v>
      </c>
      <c r="E4822">
        <v>2</v>
      </c>
      <c r="F4822" t="s">
        <v>4849</v>
      </c>
    </row>
    <row r="4823" spans="1:6" x14ac:dyDescent="0.25">
      <c r="A4823" t="s">
        <v>4915</v>
      </c>
      <c r="B4823" t="s">
        <v>173</v>
      </c>
      <c r="C4823" t="s">
        <v>174</v>
      </c>
      <c r="D4823" t="str">
        <f>HYPERLINK("http://service.sap.com/sap/support/notes/1670614","1670614")</f>
        <v>1670614</v>
      </c>
      <c r="E4823">
        <v>1</v>
      </c>
      <c r="F4823" t="s">
        <v>4850</v>
      </c>
    </row>
    <row r="4824" spans="1:6" x14ac:dyDescent="0.25">
      <c r="A4824" t="s">
        <v>4915</v>
      </c>
      <c r="B4824" t="s">
        <v>173</v>
      </c>
      <c r="C4824" t="s">
        <v>174</v>
      </c>
      <c r="D4824" t="str">
        <f>HYPERLINK("http://service.sap.com/sap/support/notes/1736866","1736866")</f>
        <v>1736866</v>
      </c>
      <c r="E4824">
        <v>1</v>
      </c>
      <c r="F4824" t="s">
        <v>4851</v>
      </c>
    </row>
    <row r="4825" spans="1:6" x14ac:dyDescent="0.25">
      <c r="A4825" t="s">
        <v>4915</v>
      </c>
      <c r="B4825" t="s">
        <v>175</v>
      </c>
      <c r="C4825" t="s">
        <v>176</v>
      </c>
      <c r="D4825" t="str">
        <f>HYPERLINK("http://service.sap.com/sap/support/notes/1692746","1692746")</f>
        <v>1692746</v>
      </c>
      <c r="E4825">
        <v>2</v>
      </c>
      <c r="F4825" t="s">
        <v>4852</v>
      </c>
    </row>
    <row r="4826" spans="1:6" x14ac:dyDescent="0.25">
      <c r="A4826" t="s">
        <v>4915</v>
      </c>
      <c r="B4826" t="s">
        <v>175</v>
      </c>
      <c r="C4826" t="s">
        <v>176</v>
      </c>
      <c r="D4826" t="str">
        <f>HYPERLINK("http://service.sap.com/sap/support/notes/1699691","1699691")</f>
        <v>1699691</v>
      </c>
      <c r="E4826">
        <v>3</v>
      </c>
      <c r="F4826" t="s">
        <v>4853</v>
      </c>
    </row>
    <row r="4827" spans="1:6" x14ac:dyDescent="0.25">
      <c r="A4827" t="s">
        <v>4915</v>
      </c>
      <c r="B4827" t="s">
        <v>175</v>
      </c>
      <c r="C4827" t="s">
        <v>176</v>
      </c>
      <c r="D4827" t="str">
        <f>HYPERLINK("http://service.sap.com/sap/support/notes/1714289","1714289")</f>
        <v>1714289</v>
      </c>
      <c r="E4827">
        <v>10</v>
      </c>
      <c r="F4827" t="s">
        <v>4854</v>
      </c>
    </row>
    <row r="4828" spans="1:6" x14ac:dyDescent="0.25">
      <c r="A4828" t="s">
        <v>4915</v>
      </c>
      <c r="B4828" t="s">
        <v>175</v>
      </c>
      <c r="C4828" t="s">
        <v>176</v>
      </c>
      <c r="D4828" t="str">
        <f>HYPERLINK("http://service.sap.com/sap/support/notes/1733866","1733866")</f>
        <v>1733866</v>
      </c>
      <c r="E4828">
        <v>2</v>
      </c>
      <c r="F4828" t="s">
        <v>4855</v>
      </c>
    </row>
    <row r="4829" spans="1:6" x14ac:dyDescent="0.25">
      <c r="A4829" t="s">
        <v>4915</v>
      </c>
      <c r="B4829" t="s">
        <v>177</v>
      </c>
      <c r="C4829" t="s">
        <v>178</v>
      </c>
      <c r="D4829" t="str">
        <f>HYPERLINK("http://service.sap.com/sap/support/notes/1724721","1724721")</f>
        <v>1724721</v>
      </c>
      <c r="E4829">
        <v>4</v>
      </c>
      <c r="F4829" t="s">
        <v>4856</v>
      </c>
    </row>
    <row r="4830" spans="1:6" x14ac:dyDescent="0.25">
      <c r="A4830" t="s">
        <v>4915</v>
      </c>
      <c r="B4830" t="s">
        <v>177</v>
      </c>
      <c r="C4830" t="s">
        <v>178</v>
      </c>
      <c r="D4830" t="str">
        <f>HYPERLINK("http://service.sap.com/sap/support/notes/1725763","1725763")</f>
        <v>1725763</v>
      </c>
      <c r="E4830">
        <v>4</v>
      </c>
      <c r="F4830" t="s">
        <v>4857</v>
      </c>
    </row>
    <row r="4831" spans="1:6" x14ac:dyDescent="0.25">
      <c r="A4831" t="s">
        <v>4915</v>
      </c>
      <c r="B4831" t="s">
        <v>177</v>
      </c>
      <c r="C4831" t="s">
        <v>178</v>
      </c>
      <c r="D4831" t="str">
        <f>HYPERLINK("http://service.sap.com/sap/support/notes/1735035","1735035")</f>
        <v>1735035</v>
      </c>
      <c r="E4831">
        <v>2</v>
      </c>
      <c r="F4831" t="s">
        <v>4858</v>
      </c>
    </row>
    <row r="4832" spans="1:6" x14ac:dyDescent="0.25">
      <c r="A4832" t="s">
        <v>4915</v>
      </c>
      <c r="B4832" t="s">
        <v>177</v>
      </c>
      <c r="C4832" t="s">
        <v>178</v>
      </c>
      <c r="D4832" t="str">
        <f>HYPERLINK("http://service.sap.com/sap/support/notes/1738747","1738747")</f>
        <v>1738747</v>
      </c>
      <c r="E4832">
        <v>6</v>
      </c>
      <c r="F4832" t="s">
        <v>4859</v>
      </c>
    </row>
    <row r="4833" spans="1:6" x14ac:dyDescent="0.25">
      <c r="A4833" t="s">
        <v>4915</v>
      </c>
      <c r="B4833" t="s">
        <v>177</v>
      </c>
      <c r="C4833" t="s">
        <v>178</v>
      </c>
      <c r="D4833" t="str">
        <f>HYPERLINK("http://service.sap.com/sap/support/notes/1740486","1740486")</f>
        <v>1740486</v>
      </c>
      <c r="E4833">
        <v>6</v>
      </c>
      <c r="F4833" t="s">
        <v>4860</v>
      </c>
    </row>
    <row r="4834" spans="1:6" x14ac:dyDescent="0.25">
      <c r="A4834" t="s">
        <v>4915</v>
      </c>
      <c r="B4834" t="s">
        <v>177</v>
      </c>
      <c r="C4834" t="s">
        <v>178</v>
      </c>
      <c r="D4834" t="str">
        <f>HYPERLINK("http://service.sap.com/sap/support/notes/1741869","1741869")</f>
        <v>1741869</v>
      </c>
      <c r="E4834">
        <v>3</v>
      </c>
      <c r="F4834" t="s">
        <v>4861</v>
      </c>
    </row>
    <row r="4835" spans="1:6" x14ac:dyDescent="0.25">
      <c r="A4835" t="s">
        <v>4915</v>
      </c>
      <c r="B4835" t="s">
        <v>179</v>
      </c>
      <c r="C4835" t="s">
        <v>180</v>
      </c>
      <c r="D4835" t="str">
        <f>HYPERLINK("http://service.sap.com/sap/support/notes/1691551","1691551")</f>
        <v>1691551</v>
      </c>
      <c r="E4835">
        <v>2</v>
      </c>
      <c r="F4835" t="s">
        <v>3183</v>
      </c>
    </row>
    <row r="4836" spans="1:6" x14ac:dyDescent="0.25">
      <c r="A4836" t="s">
        <v>4915</v>
      </c>
      <c r="B4836" t="s">
        <v>179</v>
      </c>
      <c r="C4836" t="s">
        <v>180</v>
      </c>
      <c r="D4836" t="str">
        <f>HYPERLINK("http://service.sap.com/sap/support/notes/1723584","1723584")</f>
        <v>1723584</v>
      </c>
      <c r="E4836">
        <v>4</v>
      </c>
      <c r="F4836" t="s">
        <v>4483</v>
      </c>
    </row>
    <row r="4837" spans="1:6" x14ac:dyDescent="0.25">
      <c r="A4837" t="s">
        <v>4915</v>
      </c>
      <c r="B4837" t="s">
        <v>179</v>
      </c>
      <c r="C4837" t="s">
        <v>180</v>
      </c>
      <c r="D4837" t="str">
        <f>HYPERLINK("http://service.sap.com/sap/support/notes/1731129","1731129")</f>
        <v>1731129</v>
      </c>
      <c r="E4837">
        <v>4</v>
      </c>
      <c r="F4837" t="s">
        <v>4862</v>
      </c>
    </row>
    <row r="4838" spans="1:6" x14ac:dyDescent="0.25">
      <c r="A4838" t="s">
        <v>4915</v>
      </c>
      <c r="B4838" t="s">
        <v>179</v>
      </c>
      <c r="C4838" t="s">
        <v>180</v>
      </c>
      <c r="D4838" t="str">
        <f>HYPERLINK("http://service.sap.com/sap/support/notes/1731796","1731796")</f>
        <v>1731796</v>
      </c>
      <c r="E4838">
        <v>2</v>
      </c>
      <c r="F4838" t="s">
        <v>4863</v>
      </c>
    </row>
    <row r="4839" spans="1:6" x14ac:dyDescent="0.25">
      <c r="A4839" t="s">
        <v>4915</v>
      </c>
      <c r="B4839" t="s">
        <v>179</v>
      </c>
      <c r="C4839" t="s">
        <v>180</v>
      </c>
      <c r="D4839" t="str">
        <f>HYPERLINK("http://service.sap.com/sap/support/notes/1732035","1732035")</f>
        <v>1732035</v>
      </c>
      <c r="E4839">
        <v>1</v>
      </c>
      <c r="F4839" t="s">
        <v>4864</v>
      </c>
    </row>
    <row r="4840" spans="1:6" x14ac:dyDescent="0.25">
      <c r="A4840" t="s">
        <v>4915</v>
      </c>
      <c r="B4840" t="s">
        <v>179</v>
      </c>
      <c r="C4840" t="s">
        <v>180</v>
      </c>
      <c r="D4840" t="str">
        <f>HYPERLINK("http://service.sap.com/sap/support/notes/1734820","1734820")</f>
        <v>1734820</v>
      </c>
      <c r="E4840">
        <v>2</v>
      </c>
      <c r="F4840" t="s">
        <v>4865</v>
      </c>
    </row>
    <row r="4841" spans="1:6" x14ac:dyDescent="0.25">
      <c r="A4841" t="s">
        <v>4915</v>
      </c>
      <c r="B4841" t="s">
        <v>179</v>
      </c>
      <c r="C4841" t="s">
        <v>180</v>
      </c>
      <c r="D4841" t="str">
        <f>HYPERLINK("http://service.sap.com/sap/support/notes/1737035","1737035")</f>
        <v>1737035</v>
      </c>
      <c r="E4841">
        <v>1</v>
      </c>
      <c r="F4841" t="s">
        <v>4866</v>
      </c>
    </row>
    <row r="4842" spans="1:6" x14ac:dyDescent="0.25">
      <c r="A4842" t="s">
        <v>4915</v>
      </c>
      <c r="B4842" t="s">
        <v>179</v>
      </c>
      <c r="C4842" t="s">
        <v>180</v>
      </c>
      <c r="D4842" t="str">
        <f>HYPERLINK("http://service.sap.com/sap/support/notes/1737123","1737123")</f>
        <v>1737123</v>
      </c>
      <c r="E4842">
        <v>3</v>
      </c>
      <c r="F4842" t="s">
        <v>4867</v>
      </c>
    </row>
    <row r="4843" spans="1:6" x14ac:dyDescent="0.25">
      <c r="A4843" t="s">
        <v>4915</v>
      </c>
      <c r="B4843" t="s">
        <v>179</v>
      </c>
      <c r="C4843" t="s">
        <v>180</v>
      </c>
      <c r="D4843" t="str">
        <f>HYPERLINK("http://service.sap.com/sap/support/notes/1737592","1737592")</f>
        <v>1737592</v>
      </c>
      <c r="E4843">
        <v>1</v>
      </c>
      <c r="F4843" t="s">
        <v>4868</v>
      </c>
    </row>
    <row r="4844" spans="1:6" x14ac:dyDescent="0.25">
      <c r="A4844" t="s">
        <v>4915</v>
      </c>
      <c r="B4844" t="s">
        <v>179</v>
      </c>
      <c r="C4844" t="s">
        <v>180</v>
      </c>
      <c r="D4844" t="str">
        <f>HYPERLINK("http://service.sap.com/sap/support/notes/1737726","1737726")</f>
        <v>1737726</v>
      </c>
      <c r="E4844">
        <v>5</v>
      </c>
      <c r="F4844" t="s">
        <v>4869</v>
      </c>
    </row>
    <row r="4845" spans="1:6" x14ac:dyDescent="0.25">
      <c r="A4845" t="s">
        <v>4915</v>
      </c>
      <c r="B4845" t="s">
        <v>179</v>
      </c>
      <c r="C4845" t="s">
        <v>180</v>
      </c>
      <c r="D4845" t="str">
        <f>HYPERLINK("http://service.sap.com/sap/support/notes/1739644","1739644")</f>
        <v>1739644</v>
      </c>
      <c r="E4845">
        <v>1</v>
      </c>
      <c r="F4845" t="s">
        <v>4870</v>
      </c>
    </row>
    <row r="4846" spans="1:6" x14ac:dyDescent="0.25">
      <c r="A4846" t="s">
        <v>4915</v>
      </c>
      <c r="B4846" t="s">
        <v>181</v>
      </c>
      <c r="C4846" t="s">
        <v>182</v>
      </c>
      <c r="D4846" t="str">
        <f>HYPERLINK("http://service.sap.com/sap/support/notes/1528510","1528510")</f>
        <v>1528510</v>
      </c>
      <c r="E4846">
        <v>4</v>
      </c>
      <c r="F4846" t="s">
        <v>4871</v>
      </c>
    </row>
    <row r="4847" spans="1:6" x14ac:dyDescent="0.25">
      <c r="A4847" t="s">
        <v>4915</v>
      </c>
      <c r="B4847" t="s">
        <v>181</v>
      </c>
      <c r="C4847" t="s">
        <v>182</v>
      </c>
      <c r="D4847" t="str">
        <f>HYPERLINK("http://service.sap.com/sap/support/notes/1722074","1722074")</f>
        <v>1722074</v>
      </c>
      <c r="E4847">
        <v>3</v>
      </c>
      <c r="F4847" t="s">
        <v>4872</v>
      </c>
    </row>
    <row r="4848" spans="1:6" x14ac:dyDescent="0.25">
      <c r="A4848" t="s">
        <v>4915</v>
      </c>
      <c r="B4848" t="s">
        <v>181</v>
      </c>
      <c r="C4848" t="s">
        <v>182</v>
      </c>
      <c r="D4848" t="str">
        <f>HYPERLINK("http://service.sap.com/sap/support/notes/1723317","1723317")</f>
        <v>1723317</v>
      </c>
      <c r="E4848">
        <v>2</v>
      </c>
      <c r="F4848" t="s">
        <v>4873</v>
      </c>
    </row>
    <row r="4849" spans="1:6" x14ac:dyDescent="0.25">
      <c r="A4849" t="s">
        <v>4915</v>
      </c>
      <c r="B4849" t="s">
        <v>181</v>
      </c>
      <c r="C4849" t="s">
        <v>182</v>
      </c>
      <c r="D4849" t="str">
        <f>HYPERLINK("http://service.sap.com/sap/support/notes/1729741","1729741")</f>
        <v>1729741</v>
      </c>
      <c r="E4849">
        <v>1</v>
      </c>
      <c r="F4849" t="s">
        <v>4874</v>
      </c>
    </row>
    <row r="4850" spans="1:6" x14ac:dyDescent="0.25">
      <c r="A4850" t="s">
        <v>4915</v>
      </c>
      <c r="B4850" t="s">
        <v>181</v>
      </c>
      <c r="C4850" t="s">
        <v>182</v>
      </c>
      <c r="D4850" t="str">
        <f>HYPERLINK("http://service.sap.com/sap/support/notes/1730200","1730200")</f>
        <v>1730200</v>
      </c>
      <c r="E4850">
        <v>1</v>
      </c>
      <c r="F4850" t="s">
        <v>4875</v>
      </c>
    </row>
    <row r="4851" spans="1:6" x14ac:dyDescent="0.25">
      <c r="A4851" t="s">
        <v>4915</v>
      </c>
      <c r="B4851" t="s">
        <v>181</v>
      </c>
      <c r="C4851" t="s">
        <v>182</v>
      </c>
      <c r="D4851" t="str">
        <f>HYPERLINK("http://service.sap.com/sap/support/notes/1730437","1730437")</f>
        <v>1730437</v>
      </c>
      <c r="E4851">
        <v>1</v>
      </c>
      <c r="F4851" t="s">
        <v>4876</v>
      </c>
    </row>
    <row r="4852" spans="1:6" x14ac:dyDescent="0.25">
      <c r="A4852" t="s">
        <v>4915</v>
      </c>
      <c r="B4852" t="s">
        <v>181</v>
      </c>
      <c r="C4852" t="s">
        <v>182</v>
      </c>
      <c r="D4852" t="str">
        <f>HYPERLINK("http://service.sap.com/sap/support/notes/1736842","1736842")</f>
        <v>1736842</v>
      </c>
      <c r="E4852">
        <v>1</v>
      </c>
      <c r="F4852" t="s">
        <v>4877</v>
      </c>
    </row>
    <row r="4853" spans="1:6" x14ac:dyDescent="0.25">
      <c r="A4853" t="s">
        <v>4915</v>
      </c>
      <c r="B4853" t="s">
        <v>181</v>
      </c>
      <c r="C4853" t="s">
        <v>182</v>
      </c>
      <c r="D4853" t="str">
        <f>HYPERLINK("http://service.sap.com/sap/support/notes/1738362","1738362")</f>
        <v>1738362</v>
      </c>
      <c r="E4853">
        <v>1</v>
      </c>
      <c r="F4853" t="s">
        <v>4878</v>
      </c>
    </row>
    <row r="4854" spans="1:6" x14ac:dyDescent="0.25">
      <c r="A4854" t="s">
        <v>4915</v>
      </c>
      <c r="B4854" t="s">
        <v>181</v>
      </c>
      <c r="C4854" t="s">
        <v>182</v>
      </c>
      <c r="D4854" t="str">
        <f>HYPERLINK("http://service.sap.com/sap/support/notes/1738733","1738733")</f>
        <v>1738733</v>
      </c>
      <c r="E4854">
        <v>1</v>
      </c>
      <c r="F4854" t="s">
        <v>4879</v>
      </c>
    </row>
    <row r="4855" spans="1:6" x14ac:dyDescent="0.25">
      <c r="A4855" t="s">
        <v>4915</v>
      </c>
      <c r="B4855" t="s">
        <v>181</v>
      </c>
      <c r="C4855" t="s">
        <v>182</v>
      </c>
      <c r="D4855" t="str">
        <f>HYPERLINK("http://service.sap.com/sap/support/notes/1742501","1742501")</f>
        <v>1742501</v>
      </c>
      <c r="E4855">
        <v>1</v>
      </c>
      <c r="F4855" t="s">
        <v>4880</v>
      </c>
    </row>
    <row r="4856" spans="1:6" x14ac:dyDescent="0.25">
      <c r="A4856" t="s">
        <v>4915</v>
      </c>
      <c r="B4856" t="s">
        <v>185</v>
      </c>
      <c r="C4856" t="s">
        <v>186</v>
      </c>
      <c r="D4856" t="str">
        <f>HYPERLINK("http://service.sap.com/sap/support/notes/1663966","1663966")</f>
        <v>1663966</v>
      </c>
      <c r="E4856">
        <v>2</v>
      </c>
      <c r="F4856" t="s">
        <v>4881</v>
      </c>
    </row>
    <row r="4857" spans="1:6" x14ac:dyDescent="0.25">
      <c r="A4857" t="s">
        <v>4915</v>
      </c>
      <c r="B4857" t="s">
        <v>185</v>
      </c>
      <c r="C4857" t="s">
        <v>186</v>
      </c>
      <c r="D4857" t="str">
        <f>HYPERLINK("http://service.sap.com/sap/support/notes/1719045","1719045")</f>
        <v>1719045</v>
      </c>
      <c r="E4857">
        <v>3</v>
      </c>
      <c r="F4857" t="s">
        <v>4882</v>
      </c>
    </row>
    <row r="4858" spans="1:6" x14ac:dyDescent="0.25">
      <c r="A4858" t="s">
        <v>4915</v>
      </c>
      <c r="B4858" t="s">
        <v>185</v>
      </c>
      <c r="C4858" t="s">
        <v>186</v>
      </c>
      <c r="D4858" t="str">
        <f>HYPERLINK("http://service.sap.com/sap/support/notes/1725998","1725998")</f>
        <v>1725998</v>
      </c>
      <c r="E4858">
        <v>1</v>
      </c>
      <c r="F4858" t="s">
        <v>4883</v>
      </c>
    </row>
    <row r="4859" spans="1:6" x14ac:dyDescent="0.25">
      <c r="A4859" t="s">
        <v>4915</v>
      </c>
      <c r="B4859" t="s">
        <v>185</v>
      </c>
      <c r="C4859" t="s">
        <v>186</v>
      </c>
      <c r="D4859" t="str">
        <f>HYPERLINK("http://service.sap.com/sap/support/notes/1732448","1732448")</f>
        <v>1732448</v>
      </c>
      <c r="E4859">
        <v>1</v>
      </c>
      <c r="F4859" t="s">
        <v>4884</v>
      </c>
    </row>
    <row r="4860" spans="1:6" x14ac:dyDescent="0.25">
      <c r="A4860" t="s">
        <v>4915</v>
      </c>
      <c r="B4860" t="s">
        <v>185</v>
      </c>
      <c r="C4860" t="s">
        <v>186</v>
      </c>
      <c r="D4860" t="str">
        <f>HYPERLINK("http://service.sap.com/sap/support/notes/1734034","1734034")</f>
        <v>1734034</v>
      </c>
      <c r="E4860">
        <v>1</v>
      </c>
      <c r="F4860" t="s">
        <v>4885</v>
      </c>
    </row>
    <row r="4861" spans="1:6" x14ac:dyDescent="0.25">
      <c r="A4861" t="s">
        <v>4915</v>
      </c>
      <c r="B4861" t="s">
        <v>185</v>
      </c>
      <c r="C4861" t="s">
        <v>186</v>
      </c>
      <c r="D4861" t="str">
        <f>HYPERLINK("http://service.sap.com/sap/support/notes/1739145","1739145")</f>
        <v>1739145</v>
      </c>
      <c r="E4861">
        <v>1</v>
      </c>
      <c r="F4861" t="s">
        <v>4886</v>
      </c>
    </row>
    <row r="4862" spans="1:6" x14ac:dyDescent="0.25">
      <c r="A4862" t="s">
        <v>4915</v>
      </c>
      <c r="B4862" t="s">
        <v>187</v>
      </c>
      <c r="C4862" t="s">
        <v>82</v>
      </c>
      <c r="D4862" t="str">
        <f>HYPERLINK("http://service.sap.com/sap/support/notes/1744074","1744074")</f>
        <v>1744074</v>
      </c>
      <c r="E4862">
        <v>1</v>
      </c>
      <c r="F4862" t="s">
        <v>4887</v>
      </c>
    </row>
    <row r="4863" spans="1:6" x14ac:dyDescent="0.25">
      <c r="A4863" t="s">
        <v>4915</v>
      </c>
      <c r="B4863" t="s">
        <v>188</v>
      </c>
      <c r="C4863" t="s">
        <v>60</v>
      </c>
      <c r="D4863" t="str">
        <f>HYPERLINK("http://service.sap.com/sap/support/notes/1728505","1728505")</f>
        <v>1728505</v>
      </c>
      <c r="E4863">
        <v>1</v>
      </c>
      <c r="F4863" t="s">
        <v>4888</v>
      </c>
    </row>
    <row r="4864" spans="1:6" x14ac:dyDescent="0.25">
      <c r="A4864" t="s">
        <v>4915</v>
      </c>
      <c r="B4864" t="s">
        <v>188</v>
      </c>
      <c r="C4864" t="s">
        <v>60</v>
      </c>
      <c r="D4864" t="str">
        <f>HYPERLINK("http://service.sap.com/sap/support/notes/1738369","1738369")</f>
        <v>1738369</v>
      </c>
      <c r="E4864">
        <v>1</v>
      </c>
      <c r="F4864" t="s">
        <v>4889</v>
      </c>
    </row>
    <row r="4865" spans="1:6" x14ac:dyDescent="0.25">
      <c r="A4865" t="s">
        <v>4915</v>
      </c>
      <c r="B4865" t="s">
        <v>188</v>
      </c>
      <c r="C4865" t="s">
        <v>60</v>
      </c>
      <c r="D4865" t="str">
        <f>HYPERLINK("http://service.sap.com/sap/support/notes/1739487","1739487")</f>
        <v>1739487</v>
      </c>
      <c r="E4865">
        <v>1</v>
      </c>
      <c r="F4865" t="s">
        <v>4890</v>
      </c>
    </row>
    <row r="4866" spans="1:6" x14ac:dyDescent="0.25">
      <c r="A4866" t="s">
        <v>4915</v>
      </c>
      <c r="B4866" t="s">
        <v>189</v>
      </c>
      <c r="C4866" t="s">
        <v>190</v>
      </c>
      <c r="D4866" t="str">
        <f>HYPERLINK("http://service.sap.com/sap/support/notes/1665577","1665577")</f>
        <v>1665577</v>
      </c>
      <c r="E4866">
        <v>17</v>
      </c>
      <c r="F4866" t="s">
        <v>4891</v>
      </c>
    </row>
    <row r="4867" spans="1:6" x14ac:dyDescent="0.25">
      <c r="A4867" t="s">
        <v>4915</v>
      </c>
      <c r="B4867" t="s">
        <v>189</v>
      </c>
      <c r="C4867" t="s">
        <v>190</v>
      </c>
      <c r="D4867" t="str">
        <f>HYPERLINK("http://service.sap.com/sap/support/notes/1725340","1725340")</f>
        <v>1725340</v>
      </c>
      <c r="E4867">
        <v>2</v>
      </c>
      <c r="F4867" t="s">
        <v>4892</v>
      </c>
    </row>
    <row r="4868" spans="1:6" x14ac:dyDescent="0.25">
      <c r="A4868" t="s">
        <v>4915</v>
      </c>
      <c r="B4868" t="s">
        <v>191</v>
      </c>
      <c r="C4868" t="s">
        <v>62</v>
      </c>
      <c r="D4868" t="str">
        <f>HYPERLINK("http://service.sap.com/sap/support/notes/1558393","1558393")</f>
        <v>1558393</v>
      </c>
      <c r="E4868">
        <v>3</v>
      </c>
      <c r="F4868" t="s">
        <v>4893</v>
      </c>
    </row>
    <row r="4869" spans="1:6" x14ac:dyDescent="0.25">
      <c r="A4869" t="s">
        <v>4915</v>
      </c>
      <c r="B4869" t="s">
        <v>191</v>
      </c>
      <c r="C4869" t="s">
        <v>62</v>
      </c>
      <c r="D4869" t="str">
        <f>HYPERLINK("http://service.sap.com/sap/support/notes/1726800","1726800")</f>
        <v>1726800</v>
      </c>
      <c r="E4869">
        <v>1</v>
      </c>
      <c r="F4869" t="s">
        <v>4894</v>
      </c>
    </row>
    <row r="4870" spans="1:6" x14ac:dyDescent="0.25">
      <c r="A4870" t="s">
        <v>4915</v>
      </c>
      <c r="B4870" t="s">
        <v>332</v>
      </c>
      <c r="C4870" t="s">
        <v>333</v>
      </c>
      <c r="D4870" t="str">
        <f>HYPERLINK("http://service.sap.com/sap/support/notes/1724250","1724250")</f>
        <v>1724250</v>
      </c>
      <c r="E4870">
        <v>2</v>
      </c>
      <c r="F4870" t="s">
        <v>4895</v>
      </c>
    </row>
    <row r="4871" spans="1:6" x14ac:dyDescent="0.25">
      <c r="A4871" t="s">
        <v>4915</v>
      </c>
      <c r="B4871" t="s">
        <v>192</v>
      </c>
      <c r="C4871" t="s">
        <v>82</v>
      </c>
    </row>
    <row r="4872" spans="1:6" x14ac:dyDescent="0.25">
      <c r="A4872" t="s">
        <v>4915</v>
      </c>
      <c r="B4872" t="s">
        <v>193</v>
      </c>
      <c r="C4872" t="s">
        <v>194</v>
      </c>
      <c r="D4872" t="str">
        <f>HYPERLINK("http://service.sap.com/sap/support/notes/1670435","1670435")</f>
        <v>1670435</v>
      </c>
      <c r="E4872">
        <v>2</v>
      </c>
      <c r="F4872" t="s">
        <v>4896</v>
      </c>
    </row>
    <row r="4873" spans="1:6" x14ac:dyDescent="0.25">
      <c r="A4873" t="s">
        <v>4915</v>
      </c>
      <c r="B4873" t="s">
        <v>195</v>
      </c>
      <c r="C4873" t="s">
        <v>132</v>
      </c>
      <c r="D4873" t="str">
        <f>HYPERLINK("http://service.sap.com/sap/support/notes/1719339","1719339")</f>
        <v>1719339</v>
      </c>
      <c r="E4873">
        <v>3</v>
      </c>
      <c r="F4873" t="s">
        <v>4897</v>
      </c>
    </row>
    <row r="4874" spans="1:6" x14ac:dyDescent="0.25">
      <c r="A4874" t="s">
        <v>4915</v>
      </c>
      <c r="B4874" t="s">
        <v>195</v>
      </c>
      <c r="C4874" t="s">
        <v>132</v>
      </c>
      <c r="D4874" t="str">
        <f>HYPERLINK("http://service.sap.com/sap/support/notes/1733274","1733274")</f>
        <v>1733274</v>
      </c>
      <c r="E4874">
        <v>2</v>
      </c>
      <c r="F4874" t="s">
        <v>4898</v>
      </c>
    </row>
    <row r="4875" spans="1:6" x14ac:dyDescent="0.25">
      <c r="A4875" t="s">
        <v>4915</v>
      </c>
      <c r="B4875" t="s">
        <v>196</v>
      </c>
      <c r="C4875" t="s">
        <v>197</v>
      </c>
      <c r="D4875" t="str">
        <f>HYPERLINK("http://service.sap.com/sap/support/notes/1714315","1714315")</f>
        <v>1714315</v>
      </c>
      <c r="E4875">
        <v>2</v>
      </c>
      <c r="F4875" t="s">
        <v>4899</v>
      </c>
    </row>
    <row r="4876" spans="1:6" x14ac:dyDescent="0.25">
      <c r="A4876" t="s">
        <v>4915</v>
      </c>
      <c r="B4876" t="s">
        <v>196</v>
      </c>
      <c r="C4876" t="s">
        <v>197</v>
      </c>
      <c r="D4876" t="str">
        <f>HYPERLINK("http://service.sap.com/sap/support/notes/1728540","1728540")</f>
        <v>1728540</v>
      </c>
      <c r="E4876">
        <v>2</v>
      </c>
      <c r="F4876" t="s">
        <v>4900</v>
      </c>
    </row>
    <row r="4877" spans="1:6" x14ac:dyDescent="0.25">
      <c r="A4877" t="s">
        <v>4915</v>
      </c>
      <c r="B4877" t="s">
        <v>196</v>
      </c>
      <c r="C4877" t="s">
        <v>197</v>
      </c>
      <c r="D4877" t="str">
        <f>HYPERLINK("http://service.sap.com/sap/support/notes/1731559","1731559")</f>
        <v>1731559</v>
      </c>
      <c r="E4877">
        <v>1</v>
      </c>
      <c r="F4877" t="s">
        <v>4901</v>
      </c>
    </row>
    <row r="4878" spans="1:6" x14ac:dyDescent="0.25">
      <c r="A4878" t="s">
        <v>4915</v>
      </c>
      <c r="B4878" t="s">
        <v>196</v>
      </c>
      <c r="C4878" t="s">
        <v>197</v>
      </c>
      <c r="D4878" t="str">
        <f>HYPERLINK("http://service.sap.com/sap/support/notes/1733810","1733810")</f>
        <v>1733810</v>
      </c>
      <c r="E4878">
        <v>2</v>
      </c>
      <c r="F4878" t="s">
        <v>4902</v>
      </c>
    </row>
    <row r="4879" spans="1:6" x14ac:dyDescent="0.25">
      <c r="A4879" t="s">
        <v>4915</v>
      </c>
      <c r="B4879" t="s">
        <v>196</v>
      </c>
      <c r="C4879" t="s">
        <v>197</v>
      </c>
      <c r="D4879" t="str">
        <f>HYPERLINK("http://service.sap.com/sap/support/notes/1734460","1734460")</f>
        <v>1734460</v>
      </c>
      <c r="E4879">
        <v>2</v>
      </c>
      <c r="F4879" t="s">
        <v>4903</v>
      </c>
    </row>
    <row r="4880" spans="1:6" x14ac:dyDescent="0.25">
      <c r="A4880" t="s">
        <v>4915</v>
      </c>
      <c r="B4880" t="s">
        <v>196</v>
      </c>
      <c r="C4880" t="s">
        <v>197</v>
      </c>
      <c r="D4880" t="str">
        <f>HYPERLINK("http://service.sap.com/sap/support/notes/1737791","1737791")</f>
        <v>1737791</v>
      </c>
      <c r="E4880">
        <v>2</v>
      </c>
      <c r="F4880" t="s">
        <v>4904</v>
      </c>
    </row>
    <row r="4881" spans="1:6" x14ac:dyDescent="0.25">
      <c r="A4881" t="s">
        <v>4915</v>
      </c>
      <c r="B4881" t="s">
        <v>196</v>
      </c>
      <c r="C4881" t="s">
        <v>197</v>
      </c>
      <c r="D4881" t="str">
        <f>HYPERLINK("http://service.sap.com/sap/support/notes/1742990","1742990")</f>
        <v>1742990</v>
      </c>
      <c r="E4881">
        <v>3</v>
      </c>
      <c r="F4881" t="s">
        <v>4905</v>
      </c>
    </row>
    <row r="4882" spans="1:6" x14ac:dyDescent="0.25">
      <c r="A4882" t="s">
        <v>4915</v>
      </c>
      <c r="B4882" t="s">
        <v>198</v>
      </c>
      <c r="C4882" t="s">
        <v>199</v>
      </c>
      <c r="D4882" t="str">
        <f>HYPERLINK("http://service.sap.com/sap/support/notes/1705576","1705576")</f>
        <v>1705576</v>
      </c>
      <c r="E4882">
        <v>5</v>
      </c>
      <c r="F4882" t="s">
        <v>4906</v>
      </c>
    </row>
    <row r="4883" spans="1:6" x14ac:dyDescent="0.25">
      <c r="A4883" t="s">
        <v>4915</v>
      </c>
      <c r="B4883" t="s">
        <v>198</v>
      </c>
      <c r="C4883" t="s">
        <v>199</v>
      </c>
      <c r="D4883" t="str">
        <f>HYPERLINK("http://service.sap.com/sap/support/notes/1736054","1736054")</f>
        <v>1736054</v>
      </c>
      <c r="E4883">
        <v>1</v>
      </c>
      <c r="F4883" t="s">
        <v>4907</v>
      </c>
    </row>
    <row r="4884" spans="1:6" x14ac:dyDescent="0.25">
      <c r="A4884" t="s">
        <v>4915</v>
      </c>
      <c r="B4884" t="s">
        <v>200</v>
      </c>
      <c r="C4884" t="s">
        <v>201</v>
      </c>
      <c r="D4884" t="str">
        <f>HYPERLINK("http://service.sap.com/sap/support/notes/1723649","1723649")</f>
        <v>1723649</v>
      </c>
      <c r="E4884">
        <v>2</v>
      </c>
      <c r="F4884" t="s">
        <v>4908</v>
      </c>
    </row>
    <row r="4885" spans="1:6" x14ac:dyDescent="0.25">
      <c r="A4885" t="s">
        <v>4915</v>
      </c>
      <c r="B4885" t="s">
        <v>200</v>
      </c>
      <c r="C4885" t="s">
        <v>201</v>
      </c>
      <c r="D4885" t="str">
        <f>HYPERLINK("http://service.sap.com/sap/support/notes/1728140","1728140")</f>
        <v>1728140</v>
      </c>
      <c r="E4885">
        <v>11</v>
      </c>
      <c r="F4885" t="s">
        <v>4909</v>
      </c>
    </row>
    <row r="4886" spans="1:6" x14ac:dyDescent="0.25">
      <c r="A4886" t="s">
        <v>4915</v>
      </c>
      <c r="B4886" t="s">
        <v>205</v>
      </c>
      <c r="C4886" t="s">
        <v>206</v>
      </c>
      <c r="D4886" t="str">
        <f>HYPERLINK("http://service.sap.com/sap/support/notes/1710082","1710082")</f>
        <v>1710082</v>
      </c>
      <c r="E4886">
        <v>1</v>
      </c>
      <c r="F4886" t="s">
        <v>4910</v>
      </c>
    </row>
    <row r="4887" spans="1:6" x14ac:dyDescent="0.25">
      <c r="A4887" t="s">
        <v>4915</v>
      </c>
      <c r="B4887" t="s">
        <v>205</v>
      </c>
      <c r="C4887" t="s">
        <v>206</v>
      </c>
      <c r="D4887" t="str">
        <f>HYPERLINK("http://service.sap.com/sap/support/notes/1727987","1727987")</f>
        <v>1727987</v>
      </c>
      <c r="E4887">
        <v>1</v>
      </c>
      <c r="F4887" t="s">
        <v>4911</v>
      </c>
    </row>
    <row r="4888" spans="1:6" x14ac:dyDescent="0.25">
      <c r="A4888" t="s">
        <v>4915</v>
      </c>
      <c r="B4888" t="s">
        <v>205</v>
      </c>
      <c r="C4888" t="s">
        <v>206</v>
      </c>
      <c r="D4888" t="str">
        <f>HYPERLINK("http://service.sap.com/sap/support/notes/1738913","1738913")</f>
        <v>1738913</v>
      </c>
      <c r="E4888">
        <v>1</v>
      </c>
      <c r="F4888" t="s">
        <v>400</v>
      </c>
    </row>
    <row r="4889" spans="1:6" x14ac:dyDescent="0.25">
      <c r="A4889" t="s">
        <v>4915</v>
      </c>
      <c r="B4889" t="s">
        <v>207</v>
      </c>
      <c r="C4889" t="s">
        <v>208</v>
      </c>
    </row>
    <row r="4890" spans="1:6" x14ac:dyDescent="0.25">
      <c r="A4890" t="s">
        <v>4915</v>
      </c>
      <c r="B4890" t="s">
        <v>389</v>
      </c>
      <c r="C4890" t="s">
        <v>390</v>
      </c>
    </row>
    <row r="4891" spans="1:6" x14ac:dyDescent="0.25">
      <c r="A4891" t="s">
        <v>4915</v>
      </c>
      <c r="B4891" t="s">
        <v>4912</v>
      </c>
      <c r="C4891" t="s">
        <v>4913</v>
      </c>
      <c r="D4891" t="str">
        <f>HYPERLINK("http://service.sap.com/sap/support/notes/1730869","1730869")</f>
        <v>1730869</v>
      </c>
      <c r="E4891">
        <v>2</v>
      </c>
      <c r="F4891" t="s">
        <v>4914</v>
      </c>
    </row>
    <row r="4892" spans="1:6" x14ac:dyDescent="0.25">
      <c r="A4892" t="s">
        <v>4916</v>
      </c>
      <c r="B4892" t="s">
        <v>212</v>
      </c>
      <c r="C4892" t="s">
        <v>361</v>
      </c>
    </row>
    <row r="4893" spans="1:6" x14ac:dyDescent="0.25">
      <c r="A4893" t="s">
        <v>4916</v>
      </c>
      <c r="B4893" t="s">
        <v>213</v>
      </c>
      <c r="C4893" t="s">
        <v>362</v>
      </c>
    </row>
    <row r="4894" spans="1:6" x14ac:dyDescent="0.25">
      <c r="A4894" t="s">
        <v>4916</v>
      </c>
      <c r="B4894" t="s">
        <v>214</v>
      </c>
      <c r="C4894" t="s">
        <v>363</v>
      </c>
      <c r="D4894" t="str">
        <f>HYPERLINK("http://service.sap.com/sap/support/notes/1746644","1746644")</f>
        <v>1746644</v>
      </c>
      <c r="E4894">
        <v>1</v>
      </c>
      <c r="F4894" t="s">
        <v>4917</v>
      </c>
    </row>
    <row r="4895" spans="1:6" x14ac:dyDescent="0.25">
      <c r="A4895" t="s">
        <v>4916</v>
      </c>
      <c r="B4895" t="s">
        <v>214</v>
      </c>
      <c r="C4895" t="s">
        <v>363</v>
      </c>
      <c r="D4895" t="str">
        <f>HYPERLINK("http://service.sap.com/sap/support/notes/1748851","1748851")</f>
        <v>1748851</v>
      </c>
      <c r="E4895">
        <v>1</v>
      </c>
      <c r="F4895" t="s">
        <v>4918</v>
      </c>
    </row>
    <row r="4896" spans="1:6" x14ac:dyDescent="0.25">
      <c r="A4896" t="s">
        <v>4916</v>
      </c>
      <c r="B4896" t="s">
        <v>5</v>
      </c>
      <c r="C4896" t="s">
        <v>6</v>
      </c>
    </row>
    <row r="4897" spans="1:6" x14ac:dyDescent="0.25">
      <c r="A4897" t="s">
        <v>4916</v>
      </c>
      <c r="B4897" t="s">
        <v>7</v>
      </c>
      <c r="C4897" t="s">
        <v>8</v>
      </c>
    </row>
    <row r="4898" spans="1:6" x14ac:dyDescent="0.25">
      <c r="A4898" t="s">
        <v>4916</v>
      </c>
      <c r="B4898" t="s">
        <v>11</v>
      </c>
      <c r="C4898" t="s">
        <v>12</v>
      </c>
      <c r="D4898" t="str">
        <f>HYPERLINK("http://service.sap.com/sap/support/notes/1709210","1709210")</f>
        <v>1709210</v>
      </c>
      <c r="E4898">
        <v>1</v>
      </c>
      <c r="F4898" t="s">
        <v>4919</v>
      </c>
    </row>
    <row r="4899" spans="1:6" x14ac:dyDescent="0.25">
      <c r="A4899" t="s">
        <v>4916</v>
      </c>
      <c r="B4899" t="s">
        <v>218</v>
      </c>
      <c r="C4899" t="s">
        <v>393</v>
      </c>
      <c r="D4899" t="str">
        <f>HYPERLINK("http://service.sap.com/sap/support/notes/1731984","1731984")</f>
        <v>1731984</v>
      </c>
      <c r="E4899">
        <v>1</v>
      </c>
      <c r="F4899" t="s">
        <v>4920</v>
      </c>
    </row>
    <row r="4900" spans="1:6" x14ac:dyDescent="0.25">
      <c r="A4900" t="s">
        <v>4916</v>
      </c>
      <c r="B4900" t="s">
        <v>13</v>
      </c>
      <c r="C4900" t="s">
        <v>14</v>
      </c>
      <c r="D4900" t="str">
        <f>HYPERLINK("http://service.sap.com/sap/support/notes/1753280","1753280")</f>
        <v>1753280</v>
      </c>
      <c r="E4900">
        <v>3</v>
      </c>
      <c r="F4900" t="s">
        <v>4921</v>
      </c>
    </row>
    <row r="4901" spans="1:6" x14ac:dyDescent="0.25">
      <c r="A4901" t="s">
        <v>4916</v>
      </c>
      <c r="B4901" t="s">
        <v>225</v>
      </c>
      <c r="C4901" t="s">
        <v>354</v>
      </c>
    </row>
    <row r="4902" spans="1:6" x14ac:dyDescent="0.25">
      <c r="A4902" t="s">
        <v>4916</v>
      </c>
      <c r="B4902" t="s">
        <v>226</v>
      </c>
      <c r="C4902" t="s">
        <v>355</v>
      </c>
    </row>
    <row r="4903" spans="1:6" x14ac:dyDescent="0.25">
      <c r="A4903" t="s">
        <v>4916</v>
      </c>
      <c r="B4903" t="s">
        <v>227</v>
      </c>
      <c r="C4903" t="s">
        <v>356</v>
      </c>
    </row>
    <row r="4904" spans="1:6" x14ac:dyDescent="0.25">
      <c r="A4904" t="s">
        <v>4916</v>
      </c>
      <c r="B4904" t="s">
        <v>228</v>
      </c>
      <c r="C4904" t="s">
        <v>357</v>
      </c>
      <c r="D4904" t="str">
        <f>HYPERLINK("http://service.sap.com/sap/support/notes/1752473","1752473")</f>
        <v>1752473</v>
      </c>
      <c r="E4904">
        <v>1</v>
      </c>
      <c r="F4904" t="s">
        <v>4922</v>
      </c>
    </row>
    <row r="4905" spans="1:6" x14ac:dyDescent="0.25">
      <c r="A4905" t="s">
        <v>4916</v>
      </c>
      <c r="B4905" t="s">
        <v>21</v>
      </c>
      <c r="C4905" t="s">
        <v>12</v>
      </c>
    </row>
    <row r="4906" spans="1:6" x14ac:dyDescent="0.25">
      <c r="A4906" t="s">
        <v>4916</v>
      </c>
      <c r="B4906" t="s">
        <v>29</v>
      </c>
      <c r="C4906" t="s">
        <v>30</v>
      </c>
    </row>
    <row r="4907" spans="1:6" x14ac:dyDescent="0.25">
      <c r="A4907" t="s">
        <v>4916</v>
      </c>
      <c r="B4907" t="s">
        <v>250</v>
      </c>
      <c r="C4907" t="s">
        <v>79</v>
      </c>
      <c r="D4907" t="str">
        <f>HYPERLINK("http://service.sap.com/sap/support/notes/1745318","1745318")</f>
        <v>1745318</v>
      </c>
      <c r="E4907">
        <v>1</v>
      </c>
      <c r="F4907" t="s">
        <v>4512</v>
      </c>
    </row>
    <row r="4908" spans="1:6" x14ac:dyDescent="0.25">
      <c r="A4908" t="s">
        <v>4916</v>
      </c>
      <c r="B4908" t="s">
        <v>31</v>
      </c>
      <c r="C4908" t="s">
        <v>32</v>
      </c>
      <c r="D4908" t="str">
        <f>HYPERLINK("http://service.sap.com/sap/support/notes/1732966","1732966")</f>
        <v>1732966</v>
      </c>
      <c r="E4908">
        <v>2</v>
      </c>
      <c r="F4908" t="s">
        <v>4923</v>
      </c>
    </row>
    <row r="4909" spans="1:6" x14ac:dyDescent="0.25">
      <c r="A4909" t="s">
        <v>4916</v>
      </c>
      <c r="B4909" t="s">
        <v>33</v>
      </c>
      <c r="C4909" t="s">
        <v>34</v>
      </c>
      <c r="D4909" t="str">
        <f>HYPERLINK("http://service.sap.com/sap/support/notes/1726084","1726084")</f>
        <v>1726084</v>
      </c>
      <c r="E4909">
        <v>2</v>
      </c>
      <c r="F4909" t="s">
        <v>4924</v>
      </c>
    </row>
    <row r="4910" spans="1:6" x14ac:dyDescent="0.25">
      <c r="A4910" t="s">
        <v>4916</v>
      </c>
      <c r="B4910" t="s">
        <v>674</v>
      </c>
      <c r="C4910" t="s">
        <v>92</v>
      </c>
      <c r="D4910" t="str">
        <f>HYPERLINK("http://service.sap.com/sap/support/notes/1750949","1750949")</f>
        <v>1750949</v>
      </c>
      <c r="E4910">
        <v>1</v>
      </c>
      <c r="F4910" t="s">
        <v>4925</v>
      </c>
    </row>
    <row r="4911" spans="1:6" x14ac:dyDescent="0.25">
      <c r="A4911" t="s">
        <v>4916</v>
      </c>
      <c r="B4911" t="s">
        <v>670</v>
      </c>
      <c r="C4911" t="s">
        <v>97</v>
      </c>
      <c r="D4911" t="str">
        <f>HYPERLINK("http://service.sap.com/sap/support/notes/1174323","1174323")</f>
        <v>1174323</v>
      </c>
      <c r="E4911">
        <v>4</v>
      </c>
      <c r="F4911" t="s">
        <v>4926</v>
      </c>
    </row>
    <row r="4912" spans="1:6" x14ac:dyDescent="0.25">
      <c r="A4912" t="s">
        <v>4916</v>
      </c>
      <c r="B4912" t="s">
        <v>251</v>
      </c>
      <c r="C4912" t="s">
        <v>99</v>
      </c>
      <c r="D4912" t="str">
        <f>HYPERLINK("http://service.sap.com/sap/support/notes/1701948","1701948")</f>
        <v>1701948</v>
      </c>
      <c r="E4912">
        <v>3</v>
      </c>
      <c r="F4912" t="s">
        <v>4927</v>
      </c>
    </row>
    <row r="4913" spans="1:6" x14ac:dyDescent="0.25">
      <c r="A4913" t="s">
        <v>4916</v>
      </c>
      <c r="B4913" t="s">
        <v>35</v>
      </c>
      <c r="C4913" t="s">
        <v>36</v>
      </c>
      <c r="D4913" t="str">
        <f>HYPERLINK("http://service.sap.com/sap/support/notes/1745994","1745994")</f>
        <v>1745994</v>
      </c>
      <c r="E4913">
        <v>2</v>
      </c>
      <c r="F4913" t="s">
        <v>4928</v>
      </c>
    </row>
    <row r="4914" spans="1:6" x14ac:dyDescent="0.25">
      <c r="A4914" t="s">
        <v>4916</v>
      </c>
      <c r="B4914" t="s">
        <v>35</v>
      </c>
      <c r="C4914" t="s">
        <v>36</v>
      </c>
      <c r="D4914" t="str">
        <f>HYPERLINK("http://service.sap.com/sap/support/notes/1748646","1748646")</f>
        <v>1748646</v>
      </c>
      <c r="E4914">
        <v>2</v>
      </c>
      <c r="F4914" t="s">
        <v>4929</v>
      </c>
    </row>
    <row r="4915" spans="1:6" x14ac:dyDescent="0.25">
      <c r="A4915" t="s">
        <v>4916</v>
      </c>
      <c r="B4915" t="s">
        <v>41</v>
      </c>
      <c r="C4915" t="s">
        <v>42</v>
      </c>
      <c r="D4915" t="str">
        <f>HYPERLINK("http://service.sap.com/sap/support/notes/700094","700094")</f>
        <v>700094</v>
      </c>
      <c r="E4915">
        <v>8</v>
      </c>
      <c r="F4915" t="s">
        <v>252</v>
      </c>
    </row>
    <row r="4916" spans="1:6" x14ac:dyDescent="0.25">
      <c r="A4916" t="s">
        <v>4916</v>
      </c>
      <c r="B4916" t="s">
        <v>41</v>
      </c>
      <c r="C4916" t="s">
        <v>42</v>
      </c>
      <c r="D4916" t="str">
        <f>HYPERLINK("http://service.sap.com/sap/support/notes/1738259","1738259")</f>
        <v>1738259</v>
      </c>
      <c r="E4916">
        <v>2</v>
      </c>
      <c r="F4916" t="s">
        <v>4930</v>
      </c>
    </row>
    <row r="4917" spans="1:6" x14ac:dyDescent="0.25">
      <c r="A4917" t="s">
        <v>4916</v>
      </c>
      <c r="B4917" t="s">
        <v>43</v>
      </c>
      <c r="C4917" t="s">
        <v>44</v>
      </c>
      <c r="D4917" t="str">
        <f>HYPERLINK("http://service.sap.com/sap/support/notes/1712444","1712444")</f>
        <v>1712444</v>
      </c>
      <c r="E4917">
        <v>5</v>
      </c>
      <c r="F4917" t="s">
        <v>4931</v>
      </c>
    </row>
    <row r="4918" spans="1:6" x14ac:dyDescent="0.25">
      <c r="A4918" t="s">
        <v>4916</v>
      </c>
      <c r="B4918" t="s">
        <v>43</v>
      </c>
      <c r="C4918" t="s">
        <v>44</v>
      </c>
      <c r="D4918" t="str">
        <f>HYPERLINK("http://service.sap.com/sap/support/notes/1737749","1737749")</f>
        <v>1737749</v>
      </c>
      <c r="E4918">
        <v>5</v>
      </c>
      <c r="F4918" t="s">
        <v>4530</v>
      </c>
    </row>
    <row r="4919" spans="1:6" x14ac:dyDescent="0.25">
      <c r="A4919" t="s">
        <v>4916</v>
      </c>
      <c r="B4919" t="s">
        <v>43</v>
      </c>
      <c r="C4919" t="s">
        <v>44</v>
      </c>
      <c r="D4919" t="str">
        <f>HYPERLINK("http://service.sap.com/sap/support/notes/1747411","1747411")</f>
        <v>1747411</v>
      </c>
      <c r="E4919">
        <v>2</v>
      </c>
      <c r="F4919" t="s">
        <v>4932</v>
      </c>
    </row>
    <row r="4920" spans="1:6" x14ac:dyDescent="0.25">
      <c r="A4920" t="s">
        <v>4916</v>
      </c>
      <c r="B4920" t="s">
        <v>43</v>
      </c>
      <c r="C4920" t="s">
        <v>44</v>
      </c>
      <c r="D4920" t="str">
        <f>HYPERLINK("http://service.sap.com/sap/support/notes/1749012","1749012")</f>
        <v>1749012</v>
      </c>
      <c r="E4920">
        <v>2</v>
      </c>
      <c r="F4920" t="s">
        <v>4933</v>
      </c>
    </row>
    <row r="4921" spans="1:6" x14ac:dyDescent="0.25">
      <c r="A4921" t="s">
        <v>4916</v>
      </c>
      <c r="B4921" t="s">
        <v>645</v>
      </c>
      <c r="C4921" t="s">
        <v>150</v>
      </c>
      <c r="D4921" t="str">
        <f>HYPERLINK("http://service.sap.com/sap/support/notes/1749270","1749270")</f>
        <v>1749270</v>
      </c>
      <c r="E4921">
        <v>1</v>
      </c>
      <c r="F4921" t="s">
        <v>4934</v>
      </c>
    </row>
    <row r="4922" spans="1:6" x14ac:dyDescent="0.25">
      <c r="A4922" t="s">
        <v>4916</v>
      </c>
      <c r="B4922" t="s">
        <v>48</v>
      </c>
      <c r="C4922" t="s">
        <v>49</v>
      </c>
      <c r="D4922" t="str">
        <f>HYPERLINK("http://service.sap.com/sap/support/notes/1745846","1745846")</f>
        <v>1745846</v>
      </c>
      <c r="E4922">
        <v>3</v>
      </c>
      <c r="F4922" t="s">
        <v>4935</v>
      </c>
    </row>
    <row r="4923" spans="1:6" x14ac:dyDescent="0.25">
      <c r="A4923" t="s">
        <v>4916</v>
      </c>
      <c r="B4923" t="s">
        <v>51</v>
      </c>
      <c r="C4923" t="s">
        <v>52</v>
      </c>
      <c r="D4923" t="str">
        <f>HYPERLINK("http://service.sap.com/sap/support/notes/1743368","1743368")</f>
        <v>1743368</v>
      </c>
      <c r="E4923">
        <v>3</v>
      </c>
      <c r="F4923" t="s">
        <v>4936</v>
      </c>
    </row>
    <row r="4924" spans="1:6" x14ac:dyDescent="0.25">
      <c r="A4924" t="s">
        <v>4916</v>
      </c>
      <c r="B4924" t="s">
        <v>51</v>
      </c>
      <c r="C4924" t="s">
        <v>52</v>
      </c>
      <c r="D4924" t="str">
        <f>HYPERLINK("http://service.sap.com/sap/support/notes/1746020","1746020")</f>
        <v>1746020</v>
      </c>
      <c r="E4924">
        <v>1</v>
      </c>
      <c r="F4924" t="s">
        <v>4937</v>
      </c>
    </row>
    <row r="4925" spans="1:6" x14ac:dyDescent="0.25">
      <c r="A4925" t="s">
        <v>4916</v>
      </c>
      <c r="B4925" t="s">
        <v>53</v>
      </c>
      <c r="C4925" t="s">
        <v>54</v>
      </c>
      <c r="D4925" t="str">
        <f>HYPERLINK("http://service.sap.com/sap/support/notes/1744885","1744885")</f>
        <v>1744885</v>
      </c>
      <c r="E4925">
        <v>2</v>
      </c>
      <c r="F4925" t="s">
        <v>4938</v>
      </c>
    </row>
    <row r="4926" spans="1:6" x14ac:dyDescent="0.25">
      <c r="A4926" t="s">
        <v>4916</v>
      </c>
      <c r="B4926" t="s">
        <v>53</v>
      </c>
      <c r="C4926" t="s">
        <v>54</v>
      </c>
      <c r="D4926" t="str">
        <f>HYPERLINK("http://service.sap.com/sap/support/notes/1751076","1751076")</f>
        <v>1751076</v>
      </c>
      <c r="E4926">
        <v>8</v>
      </c>
      <c r="F4926" t="s">
        <v>4939</v>
      </c>
    </row>
    <row r="4927" spans="1:6" x14ac:dyDescent="0.25">
      <c r="A4927" t="s">
        <v>4916</v>
      </c>
      <c r="B4927" t="s">
        <v>839</v>
      </c>
      <c r="C4927" t="s">
        <v>160</v>
      </c>
      <c r="D4927" t="str">
        <f>HYPERLINK("http://service.sap.com/sap/support/notes/1752428","1752428")</f>
        <v>1752428</v>
      </c>
      <c r="E4927">
        <v>1</v>
      </c>
      <c r="F4927" t="s">
        <v>4940</v>
      </c>
    </row>
    <row r="4928" spans="1:6" x14ac:dyDescent="0.25">
      <c r="A4928" t="s">
        <v>4916</v>
      </c>
      <c r="B4928" t="s">
        <v>55</v>
      </c>
      <c r="C4928" t="s">
        <v>56</v>
      </c>
      <c r="D4928" t="str">
        <f>HYPERLINK("http://service.sap.com/sap/support/notes/1746431","1746431")</f>
        <v>1746431</v>
      </c>
      <c r="E4928">
        <v>1</v>
      </c>
      <c r="F4928" t="s">
        <v>4941</v>
      </c>
    </row>
    <row r="4929" spans="1:6" x14ac:dyDescent="0.25">
      <c r="A4929" t="s">
        <v>4916</v>
      </c>
      <c r="B4929" t="s">
        <v>256</v>
      </c>
      <c r="C4929" t="s">
        <v>165</v>
      </c>
      <c r="D4929" t="str">
        <f>HYPERLINK("http://service.sap.com/sap/support/notes/1745163","1745163")</f>
        <v>1745163</v>
      </c>
      <c r="E4929">
        <v>1</v>
      </c>
      <c r="F4929" t="s">
        <v>4942</v>
      </c>
    </row>
    <row r="4930" spans="1:6" x14ac:dyDescent="0.25">
      <c r="A4930" t="s">
        <v>4916</v>
      </c>
      <c r="B4930" t="s">
        <v>358</v>
      </c>
      <c r="C4930" t="s">
        <v>176</v>
      </c>
      <c r="D4930" t="str">
        <f>HYPERLINK("http://service.sap.com/sap/support/notes/1747013","1747013")</f>
        <v>1747013</v>
      </c>
      <c r="E4930">
        <v>3</v>
      </c>
      <c r="F4930" t="s">
        <v>4943</v>
      </c>
    </row>
    <row r="4931" spans="1:6" x14ac:dyDescent="0.25">
      <c r="A4931" t="s">
        <v>4916</v>
      </c>
      <c r="B4931" t="s">
        <v>3252</v>
      </c>
      <c r="C4931" t="s">
        <v>3253</v>
      </c>
      <c r="D4931" t="str">
        <f>HYPERLINK("http://service.sap.com/sap/support/notes/1699757","1699757")</f>
        <v>1699757</v>
      </c>
      <c r="E4931">
        <v>1</v>
      </c>
      <c r="F4931" t="s">
        <v>3254</v>
      </c>
    </row>
    <row r="4932" spans="1:6" x14ac:dyDescent="0.25">
      <c r="A4932" t="s">
        <v>4916</v>
      </c>
      <c r="B4932" t="s">
        <v>57</v>
      </c>
      <c r="C4932" t="s">
        <v>58</v>
      </c>
      <c r="D4932" t="str">
        <f>HYPERLINK("http://service.sap.com/sap/support/notes/1742535","1742535")</f>
        <v>1742535</v>
      </c>
      <c r="E4932">
        <v>1</v>
      </c>
      <c r="F4932" t="s">
        <v>4546</v>
      </c>
    </row>
    <row r="4933" spans="1:6" x14ac:dyDescent="0.25">
      <c r="A4933" t="s">
        <v>4916</v>
      </c>
      <c r="B4933" t="s">
        <v>57</v>
      </c>
      <c r="C4933" t="s">
        <v>58</v>
      </c>
      <c r="D4933" t="str">
        <f>HYPERLINK("http://service.sap.com/sap/support/notes/1746192","1746192")</f>
        <v>1746192</v>
      </c>
      <c r="E4933">
        <v>1</v>
      </c>
      <c r="F4933" t="s">
        <v>4944</v>
      </c>
    </row>
    <row r="4934" spans="1:6" x14ac:dyDescent="0.25">
      <c r="A4934" t="s">
        <v>4916</v>
      </c>
      <c r="B4934" t="s">
        <v>57</v>
      </c>
      <c r="C4934" t="s">
        <v>58</v>
      </c>
      <c r="D4934" t="str">
        <f>HYPERLINK("http://service.sap.com/sap/support/notes/1748567","1748567")</f>
        <v>1748567</v>
      </c>
      <c r="E4934">
        <v>2</v>
      </c>
      <c r="F4934" t="s">
        <v>4945</v>
      </c>
    </row>
    <row r="4935" spans="1:6" x14ac:dyDescent="0.25">
      <c r="A4935" t="s">
        <v>4916</v>
      </c>
      <c r="B4935" t="s">
        <v>57</v>
      </c>
      <c r="C4935" t="s">
        <v>58</v>
      </c>
      <c r="D4935" t="str">
        <f>HYPERLINK("http://service.sap.com/sap/support/notes/1750122","1750122")</f>
        <v>1750122</v>
      </c>
      <c r="E4935">
        <v>1</v>
      </c>
      <c r="F4935" t="s">
        <v>4946</v>
      </c>
    </row>
    <row r="4936" spans="1:6" x14ac:dyDescent="0.25">
      <c r="A4936" t="s">
        <v>4916</v>
      </c>
      <c r="B4936" t="s">
        <v>57</v>
      </c>
      <c r="C4936" t="s">
        <v>58</v>
      </c>
      <c r="D4936" t="str">
        <f>HYPERLINK("http://service.sap.com/sap/support/notes/1751480","1751480")</f>
        <v>1751480</v>
      </c>
      <c r="E4936">
        <v>1</v>
      </c>
      <c r="F4936" t="s">
        <v>4947</v>
      </c>
    </row>
    <row r="4937" spans="1:6" x14ac:dyDescent="0.25">
      <c r="A4937" t="s">
        <v>4916</v>
      </c>
      <c r="B4937" t="s">
        <v>258</v>
      </c>
      <c r="C4937" t="s">
        <v>186</v>
      </c>
      <c r="D4937" t="str">
        <f>HYPERLINK("http://service.sap.com/sap/support/notes/1740808","1740808")</f>
        <v>1740808</v>
      </c>
      <c r="E4937">
        <v>2</v>
      </c>
      <c r="F4937" t="s">
        <v>4948</v>
      </c>
    </row>
    <row r="4938" spans="1:6" x14ac:dyDescent="0.25">
      <c r="A4938" t="s">
        <v>4916</v>
      </c>
      <c r="B4938" t="s">
        <v>258</v>
      </c>
      <c r="C4938" t="s">
        <v>186</v>
      </c>
      <c r="D4938" t="str">
        <f>HYPERLINK("http://service.sap.com/sap/support/notes/1750472","1750472")</f>
        <v>1750472</v>
      </c>
      <c r="E4938">
        <v>1</v>
      </c>
      <c r="F4938" t="s">
        <v>4949</v>
      </c>
    </row>
    <row r="4939" spans="1:6" x14ac:dyDescent="0.25">
      <c r="A4939" t="s">
        <v>4916</v>
      </c>
      <c r="B4939" t="s">
        <v>261</v>
      </c>
      <c r="C4939" t="s">
        <v>262</v>
      </c>
      <c r="D4939" t="str">
        <f>HYPERLINK("http://service.sap.com/sap/support/notes/1710433","1710433")</f>
        <v>1710433</v>
      </c>
      <c r="E4939">
        <v>1</v>
      </c>
      <c r="F4939" t="s">
        <v>3755</v>
      </c>
    </row>
    <row r="4940" spans="1:6" x14ac:dyDescent="0.25">
      <c r="A4940" t="s">
        <v>4916</v>
      </c>
      <c r="B4940" t="s">
        <v>72</v>
      </c>
      <c r="C4940" t="s">
        <v>73</v>
      </c>
    </row>
    <row r="4941" spans="1:6" x14ac:dyDescent="0.25">
      <c r="A4941" t="s">
        <v>4916</v>
      </c>
      <c r="B4941" t="s">
        <v>364</v>
      </c>
      <c r="C4941" t="s">
        <v>365</v>
      </c>
    </row>
    <row r="4942" spans="1:6" x14ac:dyDescent="0.25">
      <c r="A4942" t="s">
        <v>4916</v>
      </c>
      <c r="B4942" t="s">
        <v>366</v>
      </c>
      <c r="C4942" t="s">
        <v>367</v>
      </c>
      <c r="D4942" t="str">
        <f>HYPERLINK("http://service.sap.com/sap/support/notes/1721504","1721504")</f>
        <v>1721504</v>
      </c>
      <c r="E4942">
        <v>1</v>
      </c>
      <c r="F4942" t="s">
        <v>4950</v>
      </c>
    </row>
    <row r="4943" spans="1:6" x14ac:dyDescent="0.25">
      <c r="A4943" t="s">
        <v>4916</v>
      </c>
      <c r="B4943" t="s">
        <v>284</v>
      </c>
      <c r="C4943" t="s">
        <v>393</v>
      </c>
    </row>
    <row r="4944" spans="1:6" x14ac:dyDescent="0.25">
      <c r="A4944" t="s">
        <v>4916</v>
      </c>
      <c r="B4944" t="s">
        <v>301</v>
      </c>
      <c r="C4944" t="s">
        <v>302</v>
      </c>
      <c r="D4944" t="str">
        <f>HYPERLINK("http://service.sap.com/sap/support/notes/1751976","1751976")</f>
        <v>1751976</v>
      </c>
      <c r="E4944">
        <v>1</v>
      </c>
      <c r="F4944" t="s">
        <v>4951</v>
      </c>
    </row>
    <row r="4945" spans="1:6" x14ac:dyDescent="0.25">
      <c r="A4945" t="s">
        <v>4916</v>
      </c>
      <c r="B4945" t="s">
        <v>76</v>
      </c>
      <c r="C4945" t="s">
        <v>77</v>
      </c>
    </row>
    <row r="4946" spans="1:6" x14ac:dyDescent="0.25">
      <c r="A4946" t="s">
        <v>4916</v>
      </c>
      <c r="B4946" t="s">
        <v>78</v>
      </c>
      <c r="C4946" t="s">
        <v>79</v>
      </c>
      <c r="D4946" t="str">
        <f>HYPERLINK("http://service.sap.com/sap/support/notes/1714118","1714118")</f>
        <v>1714118</v>
      </c>
      <c r="E4946">
        <v>2</v>
      </c>
      <c r="F4946" t="s">
        <v>4952</v>
      </c>
    </row>
    <row r="4947" spans="1:6" x14ac:dyDescent="0.25">
      <c r="A4947" t="s">
        <v>4916</v>
      </c>
      <c r="B4947" t="s">
        <v>78</v>
      </c>
      <c r="C4947" t="s">
        <v>79</v>
      </c>
      <c r="D4947" t="str">
        <f>HYPERLINK("http://service.sap.com/sap/support/notes/1730493","1730493")</f>
        <v>1730493</v>
      </c>
      <c r="E4947">
        <v>2</v>
      </c>
      <c r="F4947" t="s">
        <v>4953</v>
      </c>
    </row>
    <row r="4948" spans="1:6" x14ac:dyDescent="0.25">
      <c r="A4948" t="s">
        <v>4916</v>
      </c>
      <c r="B4948" t="s">
        <v>80</v>
      </c>
      <c r="C4948" t="s">
        <v>32</v>
      </c>
      <c r="D4948" t="str">
        <f>HYPERLINK("http://service.sap.com/sap/support/notes/1675473","1675473")</f>
        <v>1675473</v>
      </c>
      <c r="E4948">
        <v>1</v>
      </c>
      <c r="F4948" t="s">
        <v>4954</v>
      </c>
    </row>
    <row r="4949" spans="1:6" x14ac:dyDescent="0.25">
      <c r="A4949" t="s">
        <v>4916</v>
      </c>
      <c r="B4949" t="s">
        <v>83</v>
      </c>
      <c r="C4949" t="s">
        <v>84</v>
      </c>
      <c r="D4949" t="str">
        <f>HYPERLINK("http://service.sap.com/sap/support/notes/1740723","1740723")</f>
        <v>1740723</v>
      </c>
      <c r="E4949">
        <v>1</v>
      </c>
      <c r="F4949" t="s">
        <v>4955</v>
      </c>
    </row>
    <row r="4950" spans="1:6" x14ac:dyDescent="0.25">
      <c r="A4950" t="s">
        <v>4916</v>
      </c>
      <c r="B4950" t="s">
        <v>83</v>
      </c>
      <c r="C4950" t="s">
        <v>84</v>
      </c>
      <c r="D4950" t="str">
        <f>HYPERLINK("http://service.sap.com/sap/support/notes/1742136","1742136")</f>
        <v>1742136</v>
      </c>
      <c r="E4950">
        <v>2</v>
      </c>
      <c r="F4950" t="s">
        <v>4612</v>
      </c>
    </row>
    <row r="4951" spans="1:6" x14ac:dyDescent="0.25">
      <c r="A4951" t="s">
        <v>4916</v>
      </c>
      <c r="B4951" t="s">
        <v>83</v>
      </c>
      <c r="C4951" t="s">
        <v>84</v>
      </c>
      <c r="D4951" t="str">
        <f>HYPERLINK("http://service.sap.com/sap/support/notes/1743858","1743858")</f>
        <v>1743858</v>
      </c>
      <c r="E4951">
        <v>1</v>
      </c>
      <c r="F4951" t="s">
        <v>4956</v>
      </c>
    </row>
    <row r="4952" spans="1:6" x14ac:dyDescent="0.25">
      <c r="A4952" t="s">
        <v>4916</v>
      </c>
      <c r="B4952" t="s">
        <v>83</v>
      </c>
      <c r="C4952" t="s">
        <v>84</v>
      </c>
      <c r="D4952" t="str">
        <f>HYPERLINK("http://service.sap.com/sap/support/notes/1745928","1745928")</f>
        <v>1745928</v>
      </c>
      <c r="E4952">
        <v>1</v>
      </c>
      <c r="F4952" t="s">
        <v>4957</v>
      </c>
    </row>
    <row r="4953" spans="1:6" x14ac:dyDescent="0.25">
      <c r="A4953" t="s">
        <v>4916</v>
      </c>
      <c r="B4953" t="s">
        <v>83</v>
      </c>
      <c r="C4953" t="s">
        <v>84</v>
      </c>
      <c r="D4953" t="str">
        <f>HYPERLINK("http://service.sap.com/sap/support/notes/1748464","1748464")</f>
        <v>1748464</v>
      </c>
      <c r="E4953">
        <v>2</v>
      </c>
      <c r="F4953" t="s">
        <v>4958</v>
      </c>
    </row>
    <row r="4954" spans="1:6" x14ac:dyDescent="0.25">
      <c r="A4954" t="s">
        <v>4916</v>
      </c>
      <c r="B4954" t="s">
        <v>83</v>
      </c>
      <c r="C4954" t="s">
        <v>84</v>
      </c>
      <c r="D4954" t="str">
        <f>HYPERLINK("http://service.sap.com/sap/support/notes/1748825","1748825")</f>
        <v>1748825</v>
      </c>
      <c r="E4954">
        <v>1</v>
      </c>
      <c r="F4954" t="s">
        <v>4959</v>
      </c>
    </row>
    <row r="4955" spans="1:6" x14ac:dyDescent="0.25">
      <c r="A4955" t="s">
        <v>4916</v>
      </c>
      <c r="B4955" t="s">
        <v>83</v>
      </c>
      <c r="C4955" t="s">
        <v>84</v>
      </c>
      <c r="D4955" t="str">
        <f>HYPERLINK("http://service.sap.com/sap/support/notes/1754914","1754914")</f>
        <v>1754914</v>
      </c>
      <c r="E4955">
        <v>1</v>
      </c>
      <c r="F4955" t="s">
        <v>4960</v>
      </c>
    </row>
    <row r="4956" spans="1:6" x14ac:dyDescent="0.25">
      <c r="A4956" t="s">
        <v>4916</v>
      </c>
      <c r="B4956" t="s">
        <v>83</v>
      </c>
      <c r="C4956" t="s">
        <v>84</v>
      </c>
      <c r="D4956" t="str">
        <f>HYPERLINK("http://service.sap.com/sap/support/notes/1754916","1754916")</f>
        <v>1754916</v>
      </c>
      <c r="E4956">
        <v>1</v>
      </c>
      <c r="F4956" t="s">
        <v>4961</v>
      </c>
    </row>
    <row r="4957" spans="1:6" x14ac:dyDescent="0.25">
      <c r="A4957" t="s">
        <v>4916</v>
      </c>
      <c r="B4957" t="s">
        <v>89</v>
      </c>
      <c r="C4957" t="s">
        <v>34</v>
      </c>
      <c r="D4957" t="str">
        <f>HYPERLINK("http://service.sap.com/sap/support/notes/1725676","1725676")</f>
        <v>1725676</v>
      </c>
      <c r="E4957">
        <v>5</v>
      </c>
      <c r="F4957" t="s">
        <v>4962</v>
      </c>
    </row>
    <row r="4958" spans="1:6" x14ac:dyDescent="0.25">
      <c r="A4958" t="s">
        <v>4916</v>
      </c>
      <c r="B4958" t="s">
        <v>89</v>
      </c>
      <c r="C4958" t="s">
        <v>34</v>
      </c>
      <c r="D4958" t="str">
        <f>HYPERLINK("http://service.sap.com/sap/support/notes/1735187","1735187")</f>
        <v>1735187</v>
      </c>
      <c r="E4958">
        <v>2</v>
      </c>
      <c r="F4958" t="s">
        <v>4624</v>
      </c>
    </row>
    <row r="4959" spans="1:6" x14ac:dyDescent="0.25">
      <c r="A4959" t="s">
        <v>4916</v>
      </c>
      <c r="B4959" t="s">
        <v>89</v>
      </c>
      <c r="C4959" t="s">
        <v>34</v>
      </c>
      <c r="D4959" t="str">
        <f>HYPERLINK("http://service.sap.com/sap/support/notes/1740378","1740378")</f>
        <v>1740378</v>
      </c>
      <c r="E4959">
        <v>2</v>
      </c>
      <c r="F4959" t="s">
        <v>4963</v>
      </c>
    </row>
    <row r="4960" spans="1:6" x14ac:dyDescent="0.25">
      <c r="A4960" t="s">
        <v>4916</v>
      </c>
      <c r="B4960" t="s">
        <v>89</v>
      </c>
      <c r="C4960" t="s">
        <v>34</v>
      </c>
      <c r="D4960" t="str">
        <f>HYPERLINK("http://service.sap.com/sap/support/notes/1743378","1743378")</f>
        <v>1743378</v>
      </c>
      <c r="E4960">
        <v>3</v>
      </c>
      <c r="F4960" t="s">
        <v>4964</v>
      </c>
    </row>
    <row r="4961" spans="1:6" x14ac:dyDescent="0.25">
      <c r="A4961" t="s">
        <v>4916</v>
      </c>
      <c r="B4961" t="s">
        <v>89</v>
      </c>
      <c r="C4961" t="s">
        <v>34</v>
      </c>
      <c r="D4961" t="str">
        <f>HYPERLINK("http://service.sap.com/sap/support/notes/1746159","1746159")</f>
        <v>1746159</v>
      </c>
      <c r="E4961">
        <v>3</v>
      </c>
      <c r="F4961" t="s">
        <v>4965</v>
      </c>
    </row>
    <row r="4962" spans="1:6" x14ac:dyDescent="0.25">
      <c r="A4962" t="s">
        <v>4916</v>
      </c>
      <c r="B4962" t="s">
        <v>89</v>
      </c>
      <c r="C4962" t="s">
        <v>34</v>
      </c>
      <c r="D4962" t="str">
        <f>HYPERLINK("http://service.sap.com/sap/support/notes/1746220","1746220")</f>
        <v>1746220</v>
      </c>
      <c r="E4962">
        <v>1</v>
      </c>
      <c r="F4962" t="s">
        <v>4966</v>
      </c>
    </row>
    <row r="4963" spans="1:6" x14ac:dyDescent="0.25">
      <c r="A4963" t="s">
        <v>4916</v>
      </c>
      <c r="B4963" t="s">
        <v>89</v>
      </c>
      <c r="C4963" t="s">
        <v>34</v>
      </c>
      <c r="D4963" t="str">
        <f>HYPERLINK("http://service.sap.com/sap/support/notes/1747076","1747076")</f>
        <v>1747076</v>
      </c>
      <c r="E4963">
        <v>1</v>
      </c>
      <c r="F4963" t="s">
        <v>4967</v>
      </c>
    </row>
    <row r="4964" spans="1:6" x14ac:dyDescent="0.25">
      <c r="A4964" t="s">
        <v>4916</v>
      </c>
      <c r="B4964" t="s">
        <v>89</v>
      </c>
      <c r="C4964" t="s">
        <v>34</v>
      </c>
      <c r="D4964" t="str">
        <f>HYPERLINK("http://service.sap.com/sap/support/notes/1750291","1750291")</f>
        <v>1750291</v>
      </c>
      <c r="E4964">
        <v>3</v>
      </c>
      <c r="F4964" t="s">
        <v>4968</v>
      </c>
    </row>
    <row r="4965" spans="1:6" x14ac:dyDescent="0.25">
      <c r="A4965" t="s">
        <v>4916</v>
      </c>
      <c r="B4965" t="s">
        <v>91</v>
      </c>
      <c r="C4965" t="s">
        <v>92</v>
      </c>
      <c r="D4965" t="str">
        <f>HYPERLINK("http://service.sap.com/sap/support/notes/1657202","1657202")</f>
        <v>1657202</v>
      </c>
      <c r="E4965">
        <v>7</v>
      </c>
      <c r="F4965" t="s">
        <v>4969</v>
      </c>
    </row>
    <row r="4966" spans="1:6" x14ac:dyDescent="0.25">
      <c r="A4966" t="s">
        <v>4916</v>
      </c>
      <c r="B4966" t="s">
        <v>91</v>
      </c>
      <c r="C4966" t="s">
        <v>92</v>
      </c>
      <c r="D4966" t="str">
        <f>HYPERLINK("http://service.sap.com/sap/support/notes/1685027","1685027")</f>
        <v>1685027</v>
      </c>
      <c r="E4966">
        <v>2</v>
      </c>
      <c r="F4966" t="s">
        <v>4970</v>
      </c>
    </row>
    <row r="4967" spans="1:6" x14ac:dyDescent="0.25">
      <c r="A4967" t="s">
        <v>4916</v>
      </c>
      <c r="B4967" t="s">
        <v>91</v>
      </c>
      <c r="C4967" t="s">
        <v>92</v>
      </c>
      <c r="D4967" t="str">
        <f>HYPERLINK("http://service.sap.com/sap/support/notes/1688930","1688930")</f>
        <v>1688930</v>
      </c>
      <c r="E4967">
        <v>2</v>
      </c>
      <c r="F4967" t="s">
        <v>4971</v>
      </c>
    </row>
    <row r="4968" spans="1:6" x14ac:dyDescent="0.25">
      <c r="A4968" t="s">
        <v>4916</v>
      </c>
      <c r="B4968" t="s">
        <v>91</v>
      </c>
      <c r="C4968" t="s">
        <v>92</v>
      </c>
      <c r="D4968" t="str">
        <f>HYPERLINK("http://service.sap.com/sap/support/notes/1696591","1696591")</f>
        <v>1696591</v>
      </c>
      <c r="E4968">
        <v>3</v>
      </c>
      <c r="F4968" t="s">
        <v>4972</v>
      </c>
    </row>
    <row r="4969" spans="1:6" x14ac:dyDescent="0.25">
      <c r="A4969" t="s">
        <v>4916</v>
      </c>
      <c r="B4969" t="s">
        <v>91</v>
      </c>
      <c r="C4969" t="s">
        <v>92</v>
      </c>
      <c r="D4969" t="str">
        <f>HYPERLINK("http://service.sap.com/sap/support/notes/1703466","1703466")</f>
        <v>1703466</v>
      </c>
      <c r="E4969">
        <v>3</v>
      </c>
      <c r="F4969" t="s">
        <v>4973</v>
      </c>
    </row>
    <row r="4970" spans="1:6" x14ac:dyDescent="0.25">
      <c r="A4970" t="s">
        <v>4916</v>
      </c>
      <c r="B4970" t="s">
        <v>91</v>
      </c>
      <c r="C4970" t="s">
        <v>92</v>
      </c>
      <c r="D4970" t="str">
        <f>HYPERLINK("http://service.sap.com/sap/support/notes/1737248","1737248")</f>
        <v>1737248</v>
      </c>
      <c r="E4970">
        <v>1</v>
      </c>
      <c r="F4970" t="s">
        <v>4974</v>
      </c>
    </row>
    <row r="4971" spans="1:6" x14ac:dyDescent="0.25">
      <c r="A4971" t="s">
        <v>4916</v>
      </c>
      <c r="B4971" t="s">
        <v>91</v>
      </c>
      <c r="C4971" t="s">
        <v>92</v>
      </c>
      <c r="D4971" t="str">
        <f>HYPERLINK("http://service.sap.com/sap/support/notes/1740515","1740515")</f>
        <v>1740515</v>
      </c>
      <c r="E4971">
        <v>4</v>
      </c>
      <c r="F4971" t="s">
        <v>4975</v>
      </c>
    </row>
    <row r="4972" spans="1:6" x14ac:dyDescent="0.25">
      <c r="A4972" t="s">
        <v>4916</v>
      </c>
      <c r="B4972" t="s">
        <v>91</v>
      </c>
      <c r="C4972" t="s">
        <v>92</v>
      </c>
      <c r="D4972" t="str">
        <f>HYPERLINK("http://service.sap.com/sap/support/notes/1741549","1741549")</f>
        <v>1741549</v>
      </c>
      <c r="E4972">
        <v>2</v>
      </c>
      <c r="F4972" t="s">
        <v>4976</v>
      </c>
    </row>
    <row r="4973" spans="1:6" x14ac:dyDescent="0.25">
      <c r="A4973" t="s">
        <v>4916</v>
      </c>
      <c r="B4973" t="s">
        <v>91</v>
      </c>
      <c r="C4973" t="s">
        <v>92</v>
      </c>
      <c r="D4973" t="str">
        <f>HYPERLINK("http://service.sap.com/sap/support/notes/1744844","1744844")</f>
        <v>1744844</v>
      </c>
      <c r="E4973">
        <v>3</v>
      </c>
      <c r="F4973" t="s">
        <v>4977</v>
      </c>
    </row>
    <row r="4974" spans="1:6" x14ac:dyDescent="0.25">
      <c r="A4974" t="s">
        <v>4916</v>
      </c>
      <c r="B4974" t="s">
        <v>91</v>
      </c>
      <c r="C4974" t="s">
        <v>92</v>
      </c>
      <c r="D4974" t="str">
        <f>HYPERLINK("http://service.sap.com/sap/support/notes/1748954","1748954")</f>
        <v>1748954</v>
      </c>
      <c r="E4974">
        <v>1</v>
      </c>
      <c r="F4974" t="s">
        <v>4978</v>
      </c>
    </row>
    <row r="4975" spans="1:6" x14ac:dyDescent="0.25">
      <c r="A4975" t="s">
        <v>4916</v>
      </c>
      <c r="B4975" t="s">
        <v>91</v>
      </c>
      <c r="C4975" t="s">
        <v>92</v>
      </c>
      <c r="D4975" t="str">
        <f>HYPERLINK("http://service.sap.com/sap/support/notes/1754835","1754835")</f>
        <v>1754835</v>
      </c>
      <c r="E4975">
        <v>1</v>
      </c>
      <c r="F4975" t="s">
        <v>4979</v>
      </c>
    </row>
    <row r="4976" spans="1:6" x14ac:dyDescent="0.25">
      <c r="A4976" t="s">
        <v>4916</v>
      </c>
      <c r="B4976" t="s">
        <v>94</v>
      </c>
      <c r="C4976" t="s">
        <v>95</v>
      </c>
      <c r="D4976" t="str">
        <f>HYPERLINK("http://service.sap.com/sap/support/notes/1688160","1688160")</f>
        <v>1688160</v>
      </c>
      <c r="E4976">
        <v>2</v>
      </c>
      <c r="F4976" t="s">
        <v>4980</v>
      </c>
    </row>
    <row r="4977" spans="1:6" x14ac:dyDescent="0.25">
      <c r="A4977" t="s">
        <v>4916</v>
      </c>
      <c r="B4977" t="s">
        <v>94</v>
      </c>
      <c r="C4977" t="s">
        <v>95</v>
      </c>
      <c r="D4977" t="str">
        <f>HYPERLINK("http://service.sap.com/sap/support/notes/1712781","1712781")</f>
        <v>1712781</v>
      </c>
      <c r="E4977">
        <v>3</v>
      </c>
      <c r="F4977" t="s">
        <v>4981</v>
      </c>
    </row>
    <row r="4978" spans="1:6" x14ac:dyDescent="0.25">
      <c r="A4978" t="s">
        <v>4916</v>
      </c>
      <c r="B4978" t="s">
        <v>94</v>
      </c>
      <c r="C4978" t="s">
        <v>95</v>
      </c>
      <c r="D4978" t="str">
        <f>HYPERLINK("http://service.sap.com/sap/support/notes/1725269","1725269")</f>
        <v>1725269</v>
      </c>
      <c r="E4978">
        <v>3</v>
      </c>
      <c r="F4978" t="s">
        <v>4982</v>
      </c>
    </row>
    <row r="4979" spans="1:6" x14ac:dyDescent="0.25">
      <c r="A4979" t="s">
        <v>4916</v>
      </c>
      <c r="B4979" t="s">
        <v>94</v>
      </c>
      <c r="C4979" t="s">
        <v>95</v>
      </c>
      <c r="D4979" t="str">
        <f>HYPERLINK("http://service.sap.com/sap/support/notes/1729412","1729412")</f>
        <v>1729412</v>
      </c>
      <c r="E4979">
        <v>1</v>
      </c>
      <c r="F4979" t="s">
        <v>4983</v>
      </c>
    </row>
    <row r="4980" spans="1:6" x14ac:dyDescent="0.25">
      <c r="A4980" t="s">
        <v>4916</v>
      </c>
      <c r="B4980" t="s">
        <v>306</v>
      </c>
      <c r="C4980" t="s">
        <v>132</v>
      </c>
      <c r="D4980" t="str">
        <f>HYPERLINK("http://service.sap.com/sap/support/notes/1685972","1685972")</f>
        <v>1685972</v>
      </c>
      <c r="E4980">
        <v>4</v>
      </c>
      <c r="F4980" t="s">
        <v>4984</v>
      </c>
    </row>
    <row r="4981" spans="1:6" x14ac:dyDescent="0.25">
      <c r="A4981" t="s">
        <v>4916</v>
      </c>
      <c r="B4981" t="s">
        <v>306</v>
      </c>
      <c r="C4981" t="s">
        <v>132</v>
      </c>
      <c r="D4981" t="str">
        <f>HYPERLINK("http://service.sap.com/sap/support/notes/1721336","1721336")</f>
        <v>1721336</v>
      </c>
      <c r="E4981">
        <v>1</v>
      </c>
      <c r="F4981" t="s">
        <v>4302</v>
      </c>
    </row>
    <row r="4982" spans="1:6" x14ac:dyDescent="0.25">
      <c r="A4982" t="s">
        <v>4916</v>
      </c>
      <c r="B4982" t="s">
        <v>306</v>
      </c>
      <c r="C4982" t="s">
        <v>132</v>
      </c>
      <c r="D4982" t="str">
        <f>HYPERLINK("http://service.sap.com/sap/support/notes/1744899","1744899")</f>
        <v>1744899</v>
      </c>
      <c r="E4982">
        <v>2</v>
      </c>
      <c r="F4982" t="s">
        <v>4985</v>
      </c>
    </row>
    <row r="4983" spans="1:6" x14ac:dyDescent="0.25">
      <c r="A4983" t="s">
        <v>4916</v>
      </c>
      <c r="B4983" t="s">
        <v>96</v>
      </c>
      <c r="C4983" t="s">
        <v>97</v>
      </c>
      <c r="D4983" t="str">
        <f>HYPERLINK("http://service.sap.com/sap/support/notes/1232827","1232827")</f>
        <v>1232827</v>
      </c>
      <c r="E4983">
        <v>3</v>
      </c>
      <c r="F4983" t="s">
        <v>4986</v>
      </c>
    </row>
    <row r="4984" spans="1:6" x14ac:dyDescent="0.25">
      <c r="A4984" t="s">
        <v>4916</v>
      </c>
      <c r="B4984" t="s">
        <v>96</v>
      </c>
      <c r="C4984" t="s">
        <v>97</v>
      </c>
      <c r="D4984" t="str">
        <f>HYPERLINK("http://service.sap.com/sap/support/notes/1699359","1699359")</f>
        <v>1699359</v>
      </c>
      <c r="E4984">
        <v>3</v>
      </c>
      <c r="F4984" t="s">
        <v>4987</v>
      </c>
    </row>
    <row r="4985" spans="1:6" x14ac:dyDescent="0.25">
      <c r="A4985" t="s">
        <v>4916</v>
      </c>
      <c r="B4985" t="s">
        <v>96</v>
      </c>
      <c r="C4985" t="s">
        <v>97</v>
      </c>
      <c r="D4985" t="str">
        <f>HYPERLINK("http://service.sap.com/sap/support/notes/1723011","1723011")</f>
        <v>1723011</v>
      </c>
      <c r="E4985">
        <v>1</v>
      </c>
      <c r="F4985" t="s">
        <v>4988</v>
      </c>
    </row>
    <row r="4986" spans="1:6" x14ac:dyDescent="0.25">
      <c r="A4986" t="s">
        <v>4916</v>
      </c>
      <c r="B4986" t="s">
        <v>96</v>
      </c>
      <c r="C4986" t="s">
        <v>97</v>
      </c>
      <c r="D4986" t="str">
        <f>HYPERLINK("http://service.sap.com/sap/support/notes/1726677","1726677")</f>
        <v>1726677</v>
      </c>
      <c r="E4986">
        <v>1</v>
      </c>
      <c r="F4986" t="s">
        <v>4989</v>
      </c>
    </row>
    <row r="4987" spans="1:6" x14ac:dyDescent="0.25">
      <c r="A4987" t="s">
        <v>4916</v>
      </c>
      <c r="B4987" t="s">
        <v>96</v>
      </c>
      <c r="C4987" t="s">
        <v>97</v>
      </c>
      <c r="D4987" t="str">
        <f>HYPERLINK("http://service.sap.com/sap/support/notes/1742998","1742998")</f>
        <v>1742998</v>
      </c>
      <c r="E4987">
        <v>1</v>
      </c>
      <c r="F4987" t="s">
        <v>4990</v>
      </c>
    </row>
    <row r="4988" spans="1:6" x14ac:dyDescent="0.25">
      <c r="A4988" t="s">
        <v>4916</v>
      </c>
      <c r="B4988" t="s">
        <v>96</v>
      </c>
      <c r="C4988" t="s">
        <v>97</v>
      </c>
      <c r="D4988" t="str">
        <f>HYPERLINK("http://service.sap.com/sap/support/notes/1746315","1746315")</f>
        <v>1746315</v>
      </c>
      <c r="E4988">
        <v>1</v>
      </c>
      <c r="F4988" t="s">
        <v>4991</v>
      </c>
    </row>
    <row r="4989" spans="1:6" x14ac:dyDescent="0.25">
      <c r="A4989" t="s">
        <v>4916</v>
      </c>
      <c r="B4989" t="s">
        <v>96</v>
      </c>
      <c r="C4989" t="s">
        <v>97</v>
      </c>
      <c r="D4989" t="str">
        <f>HYPERLINK("http://service.sap.com/sap/support/notes/1747759","1747759")</f>
        <v>1747759</v>
      </c>
      <c r="E4989">
        <v>2</v>
      </c>
      <c r="F4989" t="s">
        <v>4992</v>
      </c>
    </row>
    <row r="4990" spans="1:6" x14ac:dyDescent="0.25">
      <c r="A4990" t="s">
        <v>4916</v>
      </c>
      <c r="B4990" t="s">
        <v>98</v>
      </c>
      <c r="C4990" t="s">
        <v>99</v>
      </c>
      <c r="D4990" t="str">
        <f>HYPERLINK("http://service.sap.com/sap/support/notes/1692648","1692648")</f>
        <v>1692648</v>
      </c>
      <c r="E4990">
        <v>6</v>
      </c>
      <c r="F4990" t="s">
        <v>4993</v>
      </c>
    </row>
    <row r="4991" spans="1:6" x14ac:dyDescent="0.25">
      <c r="A4991" t="s">
        <v>4916</v>
      </c>
      <c r="B4991" t="s">
        <v>98</v>
      </c>
      <c r="C4991" t="s">
        <v>99</v>
      </c>
      <c r="D4991" t="str">
        <f>HYPERLINK("http://service.sap.com/sap/support/notes/1710470","1710470")</f>
        <v>1710470</v>
      </c>
      <c r="E4991">
        <v>3</v>
      </c>
      <c r="F4991" t="s">
        <v>4994</v>
      </c>
    </row>
    <row r="4992" spans="1:6" x14ac:dyDescent="0.25">
      <c r="A4992" t="s">
        <v>4916</v>
      </c>
      <c r="B4992" t="s">
        <v>98</v>
      </c>
      <c r="C4992" t="s">
        <v>99</v>
      </c>
      <c r="D4992" t="str">
        <f>HYPERLINK("http://service.sap.com/sap/support/notes/1712744","1712744")</f>
        <v>1712744</v>
      </c>
      <c r="E4992">
        <v>6</v>
      </c>
      <c r="F4992" t="s">
        <v>4995</v>
      </c>
    </row>
    <row r="4993" spans="1:6" x14ac:dyDescent="0.25">
      <c r="A4993" t="s">
        <v>4916</v>
      </c>
      <c r="B4993" t="s">
        <v>98</v>
      </c>
      <c r="C4993" t="s">
        <v>99</v>
      </c>
      <c r="D4993" t="str">
        <f>HYPERLINK("http://service.sap.com/sap/support/notes/1720275","1720275")</f>
        <v>1720275</v>
      </c>
      <c r="E4993">
        <v>5</v>
      </c>
      <c r="F4993" t="s">
        <v>4996</v>
      </c>
    </row>
    <row r="4994" spans="1:6" x14ac:dyDescent="0.25">
      <c r="A4994" t="s">
        <v>4916</v>
      </c>
      <c r="B4994" t="s">
        <v>98</v>
      </c>
      <c r="C4994" t="s">
        <v>99</v>
      </c>
      <c r="D4994" t="str">
        <f>HYPERLINK("http://service.sap.com/sap/support/notes/1730339","1730339")</f>
        <v>1730339</v>
      </c>
      <c r="E4994">
        <v>2</v>
      </c>
      <c r="F4994" t="s">
        <v>4997</v>
      </c>
    </row>
    <row r="4995" spans="1:6" x14ac:dyDescent="0.25">
      <c r="A4995" t="s">
        <v>4916</v>
      </c>
      <c r="B4995" t="s">
        <v>98</v>
      </c>
      <c r="C4995" t="s">
        <v>99</v>
      </c>
      <c r="D4995" t="str">
        <f>HYPERLINK("http://service.sap.com/sap/support/notes/1743158","1743158")</f>
        <v>1743158</v>
      </c>
      <c r="E4995">
        <v>2</v>
      </c>
      <c r="F4995" t="s">
        <v>4998</v>
      </c>
    </row>
    <row r="4996" spans="1:6" x14ac:dyDescent="0.25">
      <c r="A4996" t="s">
        <v>4916</v>
      </c>
      <c r="B4996" t="s">
        <v>98</v>
      </c>
      <c r="C4996" t="s">
        <v>99</v>
      </c>
      <c r="D4996" t="str">
        <f>HYPERLINK("http://service.sap.com/sap/support/notes/1743764","1743764")</f>
        <v>1743764</v>
      </c>
      <c r="E4996">
        <v>2</v>
      </c>
      <c r="F4996" t="s">
        <v>4999</v>
      </c>
    </row>
    <row r="4997" spans="1:6" x14ac:dyDescent="0.25">
      <c r="A4997" t="s">
        <v>4916</v>
      </c>
      <c r="B4997" t="s">
        <v>98</v>
      </c>
      <c r="C4997" t="s">
        <v>99</v>
      </c>
      <c r="D4997" t="str">
        <f>HYPERLINK("http://service.sap.com/sap/support/notes/1744253","1744253")</f>
        <v>1744253</v>
      </c>
      <c r="E4997">
        <v>3</v>
      </c>
      <c r="F4997" t="s">
        <v>5000</v>
      </c>
    </row>
    <row r="4998" spans="1:6" x14ac:dyDescent="0.25">
      <c r="A4998" t="s">
        <v>4916</v>
      </c>
      <c r="B4998" t="s">
        <v>98</v>
      </c>
      <c r="C4998" t="s">
        <v>99</v>
      </c>
      <c r="D4998" t="str">
        <f>HYPERLINK("http://service.sap.com/sap/support/notes/1744789","1744789")</f>
        <v>1744789</v>
      </c>
      <c r="E4998">
        <v>2</v>
      </c>
      <c r="F4998" t="s">
        <v>5001</v>
      </c>
    </row>
    <row r="4999" spans="1:6" x14ac:dyDescent="0.25">
      <c r="A4999" t="s">
        <v>4916</v>
      </c>
      <c r="B4999" t="s">
        <v>98</v>
      </c>
      <c r="C4999" t="s">
        <v>99</v>
      </c>
      <c r="D4999" t="str">
        <f>HYPERLINK("http://service.sap.com/sap/support/notes/1745822","1745822")</f>
        <v>1745822</v>
      </c>
      <c r="E4999">
        <v>3</v>
      </c>
      <c r="F4999" t="s">
        <v>5002</v>
      </c>
    </row>
    <row r="5000" spans="1:6" x14ac:dyDescent="0.25">
      <c r="A5000" t="s">
        <v>4916</v>
      </c>
      <c r="B5000" t="s">
        <v>98</v>
      </c>
      <c r="C5000" t="s">
        <v>99</v>
      </c>
      <c r="D5000" t="str">
        <f>HYPERLINK("http://service.sap.com/sap/support/notes/1748058","1748058")</f>
        <v>1748058</v>
      </c>
      <c r="E5000">
        <v>1</v>
      </c>
      <c r="F5000" t="s">
        <v>5003</v>
      </c>
    </row>
    <row r="5001" spans="1:6" x14ac:dyDescent="0.25">
      <c r="A5001" t="s">
        <v>4916</v>
      </c>
      <c r="B5001" t="s">
        <v>98</v>
      </c>
      <c r="C5001" t="s">
        <v>99</v>
      </c>
      <c r="D5001" t="str">
        <f>HYPERLINK("http://service.sap.com/sap/support/notes/1750045","1750045")</f>
        <v>1750045</v>
      </c>
      <c r="E5001">
        <v>2</v>
      </c>
      <c r="F5001" t="s">
        <v>5004</v>
      </c>
    </row>
    <row r="5002" spans="1:6" x14ac:dyDescent="0.25">
      <c r="A5002" t="s">
        <v>4916</v>
      </c>
      <c r="B5002" t="s">
        <v>98</v>
      </c>
      <c r="C5002" t="s">
        <v>99</v>
      </c>
      <c r="D5002" t="str">
        <f>HYPERLINK("http://service.sap.com/sap/support/notes/1753484","1753484")</f>
        <v>1753484</v>
      </c>
      <c r="E5002">
        <v>2</v>
      </c>
      <c r="F5002" t="s">
        <v>5005</v>
      </c>
    </row>
    <row r="5003" spans="1:6" x14ac:dyDescent="0.25">
      <c r="A5003" t="s">
        <v>4916</v>
      </c>
      <c r="B5003" t="s">
        <v>100</v>
      </c>
      <c r="C5003" t="s">
        <v>36</v>
      </c>
      <c r="D5003" t="str">
        <f>HYPERLINK("http://service.sap.com/sap/support/notes/1651688","1651688")</f>
        <v>1651688</v>
      </c>
      <c r="E5003">
        <v>1</v>
      </c>
      <c r="F5003" t="s">
        <v>5006</v>
      </c>
    </row>
    <row r="5004" spans="1:6" x14ac:dyDescent="0.25">
      <c r="A5004" t="s">
        <v>4916</v>
      </c>
      <c r="B5004" t="s">
        <v>100</v>
      </c>
      <c r="C5004" t="s">
        <v>36</v>
      </c>
      <c r="D5004" t="str">
        <f>HYPERLINK("http://service.sap.com/sap/support/notes/1748623","1748623")</f>
        <v>1748623</v>
      </c>
      <c r="E5004">
        <v>2</v>
      </c>
      <c r="F5004" t="s">
        <v>5007</v>
      </c>
    </row>
    <row r="5005" spans="1:6" x14ac:dyDescent="0.25">
      <c r="A5005" t="s">
        <v>4916</v>
      </c>
      <c r="B5005" t="s">
        <v>100</v>
      </c>
      <c r="C5005" t="s">
        <v>36</v>
      </c>
      <c r="D5005" t="str">
        <f>HYPERLINK("http://service.sap.com/sap/support/notes/1750155","1750155")</f>
        <v>1750155</v>
      </c>
      <c r="E5005">
        <v>7</v>
      </c>
      <c r="F5005" t="s">
        <v>5008</v>
      </c>
    </row>
    <row r="5006" spans="1:6" x14ac:dyDescent="0.25">
      <c r="A5006" t="s">
        <v>4916</v>
      </c>
      <c r="B5006" t="s">
        <v>101</v>
      </c>
      <c r="C5006" t="s">
        <v>38</v>
      </c>
    </row>
    <row r="5007" spans="1:6" x14ac:dyDescent="0.25">
      <c r="A5007" t="s">
        <v>4916</v>
      </c>
      <c r="B5007" t="s">
        <v>104</v>
      </c>
      <c r="C5007" t="s">
        <v>105</v>
      </c>
      <c r="D5007" t="str">
        <f>HYPERLINK("http://service.sap.com/sap/support/notes/1728552","1728552")</f>
        <v>1728552</v>
      </c>
      <c r="E5007">
        <v>2</v>
      </c>
      <c r="F5007" t="s">
        <v>5009</v>
      </c>
    </row>
    <row r="5008" spans="1:6" x14ac:dyDescent="0.25">
      <c r="A5008" t="s">
        <v>4916</v>
      </c>
      <c r="B5008" t="s">
        <v>104</v>
      </c>
      <c r="C5008" t="s">
        <v>105</v>
      </c>
      <c r="D5008" t="str">
        <f>HYPERLINK("http://service.sap.com/sap/support/notes/1746218","1746218")</f>
        <v>1746218</v>
      </c>
      <c r="E5008">
        <v>3</v>
      </c>
      <c r="F5008" t="s">
        <v>5010</v>
      </c>
    </row>
    <row r="5009" spans="1:6" x14ac:dyDescent="0.25">
      <c r="A5009" t="s">
        <v>4916</v>
      </c>
      <c r="B5009" t="s">
        <v>104</v>
      </c>
      <c r="C5009" t="s">
        <v>105</v>
      </c>
      <c r="D5009" t="str">
        <f>HYPERLINK("http://service.sap.com/sap/support/notes/1746732","1746732")</f>
        <v>1746732</v>
      </c>
      <c r="E5009">
        <v>2</v>
      </c>
      <c r="F5009" t="s">
        <v>5011</v>
      </c>
    </row>
    <row r="5010" spans="1:6" x14ac:dyDescent="0.25">
      <c r="A5010" t="s">
        <v>4916</v>
      </c>
      <c r="B5010" t="s">
        <v>106</v>
      </c>
      <c r="C5010" t="s">
        <v>107</v>
      </c>
    </row>
    <row r="5011" spans="1:6" x14ac:dyDescent="0.25">
      <c r="A5011" t="s">
        <v>4916</v>
      </c>
      <c r="B5011" t="s">
        <v>108</v>
      </c>
      <c r="C5011" t="s">
        <v>109</v>
      </c>
      <c r="D5011" t="str">
        <f>HYPERLINK("http://service.sap.com/sap/support/notes/1741826","1741826")</f>
        <v>1741826</v>
      </c>
      <c r="E5011">
        <v>7</v>
      </c>
      <c r="F5011" t="s">
        <v>5012</v>
      </c>
    </row>
    <row r="5012" spans="1:6" x14ac:dyDescent="0.25">
      <c r="A5012" t="s">
        <v>4916</v>
      </c>
      <c r="B5012" t="s">
        <v>108</v>
      </c>
      <c r="C5012" t="s">
        <v>109</v>
      </c>
      <c r="D5012" t="str">
        <f>HYPERLINK("http://service.sap.com/sap/support/notes/1744764","1744764")</f>
        <v>1744764</v>
      </c>
      <c r="E5012">
        <v>1</v>
      </c>
      <c r="F5012" t="s">
        <v>5013</v>
      </c>
    </row>
    <row r="5013" spans="1:6" x14ac:dyDescent="0.25">
      <c r="A5013" t="s">
        <v>4916</v>
      </c>
      <c r="B5013" t="s">
        <v>609</v>
      </c>
      <c r="C5013" t="s">
        <v>610</v>
      </c>
      <c r="D5013" t="str">
        <f>HYPERLINK("http://service.sap.com/sap/support/notes/1736405","1736405")</f>
        <v>1736405</v>
      </c>
      <c r="E5013">
        <v>1</v>
      </c>
      <c r="F5013" t="s">
        <v>5014</v>
      </c>
    </row>
    <row r="5014" spans="1:6" x14ac:dyDescent="0.25">
      <c r="A5014" t="s">
        <v>4916</v>
      </c>
      <c r="B5014" t="s">
        <v>609</v>
      </c>
      <c r="C5014" t="s">
        <v>610</v>
      </c>
      <c r="D5014" t="str">
        <f>HYPERLINK("http://service.sap.com/sap/support/notes/1744743","1744743")</f>
        <v>1744743</v>
      </c>
      <c r="E5014">
        <v>2</v>
      </c>
      <c r="F5014" t="s">
        <v>5015</v>
      </c>
    </row>
    <row r="5015" spans="1:6" x14ac:dyDescent="0.25">
      <c r="A5015" t="s">
        <v>4916</v>
      </c>
      <c r="B5015" t="s">
        <v>609</v>
      </c>
      <c r="C5015" t="s">
        <v>610</v>
      </c>
      <c r="D5015" t="str">
        <f>HYPERLINK("http://service.sap.com/sap/support/notes/1744746","1744746")</f>
        <v>1744746</v>
      </c>
      <c r="E5015">
        <v>1</v>
      </c>
      <c r="F5015" t="s">
        <v>5016</v>
      </c>
    </row>
    <row r="5016" spans="1:6" x14ac:dyDescent="0.25">
      <c r="A5016" t="s">
        <v>4916</v>
      </c>
      <c r="B5016" t="s">
        <v>609</v>
      </c>
      <c r="C5016" t="s">
        <v>610</v>
      </c>
      <c r="D5016" t="str">
        <f>HYPERLINK("http://service.sap.com/sap/support/notes/1747341","1747341")</f>
        <v>1747341</v>
      </c>
      <c r="E5016">
        <v>1</v>
      </c>
      <c r="F5016" t="s">
        <v>5017</v>
      </c>
    </row>
    <row r="5017" spans="1:6" x14ac:dyDescent="0.25">
      <c r="A5017" t="s">
        <v>4916</v>
      </c>
      <c r="B5017" t="s">
        <v>609</v>
      </c>
      <c r="C5017" t="s">
        <v>610</v>
      </c>
      <c r="D5017" t="str">
        <f>HYPERLINK("http://service.sap.com/sap/support/notes/1748348","1748348")</f>
        <v>1748348</v>
      </c>
      <c r="E5017">
        <v>2</v>
      </c>
      <c r="F5017" t="s">
        <v>5018</v>
      </c>
    </row>
    <row r="5018" spans="1:6" x14ac:dyDescent="0.25">
      <c r="A5018" t="s">
        <v>4916</v>
      </c>
      <c r="B5018" t="s">
        <v>609</v>
      </c>
      <c r="C5018" t="s">
        <v>610</v>
      </c>
      <c r="D5018" t="str">
        <f>HYPERLINK("http://service.sap.com/sap/support/notes/1749344","1749344")</f>
        <v>1749344</v>
      </c>
      <c r="E5018">
        <v>1</v>
      </c>
      <c r="F5018" t="s">
        <v>5019</v>
      </c>
    </row>
    <row r="5019" spans="1:6" x14ac:dyDescent="0.25">
      <c r="A5019" t="s">
        <v>4916</v>
      </c>
      <c r="B5019" t="s">
        <v>609</v>
      </c>
      <c r="C5019" t="s">
        <v>610</v>
      </c>
      <c r="D5019" t="str">
        <f>HYPERLINK("http://service.sap.com/sap/support/notes/1751882","1751882")</f>
        <v>1751882</v>
      </c>
      <c r="E5019">
        <v>3</v>
      </c>
      <c r="F5019" t="s">
        <v>5020</v>
      </c>
    </row>
    <row r="5020" spans="1:6" x14ac:dyDescent="0.25">
      <c r="A5020" t="s">
        <v>4916</v>
      </c>
      <c r="B5020" t="s">
        <v>112</v>
      </c>
      <c r="C5020" t="s">
        <v>113</v>
      </c>
      <c r="D5020" t="str">
        <f>HYPERLINK("http://service.sap.com/sap/support/notes/1748848","1748848")</f>
        <v>1748848</v>
      </c>
      <c r="E5020">
        <v>4</v>
      </c>
      <c r="F5020" t="s">
        <v>5021</v>
      </c>
    </row>
    <row r="5021" spans="1:6" x14ac:dyDescent="0.25">
      <c r="A5021" t="s">
        <v>4916</v>
      </c>
      <c r="B5021" t="s">
        <v>112</v>
      </c>
      <c r="C5021" t="s">
        <v>113</v>
      </c>
      <c r="D5021" t="str">
        <f>HYPERLINK("http://service.sap.com/sap/support/notes/1754106","1754106")</f>
        <v>1754106</v>
      </c>
      <c r="E5021">
        <v>1</v>
      </c>
      <c r="F5021" t="s">
        <v>5022</v>
      </c>
    </row>
    <row r="5022" spans="1:6" x14ac:dyDescent="0.25">
      <c r="A5022" t="s">
        <v>4916</v>
      </c>
      <c r="B5022" t="s">
        <v>312</v>
      </c>
      <c r="C5022" t="s">
        <v>313</v>
      </c>
      <c r="D5022" t="str">
        <f>HYPERLINK("http://service.sap.com/sap/support/notes/1749887","1749887")</f>
        <v>1749887</v>
      </c>
      <c r="E5022">
        <v>1</v>
      </c>
      <c r="F5022" t="s">
        <v>5023</v>
      </c>
    </row>
    <row r="5023" spans="1:6" x14ac:dyDescent="0.25">
      <c r="A5023" t="s">
        <v>4916</v>
      </c>
      <c r="B5023" t="s">
        <v>114</v>
      </c>
      <c r="C5023" t="s">
        <v>115</v>
      </c>
    </row>
    <row r="5024" spans="1:6" x14ac:dyDescent="0.25">
      <c r="A5024" t="s">
        <v>4916</v>
      </c>
      <c r="B5024" t="s">
        <v>116</v>
      </c>
      <c r="C5024" t="s">
        <v>117</v>
      </c>
      <c r="D5024" t="str">
        <f>HYPERLINK("http://service.sap.com/sap/support/notes/1741635","1741635")</f>
        <v>1741635</v>
      </c>
      <c r="E5024">
        <v>2</v>
      </c>
      <c r="F5024" t="s">
        <v>5024</v>
      </c>
    </row>
    <row r="5025" spans="1:6" x14ac:dyDescent="0.25">
      <c r="A5025" t="s">
        <v>4916</v>
      </c>
      <c r="B5025" t="s">
        <v>120</v>
      </c>
      <c r="C5025" t="s">
        <v>121</v>
      </c>
      <c r="D5025" t="str">
        <f>HYPERLINK("http://service.sap.com/sap/support/notes/1727319","1727319")</f>
        <v>1727319</v>
      </c>
      <c r="E5025">
        <v>2</v>
      </c>
      <c r="F5025" t="s">
        <v>5025</v>
      </c>
    </row>
    <row r="5026" spans="1:6" x14ac:dyDescent="0.25">
      <c r="A5026" t="s">
        <v>4916</v>
      </c>
      <c r="B5026" t="s">
        <v>120</v>
      </c>
      <c r="C5026" t="s">
        <v>121</v>
      </c>
      <c r="D5026" t="str">
        <f>HYPERLINK("http://service.sap.com/sap/support/notes/1738187","1738187")</f>
        <v>1738187</v>
      </c>
      <c r="E5026">
        <v>1</v>
      </c>
      <c r="F5026" t="s">
        <v>5026</v>
      </c>
    </row>
    <row r="5027" spans="1:6" x14ac:dyDescent="0.25">
      <c r="A5027" t="s">
        <v>4916</v>
      </c>
      <c r="B5027" t="s">
        <v>120</v>
      </c>
      <c r="C5027" t="s">
        <v>121</v>
      </c>
      <c r="D5027" t="str">
        <f>HYPERLINK("http://service.sap.com/sap/support/notes/1747551","1747551")</f>
        <v>1747551</v>
      </c>
      <c r="E5027">
        <v>1</v>
      </c>
      <c r="F5027" t="s">
        <v>5027</v>
      </c>
    </row>
    <row r="5028" spans="1:6" x14ac:dyDescent="0.25">
      <c r="A5028" t="s">
        <v>4916</v>
      </c>
      <c r="B5028" t="s">
        <v>120</v>
      </c>
      <c r="C5028" t="s">
        <v>121</v>
      </c>
      <c r="D5028" t="str">
        <f>HYPERLINK("http://service.sap.com/sap/support/notes/1748892","1748892")</f>
        <v>1748892</v>
      </c>
      <c r="E5028">
        <v>1</v>
      </c>
      <c r="F5028" t="s">
        <v>5028</v>
      </c>
    </row>
    <row r="5029" spans="1:6" x14ac:dyDescent="0.25">
      <c r="A5029" t="s">
        <v>4916</v>
      </c>
      <c r="B5029" t="s">
        <v>120</v>
      </c>
      <c r="C5029" t="s">
        <v>121</v>
      </c>
      <c r="D5029" t="str">
        <f>HYPERLINK("http://service.sap.com/sap/support/notes/1749309","1749309")</f>
        <v>1749309</v>
      </c>
      <c r="E5029">
        <v>1</v>
      </c>
      <c r="F5029" t="s">
        <v>5029</v>
      </c>
    </row>
    <row r="5030" spans="1:6" x14ac:dyDescent="0.25">
      <c r="A5030" t="s">
        <v>4916</v>
      </c>
      <c r="B5030" t="s">
        <v>120</v>
      </c>
      <c r="C5030" t="s">
        <v>121</v>
      </c>
      <c r="D5030" t="str">
        <f>HYPERLINK("http://service.sap.com/sap/support/notes/1749641","1749641")</f>
        <v>1749641</v>
      </c>
      <c r="E5030">
        <v>1</v>
      </c>
      <c r="F5030" t="s">
        <v>5030</v>
      </c>
    </row>
    <row r="5031" spans="1:6" x14ac:dyDescent="0.25">
      <c r="A5031" t="s">
        <v>4916</v>
      </c>
      <c r="B5031" t="s">
        <v>122</v>
      </c>
      <c r="C5031" t="s">
        <v>123</v>
      </c>
      <c r="D5031" t="str">
        <f>HYPERLINK("http://service.sap.com/sap/support/notes/1746225","1746225")</f>
        <v>1746225</v>
      </c>
      <c r="E5031">
        <v>1</v>
      </c>
      <c r="F5031" t="s">
        <v>5031</v>
      </c>
    </row>
    <row r="5032" spans="1:6" x14ac:dyDescent="0.25">
      <c r="A5032" t="s">
        <v>4916</v>
      </c>
      <c r="B5032" t="s">
        <v>124</v>
      </c>
      <c r="C5032" t="s">
        <v>82</v>
      </c>
      <c r="D5032" t="str">
        <f>HYPERLINK("http://service.sap.com/sap/support/notes/1649953","1649953")</f>
        <v>1649953</v>
      </c>
      <c r="E5032">
        <v>3</v>
      </c>
      <c r="F5032" t="s">
        <v>5032</v>
      </c>
    </row>
    <row r="5033" spans="1:6" x14ac:dyDescent="0.25">
      <c r="A5033" t="s">
        <v>4916</v>
      </c>
      <c r="B5033" t="s">
        <v>124</v>
      </c>
      <c r="C5033" t="s">
        <v>82</v>
      </c>
      <c r="D5033" t="str">
        <f>HYPERLINK("http://service.sap.com/sap/support/notes/1687248","1687248")</f>
        <v>1687248</v>
      </c>
      <c r="E5033">
        <v>1</v>
      </c>
      <c r="F5033" t="s">
        <v>5033</v>
      </c>
    </row>
    <row r="5034" spans="1:6" x14ac:dyDescent="0.25">
      <c r="A5034" t="s">
        <v>4916</v>
      </c>
      <c r="B5034" t="s">
        <v>124</v>
      </c>
      <c r="C5034" t="s">
        <v>82</v>
      </c>
      <c r="D5034" t="str">
        <f>HYPERLINK("http://service.sap.com/sap/support/notes/1702222","1702222")</f>
        <v>1702222</v>
      </c>
      <c r="E5034">
        <v>2</v>
      </c>
      <c r="F5034" t="s">
        <v>5034</v>
      </c>
    </row>
    <row r="5035" spans="1:6" x14ac:dyDescent="0.25">
      <c r="A5035" t="s">
        <v>4916</v>
      </c>
      <c r="B5035" t="s">
        <v>124</v>
      </c>
      <c r="C5035" t="s">
        <v>82</v>
      </c>
      <c r="D5035" t="str">
        <f>HYPERLINK("http://service.sap.com/sap/support/notes/1745671","1745671")</f>
        <v>1745671</v>
      </c>
      <c r="E5035">
        <v>2</v>
      </c>
      <c r="F5035" t="s">
        <v>5035</v>
      </c>
    </row>
    <row r="5036" spans="1:6" x14ac:dyDescent="0.25">
      <c r="A5036" t="s">
        <v>4916</v>
      </c>
      <c r="B5036" t="s">
        <v>124</v>
      </c>
      <c r="C5036" t="s">
        <v>82</v>
      </c>
      <c r="D5036" t="str">
        <f>HYPERLINK("http://service.sap.com/sap/support/notes/1745941","1745941")</f>
        <v>1745941</v>
      </c>
      <c r="E5036">
        <v>2</v>
      </c>
      <c r="F5036" t="s">
        <v>5036</v>
      </c>
    </row>
    <row r="5037" spans="1:6" x14ac:dyDescent="0.25">
      <c r="A5037" t="s">
        <v>4916</v>
      </c>
      <c r="B5037" t="s">
        <v>124</v>
      </c>
      <c r="C5037" t="s">
        <v>82</v>
      </c>
      <c r="D5037" t="str">
        <f>HYPERLINK("http://service.sap.com/sap/support/notes/1747778","1747778")</f>
        <v>1747778</v>
      </c>
      <c r="E5037">
        <v>1</v>
      </c>
      <c r="F5037" t="s">
        <v>5037</v>
      </c>
    </row>
    <row r="5038" spans="1:6" x14ac:dyDescent="0.25">
      <c r="A5038" t="s">
        <v>4916</v>
      </c>
      <c r="B5038" t="s">
        <v>124</v>
      </c>
      <c r="C5038" t="s">
        <v>82</v>
      </c>
      <c r="D5038" t="str">
        <f>HYPERLINK("http://service.sap.com/sap/support/notes/1748887","1748887")</f>
        <v>1748887</v>
      </c>
      <c r="E5038">
        <v>1</v>
      </c>
      <c r="F5038" t="s">
        <v>5038</v>
      </c>
    </row>
    <row r="5039" spans="1:6" x14ac:dyDescent="0.25">
      <c r="A5039" t="s">
        <v>4916</v>
      </c>
      <c r="B5039" t="s">
        <v>124</v>
      </c>
      <c r="C5039" t="s">
        <v>82</v>
      </c>
      <c r="D5039" t="str">
        <f>HYPERLINK("http://service.sap.com/sap/support/notes/1750263","1750263")</f>
        <v>1750263</v>
      </c>
      <c r="E5039">
        <v>2</v>
      </c>
      <c r="F5039" t="s">
        <v>5039</v>
      </c>
    </row>
    <row r="5040" spans="1:6" x14ac:dyDescent="0.25">
      <c r="A5040" t="s">
        <v>4916</v>
      </c>
      <c r="B5040" t="s">
        <v>127</v>
      </c>
      <c r="C5040" t="s">
        <v>128</v>
      </c>
      <c r="D5040" t="str">
        <f>HYPERLINK("http://service.sap.com/sap/support/notes/1729244","1729244")</f>
        <v>1729244</v>
      </c>
      <c r="E5040">
        <v>2</v>
      </c>
      <c r="F5040" t="s">
        <v>5040</v>
      </c>
    </row>
    <row r="5041" spans="1:6" x14ac:dyDescent="0.25">
      <c r="A5041" t="s">
        <v>4916</v>
      </c>
      <c r="B5041" t="s">
        <v>127</v>
      </c>
      <c r="C5041" t="s">
        <v>128</v>
      </c>
      <c r="D5041" t="str">
        <f>HYPERLINK("http://service.sap.com/sap/support/notes/1742952","1742952")</f>
        <v>1742952</v>
      </c>
      <c r="E5041">
        <v>2</v>
      </c>
      <c r="F5041" t="s">
        <v>5041</v>
      </c>
    </row>
    <row r="5042" spans="1:6" x14ac:dyDescent="0.25">
      <c r="A5042" t="s">
        <v>4916</v>
      </c>
      <c r="B5042" t="s">
        <v>127</v>
      </c>
      <c r="C5042" t="s">
        <v>128</v>
      </c>
      <c r="D5042" t="str">
        <f>HYPERLINK("http://service.sap.com/sap/support/notes/1744993","1744993")</f>
        <v>1744993</v>
      </c>
      <c r="E5042">
        <v>1</v>
      </c>
      <c r="F5042" t="s">
        <v>5042</v>
      </c>
    </row>
    <row r="5043" spans="1:6" x14ac:dyDescent="0.25">
      <c r="A5043" t="s">
        <v>4916</v>
      </c>
      <c r="B5043" t="s">
        <v>127</v>
      </c>
      <c r="C5043" t="s">
        <v>128</v>
      </c>
      <c r="D5043" t="str">
        <f>HYPERLINK("http://service.sap.com/sap/support/notes/1745161","1745161")</f>
        <v>1745161</v>
      </c>
      <c r="E5043">
        <v>1</v>
      </c>
      <c r="F5043" t="s">
        <v>5043</v>
      </c>
    </row>
    <row r="5044" spans="1:6" x14ac:dyDescent="0.25">
      <c r="A5044" t="s">
        <v>4916</v>
      </c>
      <c r="B5044" t="s">
        <v>127</v>
      </c>
      <c r="C5044" t="s">
        <v>128</v>
      </c>
      <c r="D5044" t="str">
        <f>HYPERLINK("http://service.sap.com/sap/support/notes/1745405","1745405")</f>
        <v>1745405</v>
      </c>
      <c r="E5044">
        <v>1</v>
      </c>
      <c r="F5044" t="s">
        <v>5044</v>
      </c>
    </row>
    <row r="5045" spans="1:6" x14ac:dyDescent="0.25">
      <c r="A5045" t="s">
        <v>4916</v>
      </c>
      <c r="B5045" t="s">
        <v>127</v>
      </c>
      <c r="C5045" t="s">
        <v>128</v>
      </c>
      <c r="D5045" t="str">
        <f>HYPERLINK("http://service.sap.com/sap/support/notes/1745490","1745490")</f>
        <v>1745490</v>
      </c>
      <c r="E5045">
        <v>2</v>
      </c>
      <c r="F5045" t="s">
        <v>5045</v>
      </c>
    </row>
    <row r="5046" spans="1:6" x14ac:dyDescent="0.25">
      <c r="A5046" t="s">
        <v>4916</v>
      </c>
      <c r="B5046" t="s">
        <v>127</v>
      </c>
      <c r="C5046" t="s">
        <v>128</v>
      </c>
      <c r="D5046" t="str">
        <f>HYPERLINK("http://service.sap.com/sap/support/notes/1745615","1745615")</f>
        <v>1745615</v>
      </c>
      <c r="E5046">
        <v>3</v>
      </c>
      <c r="F5046" t="s">
        <v>5046</v>
      </c>
    </row>
    <row r="5047" spans="1:6" x14ac:dyDescent="0.25">
      <c r="A5047" t="s">
        <v>4916</v>
      </c>
      <c r="B5047" t="s">
        <v>127</v>
      </c>
      <c r="C5047" t="s">
        <v>128</v>
      </c>
      <c r="D5047" t="str">
        <f>HYPERLINK("http://service.sap.com/sap/support/notes/1745739","1745739")</f>
        <v>1745739</v>
      </c>
      <c r="E5047">
        <v>1</v>
      </c>
      <c r="F5047" t="s">
        <v>5047</v>
      </c>
    </row>
    <row r="5048" spans="1:6" x14ac:dyDescent="0.25">
      <c r="A5048" t="s">
        <v>4916</v>
      </c>
      <c r="B5048" t="s">
        <v>127</v>
      </c>
      <c r="C5048" t="s">
        <v>128</v>
      </c>
      <c r="D5048" t="str">
        <f>HYPERLINK("http://service.sap.com/sap/support/notes/1745945","1745945")</f>
        <v>1745945</v>
      </c>
      <c r="E5048">
        <v>2</v>
      </c>
      <c r="F5048" t="s">
        <v>5048</v>
      </c>
    </row>
    <row r="5049" spans="1:6" x14ac:dyDescent="0.25">
      <c r="A5049" t="s">
        <v>4916</v>
      </c>
      <c r="B5049" t="s">
        <v>127</v>
      </c>
      <c r="C5049" t="s">
        <v>128</v>
      </c>
      <c r="D5049" t="str">
        <f>HYPERLINK("http://service.sap.com/sap/support/notes/1745957","1745957")</f>
        <v>1745957</v>
      </c>
      <c r="E5049">
        <v>1</v>
      </c>
      <c r="F5049" t="s">
        <v>5049</v>
      </c>
    </row>
    <row r="5050" spans="1:6" x14ac:dyDescent="0.25">
      <c r="A5050" t="s">
        <v>4916</v>
      </c>
      <c r="B5050" t="s">
        <v>127</v>
      </c>
      <c r="C5050" t="s">
        <v>128</v>
      </c>
      <c r="D5050" t="str">
        <f>HYPERLINK("http://service.sap.com/sap/support/notes/1746253","1746253")</f>
        <v>1746253</v>
      </c>
      <c r="E5050">
        <v>1</v>
      </c>
      <c r="F5050" t="s">
        <v>5050</v>
      </c>
    </row>
    <row r="5051" spans="1:6" x14ac:dyDescent="0.25">
      <c r="A5051" t="s">
        <v>4916</v>
      </c>
      <c r="B5051" t="s">
        <v>127</v>
      </c>
      <c r="C5051" t="s">
        <v>128</v>
      </c>
      <c r="D5051" t="str">
        <f>HYPERLINK("http://service.sap.com/sap/support/notes/1746299","1746299")</f>
        <v>1746299</v>
      </c>
      <c r="E5051">
        <v>1</v>
      </c>
      <c r="F5051" t="s">
        <v>5051</v>
      </c>
    </row>
    <row r="5052" spans="1:6" x14ac:dyDescent="0.25">
      <c r="A5052" t="s">
        <v>4916</v>
      </c>
      <c r="B5052" t="s">
        <v>127</v>
      </c>
      <c r="C5052" t="s">
        <v>128</v>
      </c>
      <c r="D5052" t="str">
        <f>HYPERLINK("http://service.sap.com/sap/support/notes/1746497","1746497")</f>
        <v>1746497</v>
      </c>
      <c r="E5052">
        <v>1</v>
      </c>
      <c r="F5052" t="s">
        <v>5052</v>
      </c>
    </row>
    <row r="5053" spans="1:6" x14ac:dyDescent="0.25">
      <c r="A5053" t="s">
        <v>4916</v>
      </c>
      <c r="B5053" t="s">
        <v>129</v>
      </c>
      <c r="C5053" t="s">
        <v>130</v>
      </c>
      <c r="D5053" t="str">
        <f>HYPERLINK("http://service.sap.com/sap/support/notes/1731833","1731833")</f>
        <v>1731833</v>
      </c>
      <c r="E5053">
        <v>2</v>
      </c>
      <c r="F5053" t="s">
        <v>5053</v>
      </c>
    </row>
    <row r="5054" spans="1:6" x14ac:dyDescent="0.25">
      <c r="A5054" t="s">
        <v>4916</v>
      </c>
      <c r="B5054" t="s">
        <v>129</v>
      </c>
      <c r="C5054" t="s">
        <v>130</v>
      </c>
      <c r="D5054" t="str">
        <f>HYPERLINK("http://service.sap.com/sap/support/notes/1737716","1737716")</f>
        <v>1737716</v>
      </c>
      <c r="E5054">
        <v>2</v>
      </c>
      <c r="F5054" t="s">
        <v>5054</v>
      </c>
    </row>
    <row r="5055" spans="1:6" x14ac:dyDescent="0.25">
      <c r="A5055" t="s">
        <v>4916</v>
      </c>
      <c r="B5055" t="s">
        <v>129</v>
      </c>
      <c r="C5055" t="s">
        <v>130</v>
      </c>
      <c r="D5055" t="str">
        <f>HYPERLINK("http://service.sap.com/sap/support/notes/1738174","1738174")</f>
        <v>1738174</v>
      </c>
      <c r="E5055">
        <v>4</v>
      </c>
      <c r="F5055" t="s">
        <v>5055</v>
      </c>
    </row>
    <row r="5056" spans="1:6" x14ac:dyDescent="0.25">
      <c r="A5056" t="s">
        <v>4916</v>
      </c>
      <c r="B5056" t="s">
        <v>129</v>
      </c>
      <c r="C5056" t="s">
        <v>130</v>
      </c>
      <c r="D5056" t="str">
        <f>HYPERLINK("http://service.sap.com/sap/support/notes/1746099","1746099")</f>
        <v>1746099</v>
      </c>
      <c r="E5056">
        <v>2</v>
      </c>
      <c r="F5056" t="s">
        <v>5056</v>
      </c>
    </row>
    <row r="5057" spans="1:6" x14ac:dyDescent="0.25">
      <c r="A5057" t="s">
        <v>4916</v>
      </c>
      <c r="B5057" t="s">
        <v>129</v>
      </c>
      <c r="C5057" t="s">
        <v>130</v>
      </c>
      <c r="D5057" t="str">
        <f>HYPERLINK("http://service.sap.com/sap/support/notes/1747097","1747097")</f>
        <v>1747097</v>
      </c>
      <c r="E5057">
        <v>4</v>
      </c>
      <c r="F5057" t="s">
        <v>5057</v>
      </c>
    </row>
    <row r="5058" spans="1:6" x14ac:dyDescent="0.25">
      <c r="A5058" t="s">
        <v>4916</v>
      </c>
      <c r="B5058" t="s">
        <v>131</v>
      </c>
      <c r="C5058" t="s">
        <v>132</v>
      </c>
    </row>
    <row r="5059" spans="1:6" x14ac:dyDescent="0.25">
      <c r="A5059" t="s">
        <v>4916</v>
      </c>
      <c r="B5059" t="s">
        <v>133</v>
      </c>
      <c r="C5059" t="s">
        <v>134</v>
      </c>
      <c r="D5059" t="str">
        <f>HYPERLINK("http://service.sap.com/sap/support/notes/1744681","1744681")</f>
        <v>1744681</v>
      </c>
      <c r="E5059">
        <v>1</v>
      </c>
      <c r="F5059" t="s">
        <v>5058</v>
      </c>
    </row>
    <row r="5060" spans="1:6" x14ac:dyDescent="0.25">
      <c r="A5060" t="s">
        <v>4916</v>
      </c>
      <c r="B5060" t="s">
        <v>135</v>
      </c>
      <c r="C5060" t="s">
        <v>136</v>
      </c>
      <c r="D5060" t="str">
        <f>HYPERLINK("http://service.sap.com/sap/support/notes/1698686","1698686")</f>
        <v>1698686</v>
      </c>
      <c r="E5060">
        <v>7</v>
      </c>
      <c r="F5060" t="s">
        <v>5059</v>
      </c>
    </row>
    <row r="5061" spans="1:6" x14ac:dyDescent="0.25">
      <c r="A5061" t="s">
        <v>4916</v>
      </c>
      <c r="B5061" t="s">
        <v>135</v>
      </c>
      <c r="C5061" t="s">
        <v>136</v>
      </c>
      <c r="D5061" t="str">
        <f>HYPERLINK("http://service.sap.com/sap/support/notes/1724268","1724268")</f>
        <v>1724268</v>
      </c>
      <c r="E5061">
        <v>2</v>
      </c>
      <c r="F5061" t="s">
        <v>5060</v>
      </c>
    </row>
    <row r="5062" spans="1:6" x14ac:dyDescent="0.25">
      <c r="A5062" t="s">
        <v>4916</v>
      </c>
      <c r="B5062" t="s">
        <v>135</v>
      </c>
      <c r="C5062" t="s">
        <v>136</v>
      </c>
      <c r="D5062" t="str">
        <f>HYPERLINK("http://service.sap.com/sap/support/notes/1726794","1726794")</f>
        <v>1726794</v>
      </c>
      <c r="E5062">
        <v>5</v>
      </c>
      <c r="F5062" t="s">
        <v>5061</v>
      </c>
    </row>
    <row r="5063" spans="1:6" x14ac:dyDescent="0.25">
      <c r="A5063" t="s">
        <v>4916</v>
      </c>
      <c r="B5063" t="s">
        <v>135</v>
      </c>
      <c r="C5063" t="s">
        <v>136</v>
      </c>
      <c r="D5063" t="str">
        <f>HYPERLINK("http://service.sap.com/sap/support/notes/1731002","1731002")</f>
        <v>1731002</v>
      </c>
      <c r="E5063">
        <v>2</v>
      </c>
      <c r="F5063" t="s">
        <v>5062</v>
      </c>
    </row>
    <row r="5064" spans="1:6" x14ac:dyDescent="0.25">
      <c r="A5064" t="s">
        <v>4916</v>
      </c>
      <c r="B5064" t="s">
        <v>135</v>
      </c>
      <c r="C5064" t="s">
        <v>136</v>
      </c>
      <c r="D5064" t="str">
        <f>HYPERLINK("http://service.sap.com/sap/support/notes/1733206","1733206")</f>
        <v>1733206</v>
      </c>
      <c r="E5064">
        <v>2</v>
      </c>
      <c r="F5064" t="s">
        <v>5063</v>
      </c>
    </row>
    <row r="5065" spans="1:6" x14ac:dyDescent="0.25">
      <c r="A5065" t="s">
        <v>4916</v>
      </c>
      <c r="B5065" t="s">
        <v>135</v>
      </c>
      <c r="C5065" t="s">
        <v>136</v>
      </c>
      <c r="D5065" t="str">
        <f>HYPERLINK("http://service.sap.com/sap/support/notes/1733720","1733720")</f>
        <v>1733720</v>
      </c>
      <c r="E5065">
        <v>10</v>
      </c>
      <c r="F5065" t="s">
        <v>5064</v>
      </c>
    </row>
    <row r="5066" spans="1:6" x14ac:dyDescent="0.25">
      <c r="A5066" t="s">
        <v>4916</v>
      </c>
      <c r="B5066" t="s">
        <v>135</v>
      </c>
      <c r="C5066" t="s">
        <v>136</v>
      </c>
      <c r="D5066" t="str">
        <f>HYPERLINK("http://service.sap.com/sap/support/notes/1736764","1736764")</f>
        <v>1736764</v>
      </c>
      <c r="E5066">
        <v>2</v>
      </c>
      <c r="F5066" t="s">
        <v>5065</v>
      </c>
    </row>
    <row r="5067" spans="1:6" x14ac:dyDescent="0.25">
      <c r="A5067" t="s">
        <v>4916</v>
      </c>
      <c r="B5067" t="s">
        <v>135</v>
      </c>
      <c r="C5067" t="s">
        <v>136</v>
      </c>
      <c r="D5067" t="str">
        <f>HYPERLINK("http://service.sap.com/sap/support/notes/1739157","1739157")</f>
        <v>1739157</v>
      </c>
      <c r="E5067">
        <v>3</v>
      </c>
      <c r="F5067" t="s">
        <v>5066</v>
      </c>
    </row>
    <row r="5068" spans="1:6" x14ac:dyDescent="0.25">
      <c r="A5068" t="s">
        <v>4916</v>
      </c>
      <c r="B5068" t="s">
        <v>135</v>
      </c>
      <c r="C5068" t="s">
        <v>136</v>
      </c>
      <c r="D5068" t="str">
        <f>HYPERLINK("http://service.sap.com/sap/support/notes/1742089","1742089")</f>
        <v>1742089</v>
      </c>
      <c r="E5068">
        <v>2</v>
      </c>
      <c r="F5068" t="s">
        <v>5067</v>
      </c>
    </row>
    <row r="5069" spans="1:6" x14ac:dyDescent="0.25">
      <c r="A5069" t="s">
        <v>4916</v>
      </c>
      <c r="B5069" t="s">
        <v>135</v>
      </c>
      <c r="C5069" t="s">
        <v>136</v>
      </c>
      <c r="D5069" t="str">
        <f>HYPERLINK("http://service.sap.com/sap/support/notes/1744810","1744810")</f>
        <v>1744810</v>
      </c>
      <c r="E5069">
        <v>3</v>
      </c>
      <c r="F5069" t="s">
        <v>5068</v>
      </c>
    </row>
    <row r="5070" spans="1:6" x14ac:dyDescent="0.25">
      <c r="A5070" t="s">
        <v>4916</v>
      </c>
      <c r="B5070" t="s">
        <v>135</v>
      </c>
      <c r="C5070" t="s">
        <v>136</v>
      </c>
      <c r="D5070" t="str">
        <f>HYPERLINK("http://service.sap.com/sap/support/notes/1745582","1745582")</f>
        <v>1745582</v>
      </c>
      <c r="E5070">
        <v>2</v>
      </c>
      <c r="F5070" t="s">
        <v>5069</v>
      </c>
    </row>
    <row r="5071" spans="1:6" x14ac:dyDescent="0.25">
      <c r="A5071" t="s">
        <v>4916</v>
      </c>
      <c r="B5071" t="s">
        <v>135</v>
      </c>
      <c r="C5071" t="s">
        <v>136</v>
      </c>
      <c r="D5071" t="str">
        <f>HYPERLINK("http://service.sap.com/sap/support/notes/1745772","1745772")</f>
        <v>1745772</v>
      </c>
      <c r="E5071">
        <v>1</v>
      </c>
      <c r="F5071" t="s">
        <v>5070</v>
      </c>
    </row>
    <row r="5072" spans="1:6" x14ac:dyDescent="0.25">
      <c r="A5072" t="s">
        <v>4916</v>
      </c>
      <c r="B5072" t="s">
        <v>135</v>
      </c>
      <c r="C5072" t="s">
        <v>136</v>
      </c>
      <c r="D5072" t="str">
        <f>HYPERLINK("http://service.sap.com/sap/support/notes/1746971","1746971")</f>
        <v>1746971</v>
      </c>
      <c r="E5072">
        <v>2</v>
      </c>
      <c r="F5072" t="s">
        <v>5071</v>
      </c>
    </row>
    <row r="5073" spans="1:6" x14ac:dyDescent="0.25">
      <c r="A5073" t="s">
        <v>4916</v>
      </c>
      <c r="B5073" t="s">
        <v>135</v>
      </c>
      <c r="C5073" t="s">
        <v>136</v>
      </c>
      <c r="D5073" t="str">
        <f>HYPERLINK("http://service.sap.com/sap/support/notes/1747021","1747021")</f>
        <v>1747021</v>
      </c>
      <c r="E5073">
        <v>2</v>
      </c>
      <c r="F5073" t="s">
        <v>5072</v>
      </c>
    </row>
    <row r="5074" spans="1:6" x14ac:dyDescent="0.25">
      <c r="A5074" t="s">
        <v>4916</v>
      </c>
      <c r="B5074" t="s">
        <v>135</v>
      </c>
      <c r="C5074" t="s">
        <v>136</v>
      </c>
      <c r="D5074" t="str">
        <f>HYPERLINK("http://service.sap.com/sap/support/notes/1750033","1750033")</f>
        <v>1750033</v>
      </c>
      <c r="E5074">
        <v>2</v>
      </c>
      <c r="F5074" t="s">
        <v>5073</v>
      </c>
    </row>
    <row r="5075" spans="1:6" x14ac:dyDescent="0.25">
      <c r="A5075" t="s">
        <v>4916</v>
      </c>
      <c r="B5075" t="s">
        <v>135</v>
      </c>
      <c r="C5075" t="s">
        <v>136</v>
      </c>
      <c r="D5075" t="str">
        <f>HYPERLINK("http://service.sap.com/sap/support/notes/1750955","1750955")</f>
        <v>1750955</v>
      </c>
      <c r="E5075">
        <v>1</v>
      </c>
      <c r="F5075" t="s">
        <v>5074</v>
      </c>
    </row>
    <row r="5076" spans="1:6" x14ac:dyDescent="0.25">
      <c r="A5076" t="s">
        <v>4916</v>
      </c>
      <c r="B5076" t="s">
        <v>135</v>
      </c>
      <c r="C5076" t="s">
        <v>136</v>
      </c>
      <c r="D5076" t="str">
        <f>HYPERLINK("http://service.sap.com/sap/support/notes/1750976","1750976")</f>
        <v>1750976</v>
      </c>
      <c r="E5076">
        <v>2</v>
      </c>
      <c r="F5076" t="s">
        <v>5075</v>
      </c>
    </row>
    <row r="5077" spans="1:6" x14ac:dyDescent="0.25">
      <c r="A5077" t="s">
        <v>4916</v>
      </c>
      <c r="B5077" t="s">
        <v>135</v>
      </c>
      <c r="C5077" t="s">
        <v>136</v>
      </c>
      <c r="D5077" t="str">
        <f>HYPERLINK("http://service.sap.com/sap/support/notes/1752468","1752468")</f>
        <v>1752468</v>
      </c>
      <c r="E5077">
        <v>4</v>
      </c>
      <c r="F5077" t="s">
        <v>5076</v>
      </c>
    </row>
    <row r="5078" spans="1:6" x14ac:dyDescent="0.25">
      <c r="A5078" t="s">
        <v>4916</v>
      </c>
      <c r="B5078" t="s">
        <v>135</v>
      </c>
      <c r="C5078" t="s">
        <v>136</v>
      </c>
      <c r="D5078" t="str">
        <f>HYPERLINK("http://service.sap.com/sap/support/notes/1752929","1752929")</f>
        <v>1752929</v>
      </c>
      <c r="E5078">
        <v>1</v>
      </c>
      <c r="F5078" t="s">
        <v>5077</v>
      </c>
    </row>
    <row r="5079" spans="1:6" x14ac:dyDescent="0.25">
      <c r="A5079" t="s">
        <v>4916</v>
      </c>
      <c r="B5079" t="s">
        <v>135</v>
      </c>
      <c r="C5079" t="s">
        <v>136</v>
      </c>
      <c r="D5079" t="str">
        <f>HYPERLINK("http://service.sap.com/sap/support/notes/1753771","1753771")</f>
        <v>1753771</v>
      </c>
      <c r="E5079">
        <v>1</v>
      </c>
      <c r="F5079" t="s">
        <v>5078</v>
      </c>
    </row>
    <row r="5080" spans="1:6" x14ac:dyDescent="0.25">
      <c r="A5080" t="s">
        <v>4916</v>
      </c>
      <c r="B5080" t="s">
        <v>137</v>
      </c>
      <c r="C5080" t="s">
        <v>40</v>
      </c>
      <c r="D5080" t="str">
        <f>HYPERLINK("http://service.sap.com/sap/support/notes/1741330","1741330")</f>
        <v>1741330</v>
      </c>
      <c r="E5080">
        <v>4</v>
      </c>
      <c r="F5080" t="s">
        <v>5079</v>
      </c>
    </row>
    <row r="5081" spans="1:6" x14ac:dyDescent="0.25">
      <c r="A5081" t="s">
        <v>4916</v>
      </c>
      <c r="B5081" t="s">
        <v>138</v>
      </c>
      <c r="C5081" t="s">
        <v>42</v>
      </c>
      <c r="D5081" t="str">
        <f>HYPERLINK("http://service.sap.com/sap/support/notes/1716891","1716891")</f>
        <v>1716891</v>
      </c>
      <c r="E5081">
        <v>5</v>
      </c>
      <c r="F5081" t="s">
        <v>5080</v>
      </c>
    </row>
    <row r="5082" spans="1:6" x14ac:dyDescent="0.25">
      <c r="A5082" t="s">
        <v>4916</v>
      </c>
      <c r="B5082" t="s">
        <v>138</v>
      </c>
      <c r="C5082" t="s">
        <v>42</v>
      </c>
      <c r="D5082" t="str">
        <f>HYPERLINK("http://service.sap.com/sap/support/notes/1735359","1735359")</f>
        <v>1735359</v>
      </c>
      <c r="E5082">
        <v>2</v>
      </c>
      <c r="F5082" t="s">
        <v>5081</v>
      </c>
    </row>
    <row r="5083" spans="1:6" x14ac:dyDescent="0.25">
      <c r="A5083" t="s">
        <v>4916</v>
      </c>
      <c r="B5083" t="s">
        <v>138</v>
      </c>
      <c r="C5083" t="s">
        <v>42</v>
      </c>
      <c r="D5083" t="str">
        <f>HYPERLINK("http://service.sap.com/sap/support/notes/1742372","1742372")</f>
        <v>1742372</v>
      </c>
      <c r="E5083">
        <v>1</v>
      </c>
      <c r="F5083" t="s">
        <v>5082</v>
      </c>
    </row>
    <row r="5084" spans="1:6" x14ac:dyDescent="0.25">
      <c r="A5084" t="s">
        <v>4916</v>
      </c>
      <c r="B5084" t="s">
        <v>138</v>
      </c>
      <c r="C5084" t="s">
        <v>42</v>
      </c>
      <c r="D5084" t="str">
        <f>HYPERLINK("http://service.sap.com/sap/support/notes/1743510","1743510")</f>
        <v>1743510</v>
      </c>
      <c r="E5084">
        <v>2</v>
      </c>
      <c r="F5084" t="s">
        <v>5083</v>
      </c>
    </row>
    <row r="5085" spans="1:6" x14ac:dyDescent="0.25">
      <c r="A5085" t="s">
        <v>4916</v>
      </c>
      <c r="B5085" t="s">
        <v>138</v>
      </c>
      <c r="C5085" t="s">
        <v>42</v>
      </c>
      <c r="D5085" t="str">
        <f>HYPERLINK("http://service.sap.com/sap/support/notes/1743614","1743614")</f>
        <v>1743614</v>
      </c>
      <c r="E5085">
        <v>4</v>
      </c>
      <c r="F5085" t="s">
        <v>5084</v>
      </c>
    </row>
    <row r="5086" spans="1:6" x14ac:dyDescent="0.25">
      <c r="A5086" t="s">
        <v>4916</v>
      </c>
      <c r="B5086" t="s">
        <v>138</v>
      </c>
      <c r="C5086" t="s">
        <v>42</v>
      </c>
      <c r="D5086" t="str">
        <f>HYPERLINK("http://service.sap.com/sap/support/notes/1743952","1743952")</f>
        <v>1743952</v>
      </c>
      <c r="E5086">
        <v>1</v>
      </c>
      <c r="F5086" t="s">
        <v>5085</v>
      </c>
    </row>
    <row r="5087" spans="1:6" x14ac:dyDescent="0.25">
      <c r="A5087" t="s">
        <v>4916</v>
      </c>
      <c r="B5087" t="s">
        <v>138</v>
      </c>
      <c r="C5087" t="s">
        <v>42</v>
      </c>
      <c r="D5087" t="str">
        <f>HYPERLINK("http://service.sap.com/sap/support/notes/1744696","1744696")</f>
        <v>1744696</v>
      </c>
      <c r="E5087">
        <v>9</v>
      </c>
      <c r="F5087" t="s">
        <v>5086</v>
      </c>
    </row>
    <row r="5088" spans="1:6" x14ac:dyDescent="0.25">
      <c r="A5088" t="s">
        <v>4916</v>
      </c>
      <c r="B5088" t="s">
        <v>138</v>
      </c>
      <c r="C5088" t="s">
        <v>42</v>
      </c>
      <c r="D5088" t="str">
        <f>HYPERLINK("http://service.sap.com/sap/support/notes/1745029","1745029")</f>
        <v>1745029</v>
      </c>
      <c r="E5088">
        <v>2</v>
      </c>
      <c r="F5088" t="s">
        <v>5087</v>
      </c>
    </row>
    <row r="5089" spans="1:6" x14ac:dyDescent="0.25">
      <c r="A5089" t="s">
        <v>4916</v>
      </c>
      <c r="B5089" t="s">
        <v>138</v>
      </c>
      <c r="C5089" t="s">
        <v>42</v>
      </c>
      <c r="D5089" t="str">
        <f>HYPERLINK("http://service.sap.com/sap/support/notes/1745406","1745406")</f>
        <v>1745406</v>
      </c>
      <c r="E5089">
        <v>6</v>
      </c>
      <c r="F5089" t="s">
        <v>5088</v>
      </c>
    </row>
    <row r="5090" spans="1:6" x14ac:dyDescent="0.25">
      <c r="A5090" t="s">
        <v>4916</v>
      </c>
      <c r="B5090" t="s">
        <v>138</v>
      </c>
      <c r="C5090" t="s">
        <v>42</v>
      </c>
      <c r="D5090" t="str">
        <f>HYPERLINK("http://service.sap.com/sap/support/notes/1745973","1745973")</f>
        <v>1745973</v>
      </c>
      <c r="E5090">
        <v>3</v>
      </c>
      <c r="F5090" t="s">
        <v>5089</v>
      </c>
    </row>
    <row r="5091" spans="1:6" x14ac:dyDescent="0.25">
      <c r="A5091" t="s">
        <v>4916</v>
      </c>
      <c r="B5091" t="s">
        <v>138</v>
      </c>
      <c r="C5091" t="s">
        <v>42</v>
      </c>
      <c r="D5091" t="str">
        <f>HYPERLINK("http://service.sap.com/sap/support/notes/1746904","1746904")</f>
        <v>1746904</v>
      </c>
      <c r="E5091">
        <v>1</v>
      </c>
      <c r="F5091" t="s">
        <v>5090</v>
      </c>
    </row>
    <row r="5092" spans="1:6" x14ac:dyDescent="0.25">
      <c r="A5092" t="s">
        <v>4916</v>
      </c>
      <c r="B5092" t="s">
        <v>138</v>
      </c>
      <c r="C5092" t="s">
        <v>42</v>
      </c>
      <c r="D5092" t="str">
        <f>HYPERLINK("http://service.sap.com/sap/support/notes/1747288","1747288")</f>
        <v>1747288</v>
      </c>
      <c r="E5092">
        <v>2</v>
      </c>
      <c r="F5092" t="s">
        <v>5091</v>
      </c>
    </row>
    <row r="5093" spans="1:6" x14ac:dyDescent="0.25">
      <c r="A5093" t="s">
        <v>4916</v>
      </c>
      <c r="B5093" t="s">
        <v>138</v>
      </c>
      <c r="C5093" t="s">
        <v>42</v>
      </c>
      <c r="D5093" t="str">
        <f>HYPERLINK("http://service.sap.com/sap/support/notes/1747443","1747443")</f>
        <v>1747443</v>
      </c>
      <c r="E5093">
        <v>1</v>
      </c>
      <c r="F5093" t="s">
        <v>5092</v>
      </c>
    </row>
    <row r="5094" spans="1:6" x14ac:dyDescent="0.25">
      <c r="A5094" t="s">
        <v>4916</v>
      </c>
      <c r="B5094" t="s">
        <v>138</v>
      </c>
      <c r="C5094" t="s">
        <v>42</v>
      </c>
      <c r="D5094" t="str">
        <f>HYPERLINK("http://service.sap.com/sap/support/notes/1747873","1747873")</f>
        <v>1747873</v>
      </c>
      <c r="E5094">
        <v>3</v>
      </c>
      <c r="F5094" t="s">
        <v>5093</v>
      </c>
    </row>
    <row r="5095" spans="1:6" x14ac:dyDescent="0.25">
      <c r="A5095" t="s">
        <v>4916</v>
      </c>
      <c r="B5095" t="s">
        <v>138</v>
      </c>
      <c r="C5095" t="s">
        <v>42</v>
      </c>
      <c r="D5095" t="str">
        <f>HYPERLINK("http://service.sap.com/sap/support/notes/1747885","1747885")</f>
        <v>1747885</v>
      </c>
      <c r="E5095">
        <v>1</v>
      </c>
      <c r="F5095" t="s">
        <v>5094</v>
      </c>
    </row>
    <row r="5096" spans="1:6" x14ac:dyDescent="0.25">
      <c r="A5096" t="s">
        <v>4916</v>
      </c>
      <c r="B5096" t="s">
        <v>138</v>
      </c>
      <c r="C5096" t="s">
        <v>42</v>
      </c>
      <c r="D5096" t="str">
        <f>HYPERLINK("http://service.sap.com/sap/support/notes/1749677","1749677")</f>
        <v>1749677</v>
      </c>
      <c r="E5096">
        <v>3</v>
      </c>
      <c r="F5096" t="s">
        <v>5095</v>
      </c>
    </row>
    <row r="5097" spans="1:6" x14ac:dyDescent="0.25">
      <c r="A5097" t="s">
        <v>4916</v>
      </c>
      <c r="B5097" t="s">
        <v>138</v>
      </c>
      <c r="C5097" t="s">
        <v>42</v>
      </c>
      <c r="D5097" t="str">
        <f>HYPERLINK("http://service.sap.com/sap/support/notes/1750144","1750144")</f>
        <v>1750144</v>
      </c>
      <c r="E5097">
        <v>6</v>
      </c>
      <c r="F5097" t="s">
        <v>5096</v>
      </c>
    </row>
    <row r="5098" spans="1:6" x14ac:dyDescent="0.25">
      <c r="A5098" t="s">
        <v>4916</v>
      </c>
      <c r="B5098" t="s">
        <v>138</v>
      </c>
      <c r="C5098" t="s">
        <v>42</v>
      </c>
      <c r="D5098" t="str">
        <f>HYPERLINK("http://service.sap.com/sap/support/notes/1752226","1752226")</f>
        <v>1752226</v>
      </c>
      <c r="E5098">
        <v>3</v>
      </c>
      <c r="F5098" t="s">
        <v>5097</v>
      </c>
    </row>
    <row r="5099" spans="1:6" x14ac:dyDescent="0.25">
      <c r="A5099" t="s">
        <v>4916</v>
      </c>
      <c r="B5099" t="s">
        <v>138</v>
      </c>
      <c r="C5099" t="s">
        <v>42</v>
      </c>
      <c r="D5099" t="str">
        <f>HYPERLINK("http://service.sap.com/sap/support/notes/1752297","1752297")</f>
        <v>1752297</v>
      </c>
      <c r="E5099">
        <v>1</v>
      </c>
      <c r="F5099" t="s">
        <v>5098</v>
      </c>
    </row>
    <row r="5100" spans="1:6" x14ac:dyDescent="0.25">
      <c r="A5100" t="s">
        <v>4916</v>
      </c>
      <c r="B5100" t="s">
        <v>138</v>
      </c>
      <c r="C5100" t="s">
        <v>42</v>
      </c>
      <c r="D5100" t="str">
        <f>HYPERLINK("http://service.sap.com/sap/support/notes/1753608","1753608")</f>
        <v>1753608</v>
      </c>
      <c r="E5100">
        <v>2</v>
      </c>
      <c r="F5100" t="s">
        <v>5099</v>
      </c>
    </row>
    <row r="5101" spans="1:6" x14ac:dyDescent="0.25">
      <c r="A5101" t="s">
        <v>4916</v>
      </c>
      <c r="B5101" t="s">
        <v>138</v>
      </c>
      <c r="C5101" t="s">
        <v>42</v>
      </c>
      <c r="D5101" t="str">
        <f>HYPERLINK("http://service.sap.com/sap/support/notes/1754500","1754500")</f>
        <v>1754500</v>
      </c>
      <c r="E5101">
        <v>1</v>
      </c>
      <c r="F5101" t="s">
        <v>5100</v>
      </c>
    </row>
    <row r="5102" spans="1:6" x14ac:dyDescent="0.25">
      <c r="A5102" t="s">
        <v>4916</v>
      </c>
      <c r="B5102" t="s">
        <v>139</v>
      </c>
      <c r="C5102" t="s">
        <v>140</v>
      </c>
      <c r="D5102" t="str">
        <f>HYPERLINK("http://service.sap.com/sap/support/notes/1718507","1718507")</f>
        <v>1718507</v>
      </c>
      <c r="E5102">
        <v>1</v>
      </c>
      <c r="F5102" t="s">
        <v>5101</v>
      </c>
    </row>
    <row r="5103" spans="1:6" x14ac:dyDescent="0.25">
      <c r="A5103" t="s">
        <v>4916</v>
      </c>
      <c r="B5103" t="s">
        <v>139</v>
      </c>
      <c r="C5103" t="s">
        <v>140</v>
      </c>
      <c r="D5103" t="str">
        <f>HYPERLINK("http://service.sap.com/sap/support/notes/1729728","1729728")</f>
        <v>1729728</v>
      </c>
      <c r="E5103">
        <v>3</v>
      </c>
      <c r="F5103" t="s">
        <v>5102</v>
      </c>
    </row>
    <row r="5104" spans="1:6" x14ac:dyDescent="0.25">
      <c r="A5104" t="s">
        <v>4916</v>
      </c>
      <c r="B5104" t="s">
        <v>139</v>
      </c>
      <c r="C5104" t="s">
        <v>140</v>
      </c>
      <c r="D5104" t="str">
        <f>HYPERLINK("http://service.sap.com/sap/support/notes/1745611","1745611")</f>
        <v>1745611</v>
      </c>
      <c r="E5104">
        <v>1</v>
      </c>
      <c r="F5104" t="s">
        <v>5103</v>
      </c>
    </row>
    <row r="5105" spans="1:6" x14ac:dyDescent="0.25">
      <c r="A5105" t="s">
        <v>4916</v>
      </c>
      <c r="B5105" t="s">
        <v>322</v>
      </c>
      <c r="C5105" t="s">
        <v>115</v>
      </c>
    </row>
    <row r="5106" spans="1:6" x14ac:dyDescent="0.25">
      <c r="A5106" t="s">
        <v>4916</v>
      </c>
      <c r="B5106" t="s">
        <v>427</v>
      </c>
      <c r="C5106" t="s">
        <v>428</v>
      </c>
      <c r="D5106" t="str">
        <f>HYPERLINK("http://service.sap.com/sap/support/notes/1602196","1602196")</f>
        <v>1602196</v>
      </c>
      <c r="E5106">
        <v>2</v>
      </c>
      <c r="F5106" t="s">
        <v>5104</v>
      </c>
    </row>
    <row r="5107" spans="1:6" x14ac:dyDescent="0.25">
      <c r="A5107" t="s">
        <v>4916</v>
      </c>
      <c r="B5107" t="s">
        <v>427</v>
      </c>
      <c r="C5107" t="s">
        <v>428</v>
      </c>
      <c r="D5107" t="str">
        <f>HYPERLINK("http://service.sap.com/sap/support/notes/1717199","1717199")</f>
        <v>1717199</v>
      </c>
      <c r="E5107">
        <v>1</v>
      </c>
      <c r="F5107" t="s">
        <v>5105</v>
      </c>
    </row>
    <row r="5108" spans="1:6" x14ac:dyDescent="0.25">
      <c r="A5108" t="s">
        <v>4916</v>
      </c>
      <c r="B5108" t="s">
        <v>142</v>
      </c>
      <c r="C5108" t="s">
        <v>82</v>
      </c>
      <c r="D5108" t="str">
        <f>HYPERLINK("http://service.sap.com/sap/support/notes/1658816","1658816")</f>
        <v>1658816</v>
      </c>
      <c r="E5108">
        <v>3</v>
      </c>
      <c r="F5108" t="s">
        <v>5106</v>
      </c>
    </row>
    <row r="5109" spans="1:6" x14ac:dyDescent="0.25">
      <c r="A5109" t="s">
        <v>4916</v>
      </c>
      <c r="B5109" t="s">
        <v>142</v>
      </c>
      <c r="C5109" t="s">
        <v>82</v>
      </c>
      <c r="D5109" t="str">
        <f>HYPERLINK("http://service.sap.com/sap/support/notes/1697236","1697236")</f>
        <v>1697236</v>
      </c>
      <c r="E5109">
        <v>2</v>
      </c>
      <c r="F5109" t="s">
        <v>5107</v>
      </c>
    </row>
    <row r="5110" spans="1:6" x14ac:dyDescent="0.25">
      <c r="A5110" t="s">
        <v>4916</v>
      </c>
      <c r="B5110" t="s">
        <v>142</v>
      </c>
      <c r="C5110" t="s">
        <v>82</v>
      </c>
      <c r="D5110" t="str">
        <f>HYPERLINK("http://service.sap.com/sap/support/notes/1750494","1750494")</f>
        <v>1750494</v>
      </c>
      <c r="E5110">
        <v>2</v>
      </c>
      <c r="F5110" t="s">
        <v>5108</v>
      </c>
    </row>
    <row r="5111" spans="1:6" x14ac:dyDescent="0.25">
      <c r="A5111" t="s">
        <v>4916</v>
      </c>
      <c r="B5111" t="s">
        <v>142</v>
      </c>
      <c r="C5111" t="s">
        <v>82</v>
      </c>
      <c r="D5111" t="str">
        <f>HYPERLINK("http://service.sap.com/sap/support/notes/1758529","1758529")</f>
        <v>1758529</v>
      </c>
      <c r="E5111">
        <v>1</v>
      </c>
      <c r="F5111" t="s">
        <v>5109</v>
      </c>
    </row>
    <row r="5112" spans="1:6" x14ac:dyDescent="0.25">
      <c r="A5112" t="s">
        <v>4916</v>
      </c>
      <c r="B5112" t="s">
        <v>143</v>
      </c>
      <c r="C5112" t="s">
        <v>132</v>
      </c>
    </row>
    <row r="5113" spans="1:6" x14ac:dyDescent="0.25">
      <c r="A5113" t="s">
        <v>4916</v>
      </c>
      <c r="B5113" t="s">
        <v>144</v>
      </c>
      <c r="C5113" t="s">
        <v>145</v>
      </c>
      <c r="D5113" t="str">
        <f>HYPERLINK("http://service.sap.com/sap/support/notes/1743366","1743366")</f>
        <v>1743366</v>
      </c>
      <c r="E5113">
        <v>2</v>
      </c>
      <c r="F5113" t="s">
        <v>5110</v>
      </c>
    </row>
    <row r="5114" spans="1:6" x14ac:dyDescent="0.25">
      <c r="A5114" t="s">
        <v>4916</v>
      </c>
      <c r="B5114" t="s">
        <v>144</v>
      </c>
      <c r="C5114" t="s">
        <v>145</v>
      </c>
      <c r="D5114" t="str">
        <f>HYPERLINK("http://service.sap.com/sap/support/notes/1746182","1746182")</f>
        <v>1746182</v>
      </c>
      <c r="E5114">
        <v>1</v>
      </c>
      <c r="F5114" t="s">
        <v>5111</v>
      </c>
    </row>
    <row r="5115" spans="1:6" x14ac:dyDescent="0.25">
      <c r="A5115" t="s">
        <v>4916</v>
      </c>
      <c r="B5115" t="s">
        <v>144</v>
      </c>
      <c r="C5115" t="s">
        <v>145</v>
      </c>
      <c r="D5115" t="str">
        <f>HYPERLINK("http://service.sap.com/sap/support/notes/1746314","1746314")</f>
        <v>1746314</v>
      </c>
      <c r="E5115">
        <v>2</v>
      </c>
      <c r="F5115" t="s">
        <v>5112</v>
      </c>
    </row>
    <row r="5116" spans="1:6" x14ac:dyDescent="0.25">
      <c r="A5116" t="s">
        <v>4916</v>
      </c>
      <c r="B5116" t="s">
        <v>144</v>
      </c>
      <c r="C5116" t="s">
        <v>145</v>
      </c>
      <c r="D5116" t="str">
        <f>HYPERLINK("http://service.sap.com/sap/support/notes/1748871","1748871")</f>
        <v>1748871</v>
      </c>
      <c r="E5116">
        <v>1</v>
      </c>
      <c r="F5116" t="s">
        <v>5113</v>
      </c>
    </row>
    <row r="5117" spans="1:6" x14ac:dyDescent="0.25">
      <c r="A5117" t="s">
        <v>4916</v>
      </c>
      <c r="B5117" t="s">
        <v>144</v>
      </c>
      <c r="C5117" t="s">
        <v>145</v>
      </c>
      <c r="D5117" t="str">
        <f>HYPERLINK("http://service.sap.com/sap/support/notes/1753972","1753972")</f>
        <v>1753972</v>
      </c>
      <c r="E5117">
        <v>2</v>
      </c>
      <c r="F5117" t="s">
        <v>5114</v>
      </c>
    </row>
    <row r="5118" spans="1:6" x14ac:dyDescent="0.25">
      <c r="A5118" t="s">
        <v>4916</v>
      </c>
      <c r="B5118" t="s">
        <v>146</v>
      </c>
      <c r="C5118" t="s">
        <v>147</v>
      </c>
      <c r="D5118" t="str">
        <f>HYPERLINK("http://service.sap.com/sap/support/notes/1722525","1722525")</f>
        <v>1722525</v>
      </c>
      <c r="E5118">
        <v>3</v>
      </c>
      <c r="F5118" t="s">
        <v>4406</v>
      </c>
    </row>
    <row r="5119" spans="1:6" x14ac:dyDescent="0.25">
      <c r="A5119" t="s">
        <v>4916</v>
      </c>
      <c r="B5119" t="s">
        <v>149</v>
      </c>
      <c r="C5119" t="s">
        <v>150</v>
      </c>
      <c r="D5119" t="str">
        <f>HYPERLINK("http://service.sap.com/sap/support/notes/1669205","1669205")</f>
        <v>1669205</v>
      </c>
      <c r="E5119">
        <v>1</v>
      </c>
      <c r="F5119" t="s">
        <v>2694</v>
      </c>
    </row>
    <row r="5120" spans="1:6" x14ac:dyDescent="0.25">
      <c r="A5120" t="s">
        <v>4916</v>
      </c>
      <c r="B5120" t="s">
        <v>149</v>
      </c>
      <c r="C5120" t="s">
        <v>150</v>
      </c>
      <c r="D5120" t="str">
        <f>HYPERLINK("http://service.sap.com/sap/support/notes/1716710","1716710")</f>
        <v>1716710</v>
      </c>
      <c r="E5120">
        <v>2</v>
      </c>
      <c r="F5120" t="s">
        <v>5115</v>
      </c>
    </row>
    <row r="5121" spans="1:6" x14ac:dyDescent="0.25">
      <c r="A5121" t="s">
        <v>4916</v>
      </c>
      <c r="B5121" t="s">
        <v>149</v>
      </c>
      <c r="C5121" t="s">
        <v>150</v>
      </c>
      <c r="D5121" t="str">
        <f>HYPERLINK("http://service.sap.com/sap/support/notes/1717742","1717742")</f>
        <v>1717742</v>
      </c>
      <c r="E5121">
        <v>4</v>
      </c>
      <c r="F5121" t="s">
        <v>5116</v>
      </c>
    </row>
    <row r="5122" spans="1:6" x14ac:dyDescent="0.25">
      <c r="A5122" t="s">
        <v>4916</v>
      </c>
      <c r="B5122" t="s">
        <v>149</v>
      </c>
      <c r="C5122" t="s">
        <v>150</v>
      </c>
      <c r="D5122" t="str">
        <f>HYPERLINK("http://service.sap.com/sap/support/notes/1717783","1717783")</f>
        <v>1717783</v>
      </c>
      <c r="E5122">
        <v>2</v>
      </c>
      <c r="F5122" t="s">
        <v>4409</v>
      </c>
    </row>
    <row r="5123" spans="1:6" x14ac:dyDescent="0.25">
      <c r="A5123" t="s">
        <v>4916</v>
      </c>
      <c r="B5123" t="s">
        <v>149</v>
      </c>
      <c r="C5123" t="s">
        <v>150</v>
      </c>
      <c r="D5123" t="str">
        <f>HYPERLINK("http://service.sap.com/sap/support/notes/1729461","1729461")</f>
        <v>1729461</v>
      </c>
      <c r="E5123">
        <v>1</v>
      </c>
      <c r="F5123" t="s">
        <v>5117</v>
      </c>
    </row>
    <row r="5124" spans="1:6" x14ac:dyDescent="0.25">
      <c r="A5124" t="s">
        <v>4916</v>
      </c>
      <c r="B5124" t="s">
        <v>149</v>
      </c>
      <c r="C5124" t="s">
        <v>150</v>
      </c>
      <c r="D5124" t="str">
        <f>HYPERLINK("http://service.sap.com/sap/support/notes/1748186","1748186")</f>
        <v>1748186</v>
      </c>
      <c r="E5124">
        <v>1</v>
      </c>
      <c r="F5124" t="s">
        <v>5118</v>
      </c>
    </row>
    <row r="5125" spans="1:6" x14ac:dyDescent="0.25">
      <c r="A5125" t="s">
        <v>4916</v>
      </c>
      <c r="B5125" t="s">
        <v>149</v>
      </c>
      <c r="C5125" t="s">
        <v>150</v>
      </c>
      <c r="D5125" t="str">
        <f>HYPERLINK("http://service.sap.com/sap/support/notes/1752703","1752703")</f>
        <v>1752703</v>
      </c>
      <c r="E5125">
        <v>2</v>
      </c>
      <c r="F5125" t="s">
        <v>5119</v>
      </c>
    </row>
    <row r="5126" spans="1:6" x14ac:dyDescent="0.25">
      <c r="A5126" t="s">
        <v>4916</v>
      </c>
      <c r="B5126" t="s">
        <v>152</v>
      </c>
      <c r="C5126" t="s">
        <v>47</v>
      </c>
      <c r="D5126" t="str">
        <f>HYPERLINK("http://service.sap.com/sap/support/notes/1702254","1702254")</f>
        <v>1702254</v>
      </c>
      <c r="E5126">
        <v>2</v>
      </c>
      <c r="F5126" t="s">
        <v>4019</v>
      </c>
    </row>
    <row r="5127" spans="1:6" x14ac:dyDescent="0.25">
      <c r="A5127" t="s">
        <v>4916</v>
      </c>
      <c r="B5127" t="s">
        <v>152</v>
      </c>
      <c r="C5127" t="s">
        <v>47</v>
      </c>
      <c r="D5127" t="str">
        <f>HYPERLINK("http://service.sap.com/sap/support/notes/1735881","1735881")</f>
        <v>1735881</v>
      </c>
      <c r="E5127">
        <v>3</v>
      </c>
      <c r="F5127" t="s">
        <v>5120</v>
      </c>
    </row>
    <row r="5128" spans="1:6" x14ac:dyDescent="0.25">
      <c r="A5128" t="s">
        <v>4916</v>
      </c>
      <c r="B5128" t="s">
        <v>152</v>
      </c>
      <c r="C5128" t="s">
        <v>47</v>
      </c>
      <c r="D5128" t="str">
        <f>HYPERLINK("http://service.sap.com/sap/support/notes/1739643","1739643")</f>
        <v>1739643</v>
      </c>
      <c r="E5128">
        <v>2</v>
      </c>
      <c r="F5128" t="s">
        <v>5121</v>
      </c>
    </row>
    <row r="5129" spans="1:6" x14ac:dyDescent="0.25">
      <c r="A5129" t="s">
        <v>4916</v>
      </c>
      <c r="B5129" t="s">
        <v>152</v>
      </c>
      <c r="C5129" t="s">
        <v>47</v>
      </c>
      <c r="D5129" t="str">
        <f>HYPERLINK("http://service.sap.com/sap/support/notes/1740743","1740743")</f>
        <v>1740743</v>
      </c>
      <c r="E5129">
        <v>5</v>
      </c>
      <c r="F5129" t="s">
        <v>5122</v>
      </c>
    </row>
    <row r="5130" spans="1:6" x14ac:dyDescent="0.25">
      <c r="A5130" t="s">
        <v>4916</v>
      </c>
      <c r="B5130" t="s">
        <v>152</v>
      </c>
      <c r="C5130" t="s">
        <v>47</v>
      </c>
      <c r="D5130" t="str">
        <f>HYPERLINK("http://service.sap.com/sap/support/notes/1743285","1743285")</f>
        <v>1743285</v>
      </c>
      <c r="E5130">
        <v>3</v>
      </c>
      <c r="F5130" t="s">
        <v>5123</v>
      </c>
    </row>
    <row r="5131" spans="1:6" x14ac:dyDescent="0.25">
      <c r="A5131" t="s">
        <v>4916</v>
      </c>
      <c r="B5131" t="s">
        <v>152</v>
      </c>
      <c r="C5131" t="s">
        <v>47</v>
      </c>
      <c r="D5131" t="str">
        <f>HYPERLINK("http://service.sap.com/sap/support/notes/1746605","1746605")</f>
        <v>1746605</v>
      </c>
      <c r="E5131">
        <v>2</v>
      </c>
      <c r="F5131" t="s">
        <v>5124</v>
      </c>
    </row>
    <row r="5132" spans="1:6" x14ac:dyDescent="0.25">
      <c r="A5132" t="s">
        <v>4916</v>
      </c>
      <c r="B5132" t="s">
        <v>152</v>
      </c>
      <c r="C5132" t="s">
        <v>47</v>
      </c>
      <c r="D5132" t="str">
        <f>HYPERLINK("http://service.sap.com/sap/support/notes/1748261","1748261")</f>
        <v>1748261</v>
      </c>
      <c r="E5132">
        <v>2</v>
      </c>
      <c r="F5132" t="s">
        <v>5125</v>
      </c>
    </row>
    <row r="5133" spans="1:6" x14ac:dyDescent="0.25">
      <c r="A5133" t="s">
        <v>4916</v>
      </c>
      <c r="B5133" t="s">
        <v>152</v>
      </c>
      <c r="C5133" t="s">
        <v>47</v>
      </c>
      <c r="D5133" t="str">
        <f>HYPERLINK("http://service.sap.com/sap/support/notes/1748654","1748654")</f>
        <v>1748654</v>
      </c>
      <c r="E5133">
        <v>2</v>
      </c>
      <c r="F5133" t="s">
        <v>5126</v>
      </c>
    </row>
    <row r="5134" spans="1:6" x14ac:dyDescent="0.25">
      <c r="A5134" t="s">
        <v>4916</v>
      </c>
      <c r="B5134" t="s">
        <v>152</v>
      </c>
      <c r="C5134" t="s">
        <v>47</v>
      </c>
      <c r="D5134" t="str">
        <f>HYPERLINK("http://service.sap.com/sap/support/notes/1749826","1749826")</f>
        <v>1749826</v>
      </c>
      <c r="E5134">
        <v>2</v>
      </c>
      <c r="F5134" t="s">
        <v>5127</v>
      </c>
    </row>
    <row r="5135" spans="1:6" x14ac:dyDescent="0.25">
      <c r="A5135" t="s">
        <v>4916</v>
      </c>
      <c r="B5135" t="s">
        <v>152</v>
      </c>
      <c r="C5135" t="s">
        <v>47</v>
      </c>
      <c r="D5135" t="str">
        <f>HYPERLINK("http://service.sap.com/sap/support/notes/1749831","1749831")</f>
        <v>1749831</v>
      </c>
      <c r="E5135">
        <v>2</v>
      </c>
      <c r="F5135" t="s">
        <v>5128</v>
      </c>
    </row>
    <row r="5136" spans="1:6" x14ac:dyDescent="0.25">
      <c r="A5136" t="s">
        <v>4916</v>
      </c>
      <c r="B5136" t="s">
        <v>152</v>
      </c>
      <c r="C5136" t="s">
        <v>47</v>
      </c>
      <c r="D5136" t="str">
        <f>HYPERLINK("http://service.sap.com/sap/support/notes/1751143","1751143")</f>
        <v>1751143</v>
      </c>
      <c r="E5136">
        <v>2</v>
      </c>
      <c r="F5136" t="s">
        <v>5129</v>
      </c>
    </row>
    <row r="5137" spans="1:6" x14ac:dyDescent="0.25">
      <c r="A5137" t="s">
        <v>4916</v>
      </c>
      <c r="B5137" t="s">
        <v>155</v>
      </c>
      <c r="C5137" t="s">
        <v>49</v>
      </c>
      <c r="D5137" t="str">
        <f>HYPERLINK("http://service.sap.com/sap/support/notes/1644348","1644348")</f>
        <v>1644348</v>
      </c>
      <c r="E5137">
        <v>2</v>
      </c>
      <c r="F5137" t="s">
        <v>5130</v>
      </c>
    </row>
    <row r="5138" spans="1:6" x14ac:dyDescent="0.25">
      <c r="A5138" t="s">
        <v>4916</v>
      </c>
      <c r="B5138" t="s">
        <v>155</v>
      </c>
      <c r="C5138" t="s">
        <v>49</v>
      </c>
      <c r="D5138" t="str">
        <f>HYPERLINK("http://service.sap.com/sap/support/notes/1714869","1714869")</f>
        <v>1714869</v>
      </c>
      <c r="E5138">
        <v>2</v>
      </c>
      <c r="F5138" t="s">
        <v>5131</v>
      </c>
    </row>
    <row r="5139" spans="1:6" x14ac:dyDescent="0.25">
      <c r="A5139" t="s">
        <v>4916</v>
      </c>
      <c r="B5139" t="s">
        <v>155</v>
      </c>
      <c r="C5139" t="s">
        <v>49</v>
      </c>
      <c r="D5139" t="str">
        <f>HYPERLINK("http://service.sap.com/sap/support/notes/1744767","1744767")</f>
        <v>1744767</v>
      </c>
      <c r="E5139">
        <v>3</v>
      </c>
      <c r="F5139" t="s">
        <v>5132</v>
      </c>
    </row>
    <row r="5140" spans="1:6" x14ac:dyDescent="0.25">
      <c r="A5140" t="s">
        <v>4916</v>
      </c>
      <c r="B5140" t="s">
        <v>156</v>
      </c>
      <c r="C5140" t="s">
        <v>52</v>
      </c>
      <c r="D5140" t="str">
        <f>HYPERLINK("http://service.sap.com/sap/support/notes/1728806","1728806")</f>
        <v>1728806</v>
      </c>
      <c r="E5140">
        <v>2</v>
      </c>
      <c r="F5140" t="s">
        <v>5133</v>
      </c>
    </row>
    <row r="5141" spans="1:6" x14ac:dyDescent="0.25">
      <c r="A5141" t="s">
        <v>4916</v>
      </c>
      <c r="B5141" t="s">
        <v>156</v>
      </c>
      <c r="C5141" t="s">
        <v>52</v>
      </c>
      <c r="D5141" t="str">
        <f>HYPERLINK("http://service.sap.com/sap/support/notes/1744962","1744962")</f>
        <v>1744962</v>
      </c>
      <c r="E5141">
        <v>1</v>
      </c>
      <c r="F5141" t="s">
        <v>5134</v>
      </c>
    </row>
    <row r="5142" spans="1:6" x14ac:dyDescent="0.25">
      <c r="A5142" t="s">
        <v>4916</v>
      </c>
      <c r="B5142" t="s">
        <v>156</v>
      </c>
      <c r="C5142" t="s">
        <v>52</v>
      </c>
      <c r="D5142" t="str">
        <f>HYPERLINK("http://service.sap.com/sap/support/notes/1747025","1747025")</f>
        <v>1747025</v>
      </c>
      <c r="E5142">
        <v>1</v>
      </c>
      <c r="F5142" t="s">
        <v>5135</v>
      </c>
    </row>
    <row r="5143" spans="1:6" x14ac:dyDescent="0.25">
      <c r="A5143" t="s">
        <v>4916</v>
      </c>
      <c r="B5143" t="s">
        <v>157</v>
      </c>
      <c r="C5143" t="s">
        <v>132</v>
      </c>
    </row>
    <row r="5144" spans="1:6" x14ac:dyDescent="0.25">
      <c r="A5144" t="s">
        <v>4916</v>
      </c>
      <c r="B5144" t="s">
        <v>596</v>
      </c>
      <c r="C5144" t="s">
        <v>597</v>
      </c>
      <c r="D5144" t="str">
        <f>HYPERLINK("http://service.sap.com/sap/support/notes/1752029","1752029")</f>
        <v>1752029</v>
      </c>
      <c r="E5144">
        <v>2</v>
      </c>
      <c r="F5144" t="s">
        <v>5136</v>
      </c>
    </row>
    <row r="5145" spans="1:6" x14ac:dyDescent="0.25">
      <c r="A5145" t="s">
        <v>4916</v>
      </c>
      <c r="B5145" t="s">
        <v>158</v>
      </c>
      <c r="C5145" t="s">
        <v>54</v>
      </c>
      <c r="D5145" t="str">
        <f>HYPERLINK("http://service.sap.com/sap/support/notes/1752016","1752016")</f>
        <v>1752016</v>
      </c>
      <c r="E5145">
        <v>3</v>
      </c>
      <c r="F5145" t="s">
        <v>5137</v>
      </c>
    </row>
    <row r="5146" spans="1:6" x14ac:dyDescent="0.25">
      <c r="A5146" t="s">
        <v>4916</v>
      </c>
      <c r="B5146" t="s">
        <v>159</v>
      </c>
      <c r="C5146" t="s">
        <v>160</v>
      </c>
    </row>
    <row r="5147" spans="1:6" x14ac:dyDescent="0.25">
      <c r="A5147" t="s">
        <v>4916</v>
      </c>
      <c r="B5147" t="s">
        <v>161</v>
      </c>
      <c r="C5147" t="s">
        <v>162</v>
      </c>
      <c r="D5147" t="str">
        <f>HYPERLINK("http://service.sap.com/sap/support/notes/1742018","1742018")</f>
        <v>1742018</v>
      </c>
      <c r="E5147">
        <v>2</v>
      </c>
      <c r="F5147" t="s">
        <v>5138</v>
      </c>
    </row>
    <row r="5148" spans="1:6" x14ac:dyDescent="0.25">
      <c r="A5148" t="s">
        <v>4916</v>
      </c>
      <c r="B5148" t="s">
        <v>163</v>
      </c>
      <c r="C5148" t="s">
        <v>56</v>
      </c>
      <c r="D5148" t="str">
        <f>HYPERLINK("http://service.sap.com/sap/support/notes/1720116","1720116")</f>
        <v>1720116</v>
      </c>
      <c r="E5148">
        <v>2</v>
      </c>
      <c r="F5148" t="s">
        <v>5139</v>
      </c>
    </row>
    <row r="5149" spans="1:6" x14ac:dyDescent="0.25">
      <c r="A5149" t="s">
        <v>4916</v>
      </c>
      <c r="B5149" t="s">
        <v>163</v>
      </c>
      <c r="C5149" t="s">
        <v>56</v>
      </c>
      <c r="D5149" t="str">
        <f>HYPERLINK("http://service.sap.com/sap/support/notes/1736288","1736288")</f>
        <v>1736288</v>
      </c>
      <c r="E5149">
        <v>1</v>
      </c>
      <c r="F5149" t="s">
        <v>5140</v>
      </c>
    </row>
    <row r="5150" spans="1:6" x14ac:dyDescent="0.25">
      <c r="A5150" t="s">
        <v>4916</v>
      </c>
      <c r="B5150" t="s">
        <v>163</v>
      </c>
      <c r="C5150" t="s">
        <v>56</v>
      </c>
      <c r="D5150" t="str">
        <f>HYPERLINK("http://service.sap.com/sap/support/notes/1743791","1743791")</f>
        <v>1743791</v>
      </c>
      <c r="E5150">
        <v>1</v>
      </c>
      <c r="F5150" t="s">
        <v>5141</v>
      </c>
    </row>
    <row r="5151" spans="1:6" x14ac:dyDescent="0.25">
      <c r="A5151" t="s">
        <v>4916</v>
      </c>
      <c r="B5151" t="s">
        <v>163</v>
      </c>
      <c r="C5151" t="s">
        <v>56</v>
      </c>
      <c r="D5151" t="str">
        <f>HYPERLINK("http://service.sap.com/sap/support/notes/1750019","1750019")</f>
        <v>1750019</v>
      </c>
      <c r="E5151">
        <v>1</v>
      </c>
      <c r="F5151" t="s">
        <v>5142</v>
      </c>
    </row>
    <row r="5152" spans="1:6" x14ac:dyDescent="0.25">
      <c r="A5152" t="s">
        <v>4916</v>
      </c>
      <c r="B5152" t="s">
        <v>163</v>
      </c>
      <c r="C5152" t="s">
        <v>56</v>
      </c>
      <c r="D5152" t="str">
        <f>HYPERLINK("http://service.sap.com/sap/support/notes/1752644","1752644")</f>
        <v>1752644</v>
      </c>
      <c r="E5152">
        <v>1</v>
      </c>
      <c r="F5152" t="s">
        <v>5143</v>
      </c>
    </row>
    <row r="5153" spans="1:6" x14ac:dyDescent="0.25">
      <c r="A5153" t="s">
        <v>4916</v>
      </c>
      <c r="B5153" t="s">
        <v>164</v>
      </c>
      <c r="C5153" t="s">
        <v>165</v>
      </c>
      <c r="D5153" t="str">
        <f>HYPERLINK("http://service.sap.com/sap/support/notes/1699480","1699480")</f>
        <v>1699480</v>
      </c>
      <c r="E5153">
        <v>2</v>
      </c>
      <c r="F5153" t="s">
        <v>4829</v>
      </c>
    </row>
    <row r="5154" spans="1:6" x14ac:dyDescent="0.25">
      <c r="A5154" t="s">
        <v>4916</v>
      </c>
      <c r="B5154" t="s">
        <v>164</v>
      </c>
      <c r="C5154" t="s">
        <v>165</v>
      </c>
      <c r="D5154" t="str">
        <f>HYPERLINK("http://service.sap.com/sap/support/notes/1745643","1745643")</f>
        <v>1745643</v>
      </c>
      <c r="E5154">
        <v>1</v>
      </c>
      <c r="F5154" t="s">
        <v>5144</v>
      </c>
    </row>
    <row r="5155" spans="1:6" x14ac:dyDescent="0.25">
      <c r="A5155" t="s">
        <v>4916</v>
      </c>
      <c r="B5155" t="s">
        <v>164</v>
      </c>
      <c r="C5155" t="s">
        <v>165</v>
      </c>
      <c r="D5155" t="str">
        <f>HYPERLINK("http://service.sap.com/sap/support/notes/1746199","1746199")</f>
        <v>1746199</v>
      </c>
      <c r="E5155">
        <v>1</v>
      </c>
      <c r="F5155" t="s">
        <v>5145</v>
      </c>
    </row>
    <row r="5156" spans="1:6" x14ac:dyDescent="0.25">
      <c r="A5156" t="s">
        <v>4916</v>
      </c>
      <c r="B5156" t="s">
        <v>166</v>
      </c>
      <c r="C5156" t="s">
        <v>167</v>
      </c>
      <c r="D5156" t="str">
        <f>HYPERLINK("http://service.sap.com/sap/support/notes/1714264","1714264")</f>
        <v>1714264</v>
      </c>
      <c r="E5156">
        <v>2</v>
      </c>
      <c r="F5156" t="s">
        <v>5146</v>
      </c>
    </row>
    <row r="5157" spans="1:6" x14ac:dyDescent="0.25">
      <c r="A5157" t="s">
        <v>4916</v>
      </c>
      <c r="B5157" t="s">
        <v>166</v>
      </c>
      <c r="C5157" t="s">
        <v>167</v>
      </c>
      <c r="D5157" t="str">
        <f>HYPERLINK("http://service.sap.com/sap/support/notes/1731333","1731333")</f>
        <v>1731333</v>
      </c>
      <c r="E5157">
        <v>2</v>
      </c>
      <c r="F5157" t="s">
        <v>5147</v>
      </c>
    </row>
    <row r="5158" spans="1:6" x14ac:dyDescent="0.25">
      <c r="A5158" t="s">
        <v>4916</v>
      </c>
      <c r="B5158" t="s">
        <v>166</v>
      </c>
      <c r="C5158" t="s">
        <v>167</v>
      </c>
      <c r="D5158" t="str">
        <f>HYPERLINK("http://service.sap.com/sap/support/notes/1738142","1738142")</f>
        <v>1738142</v>
      </c>
      <c r="E5158">
        <v>3</v>
      </c>
      <c r="F5158" t="s">
        <v>5148</v>
      </c>
    </row>
    <row r="5159" spans="1:6" x14ac:dyDescent="0.25">
      <c r="A5159" t="s">
        <v>4916</v>
      </c>
      <c r="B5159" t="s">
        <v>166</v>
      </c>
      <c r="C5159" t="s">
        <v>167</v>
      </c>
      <c r="D5159" t="str">
        <f>HYPERLINK("http://service.sap.com/sap/support/notes/1740173","1740173")</f>
        <v>1740173</v>
      </c>
      <c r="E5159">
        <v>2</v>
      </c>
      <c r="F5159" t="s">
        <v>5149</v>
      </c>
    </row>
    <row r="5160" spans="1:6" x14ac:dyDescent="0.25">
      <c r="A5160" t="s">
        <v>4916</v>
      </c>
      <c r="B5160" t="s">
        <v>327</v>
      </c>
      <c r="C5160" t="s">
        <v>399</v>
      </c>
      <c r="D5160" t="str">
        <f>HYPERLINK("http://service.sap.com/sap/support/notes/1740671","1740671")</f>
        <v>1740671</v>
      </c>
      <c r="E5160">
        <v>5</v>
      </c>
      <c r="F5160" t="s">
        <v>5150</v>
      </c>
    </row>
    <row r="5161" spans="1:6" x14ac:dyDescent="0.25">
      <c r="A5161" t="s">
        <v>4916</v>
      </c>
      <c r="B5161" t="s">
        <v>171</v>
      </c>
      <c r="C5161" t="s">
        <v>172</v>
      </c>
      <c r="D5161" t="str">
        <f>HYPERLINK("http://service.sap.com/sap/support/notes/1691704","1691704")</f>
        <v>1691704</v>
      </c>
      <c r="E5161">
        <v>1</v>
      </c>
      <c r="F5161" t="s">
        <v>5151</v>
      </c>
    </row>
    <row r="5162" spans="1:6" x14ac:dyDescent="0.25">
      <c r="A5162" t="s">
        <v>4916</v>
      </c>
      <c r="B5162" t="s">
        <v>171</v>
      </c>
      <c r="C5162" t="s">
        <v>172</v>
      </c>
      <c r="D5162" t="str">
        <f>HYPERLINK("http://service.sap.com/sap/support/notes/1730674","1730674")</f>
        <v>1730674</v>
      </c>
      <c r="E5162">
        <v>1</v>
      </c>
      <c r="F5162" t="s">
        <v>5152</v>
      </c>
    </row>
    <row r="5163" spans="1:6" x14ac:dyDescent="0.25">
      <c r="A5163" t="s">
        <v>4916</v>
      </c>
      <c r="B5163" t="s">
        <v>173</v>
      </c>
      <c r="C5163" t="s">
        <v>174</v>
      </c>
      <c r="D5163" t="str">
        <f>HYPERLINK("http://service.sap.com/sap/support/notes/1729971","1729971")</f>
        <v>1729971</v>
      </c>
      <c r="E5163">
        <v>1</v>
      </c>
      <c r="F5163" t="s">
        <v>5153</v>
      </c>
    </row>
    <row r="5164" spans="1:6" x14ac:dyDescent="0.25">
      <c r="A5164" t="s">
        <v>4916</v>
      </c>
      <c r="B5164" t="s">
        <v>175</v>
      </c>
      <c r="C5164" t="s">
        <v>176</v>
      </c>
      <c r="D5164" t="str">
        <f>HYPERLINK("http://service.sap.com/sap/support/notes/1728720","1728720")</f>
        <v>1728720</v>
      </c>
      <c r="E5164">
        <v>12</v>
      </c>
      <c r="F5164" t="s">
        <v>5154</v>
      </c>
    </row>
    <row r="5165" spans="1:6" x14ac:dyDescent="0.25">
      <c r="A5165" t="s">
        <v>4916</v>
      </c>
      <c r="B5165" t="s">
        <v>175</v>
      </c>
      <c r="C5165" t="s">
        <v>176</v>
      </c>
      <c r="D5165" t="str">
        <f>HYPERLINK("http://service.sap.com/sap/support/notes/1737778","1737778")</f>
        <v>1737778</v>
      </c>
      <c r="E5165">
        <v>3</v>
      </c>
      <c r="F5165" t="s">
        <v>5155</v>
      </c>
    </row>
    <row r="5166" spans="1:6" x14ac:dyDescent="0.25">
      <c r="A5166" t="s">
        <v>4916</v>
      </c>
      <c r="B5166" t="s">
        <v>175</v>
      </c>
      <c r="C5166" t="s">
        <v>176</v>
      </c>
      <c r="D5166" t="str">
        <f>HYPERLINK("http://service.sap.com/sap/support/notes/1742525","1742525")</f>
        <v>1742525</v>
      </c>
      <c r="E5166">
        <v>2</v>
      </c>
      <c r="F5166" t="s">
        <v>5156</v>
      </c>
    </row>
    <row r="5167" spans="1:6" x14ac:dyDescent="0.25">
      <c r="A5167" t="s">
        <v>4916</v>
      </c>
      <c r="B5167" t="s">
        <v>175</v>
      </c>
      <c r="C5167" t="s">
        <v>176</v>
      </c>
      <c r="D5167" t="str">
        <f>HYPERLINK("http://service.sap.com/sap/support/notes/1743160","1743160")</f>
        <v>1743160</v>
      </c>
      <c r="E5167">
        <v>3</v>
      </c>
      <c r="F5167" t="s">
        <v>5157</v>
      </c>
    </row>
    <row r="5168" spans="1:6" x14ac:dyDescent="0.25">
      <c r="A5168" t="s">
        <v>4916</v>
      </c>
      <c r="B5168" t="s">
        <v>175</v>
      </c>
      <c r="C5168" t="s">
        <v>176</v>
      </c>
      <c r="D5168" t="str">
        <f>HYPERLINK("http://service.sap.com/sap/support/notes/1743538","1743538")</f>
        <v>1743538</v>
      </c>
      <c r="E5168">
        <v>2</v>
      </c>
      <c r="F5168" t="s">
        <v>5158</v>
      </c>
    </row>
    <row r="5169" spans="1:6" x14ac:dyDescent="0.25">
      <c r="A5169" t="s">
        <v>4916</v>
      </c>
      <c r="B5169" t="s">
        <v>175</v>
      </c>
      <c r="C5169" t="s">
        <v>176</v>
      </c>
      <c r="D5169" t="str">
        <f>HYPERLINK("http://service.sap.com/sap/support/notes/1744315","1744315")</f>
        <v>1744315</v>
      </c>
      <c r="E5169">
        <v>3</v>
      </c>
      <c r="F5169" t="s">
        <v>5159</v>
      </c>
    </row>
    <row r="5170" spans="1:6" x14ac:dyDescent="0.25">
      <c r="A5170" t="s">
        <v>4916</v>
      </c>
      <c r="B5170" t="s">
        <v>175</v>
      </c>
      <c r="C5170" t="s">
        <v>176</v>
      </c>
      <c r="D5170" t="str">
        <f>HYPERLINK("http://service.sap.com/sap/support/notes/1749035","1749035")</f>
        <v>1749035</v>
      </c>
      <c r="E5170">
        <v>1</v>
      </c>
      <c r="F5170" t="s">
        <v>5160</v>
      </c>
    </row>
    <row r="5171" spans="1:6" x14ac:dyDescent="0.25">
      <c r="A5171" t="s">
        <v>4916</v>
      </c>
      <c r="B5171" t="s">
        <v>175</v>
      </c>
      <c r="C5171" t="s">
        <v>176</v>
      </c>
      <c r="D5171" t="str">
        <f>HYPERLINK("http://service.sap.com/sap/support/notes/1750474","1750474")</f>
        <v>1750474</v>
      </c>
      <c r="E5171">
        <v>1</v>
      </c>
      <c r="F5171" t="s">
        <v>5161</v>
      </c>
    </row>
    <row r="5172" spans="1:6" x14ac:dyDescent="0.25">
      <c r="A5172" t="s">
        <v>4916</v>
      </c>
      <c r="B5172" t="s">
        <v>175</v>
      </c>
      <c r="C5172" t="s">
        <v>176</v>
      </c>
      <c r="D5172" t="str">
        <f>HYPERLINK("http://service.sap.com/sap/support/notes/1751402","1751402")</f>
        <v>1751402</v>
      </c>
      <c r="E5172">
        <v>2</v>
      </c>
      <c r="F5172" t="s">
        <v>5162</v>
      </c>
    </row>
    <row r="5173" spans="1:6" x14ac:dyDescent="0.25">
      <c r="A5173" t="s">
        <v>4916</v>
      </c>
      <c r="B5173" t="s">
        <v>175</v>
      </c>
      <c r="C5173" t="s">
        <v>176</v>
      </c>
      <c r="D5173" t="str">
        <f>HYPERLINK("http://service.sap.com/sap/support/notes/1751445","1751445")</f>
        <v>1751445</v>
      </c>
      <c r="E5173">
        <v>1</v>
      </c>
      <c r="F5173" t="s">
        <v>5163</v>
      </c>
    </row>
    <row r="5174" spans="1:6" x14ac:dyDescent="0.25">
      <c r="A5174" t="s">
        <v>4916</v>
      </c>
      <c r="B5174" t="s">
        <v>175</v>
      </c>
      <c r="C5174" t="s">
        <v>176</v>
      </c>
      <c r="D5174" t="str">
        <f>HYPERLINK("http://service.sap.com/sap/support/notes/1752341","1752341")</f>
        <v>1752341</v>
      </c>
      <c r="E5174">
        <v>2</v>
      </c>
      <c r="F5174" t="s">
        <v>5164</v>
      </c>
    </row>
    <row r="5175" spans="1:6" x14ac:dyDescent="0.25">
      <c r="A5175" t="s">
        <v>4916</v>
      </c>
      <c r="B5175" t="s">
        <v>177</v>
      </c>
      <c r="C5175" t="s">
        <v>178</v>
      </c>
      <c r="D5175" t="str">
        <f>HYPERLINK("http://service.sap.com/sap/support/notes/1715970","1715970")</f>
        <v>1715970</v>
      </c>
      <c r="E5175">
        <v>7</v>
      </c>
      <c r="F5175" t="s">
        <v>5165</v>
      </c>
    </row>
    <row r="5176" spans="1:6" x14ac:dyDescent="0.25">
      <c r="A5176" t="s">
        <v>4916</v>
      </c>
      <c r="B5176" t="s">
        <v>177</v>
      </c>
      <c r="C5176" t="s">
        <v>178</v>
      </c>
      <c r="D5176" t="str">
        <f>HYPERLINK("http://service.sap.com/sap/support/notes/1723676","1723676")</f>
        <v>1723676</v>
      </c>
      <c r="E5176">
        <v>2</v>
      </c>
      <c r="F5176" t="s">
        <v>5166</v>
      </c>
    </row>
    <row r="5177" spans="1:6" x14ac:dyDescent="0.25">
      <c r="A5177" t="s">
        <v>4916</v>
      </c>
      <c r="B5177" t="s">
        <v>177</v>
      </c>
      <c r="C5177" t="s">
        <v>178</v>
      </c>
      <c r="D5177" t="str">
        <f>HYPERLINK("http://service.sap.com/sap/support/notes/1743196","1743196")</f>
        <v>1743196</v>
      </c>
      <c r="E5177">
        <v>3</v>
      </c>
      <c r="F5177" t="s">
        <v>5167</v>
      </c>
    </row>
    <row r="5178" spans="1:6" x14ac:dyDescent="0.25">
      <c r="A5178" t="s">
        <v>4916</v>
      </c>
      <c r="B5178" t="s">
        <v>179</v>
      </c>
      <c r="C5178" t="s">
        <v>180</v>
      </c>
      <c r="D5178" t="str">
        <f>HYPERLINK("http://service.sap.com/sap/support/notes/1741172","1741172")</f>
        <v>1741172</v>
      </c>
      <c r="E5178">
        <v>3</v>
      </c>
      <c r="F5178" t="s">
        <v>5168</v>
      </c>
    </row>
    <row r="5179" spans="1:6" x14ac:dyDescent="0.25">
      <c r="A5179" t="s">
        <v>4916</v>
      </c>
      <c r="B5179" t="s">
        <v>179</v>
      </c>
      <c r="C5179" t="s">
        <v>180</v>
      </c>
      <c r="D5179" t="str">
        <f>HYPERLINK("http://service.sap.com/sap/support/notes/1745988","1745988")</f>
        <v>1745988</v>
      </c>
      <c r="E5179">
        <v>2</v>
      </c>
      <c r="F5179" t="s">
        <v>5169</v>
      </c>
    </row>
    <row r="5180" spans="1:6" x14ac:dyDescent="0.25">
      <c r="A5180" t="s">
        <v>4916</v>
      </c>
      <c r="B5180" t="s">
        <v>179</v>
      </c>
      <c r="C5180" t="s">
        <v>180</v>
      </c>
      <c r="D5180" t="str">
        <f>HYPERLINK("http://service.sap.com/sap/support/notes/1750772","1750772")</f>
        <v>1750772</v>
      </c>
      <c r="E5180">
        <v>2</v>
      </c>
      <c r="F5180" t="s">
        <v>5170</v>
      </c>
    </row>
    <row r="5181" spans="1:6" x14ac:dyDescent="0.25">
      <c r="A5181" t="s">
        <v>4916</v>
      </c>
      <c r="B5181" t="s">
        <v>181</v>
      </c>
      <c r="C5181" t="s">
        <v>182</v>
      </c>
      <c r="D5181" t="str">
        <f>HYPERLINK("http://service.sap.com/sap/support/notes/1730197","1730197")</f>
        <v>1730197</v>
      </c>
      <c r="E5181">
        <v>3</v>
      </c>
      <c r="F5181" t="s">
        <v>5171</v>
      </c>
    </row>
    <row r="5182" spans="1:6" x14ac:dyDescent="0.25">
      <c r="A5182" t="s">
        <v>4916</v>
      </c>
      <c r="B5182" t="s">
        <v>181</v>
      </c>
      <c r="C5182" t="s">
        <v>182</v>
      </c>
      <c r="D5182" t="str">
        <f>HYPERLINK("http://service.sap.com/sap/support/notes/1751717","1751717")</f>
        <v>1751717</v>
      </c>
      <c r="E5182">
        <v>3</v>
      </c>
      <c r="F5182" t="s">
        <v>5172</v>
      </c>
    </row>
    <row r="5183" spans="1:6" x14ac:dyDescent="0.25">
      <c r="A5183" t="s">
        <v>4916</v>
      </c>
      <c r="B5183" t="s">
        <v>185</v>
      </c>
      <c r="C5183" t="s">
        <v>186</v>
      </c>
      <c r="D5183" t="str">
        <f>HYPERLINK("http://service.sap.com/sap/support/notes/1719045","1719045")</f>
        <v>1719045</v>
      </c>
      <c r="E5183">
        <v>3</v>
      </c>
      <c r="F5183" t="s">
        <v>4882</v>
      </c>
    </row>
    <row r="5184" spans="1:6" x14ac:dyDescent="0.25">
      <c r="A5184" t="s">
        <v>4916</v>
      </c>
      <c r="B5184" t="s">
        <v>185</v>
      </c>
      <c r="C5184" t="s">
        <v>186</v>
      </c>
      <c r="D5184" t="str">
        <f>HYPERLINK("http://service.sap.com/sap/support/notes/1740234","1740234")</f>
        <v>1740234</v>
      </c>
      <c r="E5184">
        <v>1</v>
      </c>
      <c r="F5184" t="s">
        <v>5173</v>
      </c>
    </row>
    <row r="5185" spans="1:6" x14ac:dyDescent="0.25">
      <c r="A5185" t="s">
        <v>4916</v>
      </c>
      <c r="B5185" t="s">
        <v>185</v>
      </c>
      <c r="C5185" t="s">
        <v>186</v>
      </c>
      <c r="D5185" t="str">
        <f>HYPERLINK("http://service.sap.com/sap/support/notes/1745404","1745404")</f>
        <v>1745404</v>
      </c>
      <c r="E5185">
        <v>1</v>
      </c>
      <c r="F5185" t="s">
        <v>5174</v>
      </c>
    </row>
    <row r="5186" spans="1:6" x14ac:dyDescent="0.25">
      <c r="A5186" t="s">
        <v>4916</v>
      </c>
      <c r="B5186" t="s">
        <v>185</v>
      </c>
      <c r="C5186" t="s">
        <v>186</v>
      </c>
      <c r="D5186" t="str">
        <f>HYPERLINK("http://service.sap.com/sap/support/notes/1746123","1746123")</f>
        <v>1746123</v>
      </c>
      <c r="E5186">
        <v>1</v>
      </c>
      <c r="F5186" t="s">
        <v>5175</v>
      </c>
    </row>
    <row r="5187" spans="1:6" x14ac:dyDescent="0.25">
      <c r="A5187" t="s">
        <v>4916</v>
      </c>
      <c r="B5187" t="s">
        <v>185</v>
      </c>
      <c r="C5187" t="s">
        <v>186</v>
      </c>
      <c r="D5187" t="str">
        <f>HYPERLINK("http://service.sap.com/sap/support/notes/1752679","1752679")</f>
        <v>1752679</v>
      </c>
      <c r="E5187">
        <v>1</v>
      </c>
      <c r="F5187" t="s">
        <v>5176</v>
      </c>
    </row>
    <row r="5188" spans="1:6" x14ac:dyDescent="0.25">
      <c r="A5188" t="s">
        <v>4916</v>
      </c>
      <c r="B5188" t="s">
        <v>188</v>
      </c>
      <c r="C5188" t="s">
        <v>60</v>
      </c>
      <c r="D5188" t="str">
        <f>HYPERLINK("http://service.sap.com/sap/support/notes/1743790","1743790")</f>
        <v>1743790</v>
      </c>
      <c r="E5188">
        <v>1</v>
      </c>
      <c r="F5188" t="s">
        <v>5177</v>
      </c>
    </row>
    <row r="5189" spans="1:6" x14ac:dyDescent="0.25">
      <c r="A5189" t="s">
        <v>4916</v>
      </c>
      <c r="B5189" t="s">
        <v>188</v>
      </c>
      <c r="C5189" t="s">
        <v>60</v>
      </c>
      <c r="D5189" t="str">
        <f>HYPERLINK("http://service.sap.com/sap/support/notes/1751333","1751333")</f>
        <v>1751333</v>
      </c>
      <c r="E5189">
        <v>1</v>
      </c>
      <c r="F5189" t="s">
        <v>5178</v>
      </c>
    </row>
    <row r="5190" spans="1:6" x14ac:dyDescent="0.25">
      <c r="A5190" t="s">
        <v>4916</v>
      </c>
      <c r="B5190" t="s">
        <v>189</v>
      </c>
      <c r="C5190" t="s">
        <v>190</v>
      </c>
      <c r="D5190" t="str">
        <f>HYPERLINK("http://service.sap.com/sap/support/notes/1674239","1674239")</f>
        <v>1674239</v>
      </c>
      <c r="E5190">
        <v>1</v>
      </c>
      <c r="F5190" t="s">
        <v>5179</v>
      </c>
    </row>
    <row r="5191" spans="1:6" x14ac:dyDescent="0.25">
      <c r="A5191" t="s">
        <v>4916</v>
      </c>
      <c r="B5191" t="s">
        <v>189</v>
      </c>
      <c r="C5191" t="s">
        <v>190</v>
      </c>
      <c r="D5191" t="str">
        <f>HYPERLINK("http://service.sap.com/sap/support/notes/1747608","1747608")</f>
        <v>1747608</v>
      </c>
      <c r="E5191">
        <v>3</v>
      </c>
      <c r="F5191" t="s">
        <v>5180</v>
      </c>
    </row>
    <row r="5192" spans="1:6" x14ac:dyDescent="0.25">
      <c r="A5192" t="s">
        <v>4916</v>
      </c>
      <c r="B5192" t="s">
        <v>191</v>
      </c>
      <c r="C5192" t="s">
        <v>62</v>
      </c>
      <c r="D5192" t="str">
        <f>HYPERLINK("http://service.sap.com/sap/support/notes/1683536","1683536")</f>
        <v>1683536</v>
      </c>
      <c r="E5192">
        <v>2</v>
      </c>
      <c r="F5192" t="s">
        <v>5181</v>
      </c>
    </row>
    <row r="5193" spans="1:6" x14ac:dyDescent="0.25">
      <c r="A5193" t="s">
        <v>4916</v>
      </c>
      <c r="B5193" t="s">
        <v>191</v>
      </c>
      <c r="C5193" t="s">
        <v>62</v>
      </c>
      <c r="D5193" t="str">
        <f>HYPERLINK("http://service.sap.com/sap/support/notes/1685197","1685197")</f>
        <v>1685197</v>
      </c>
      <c r="E5193">
        <v>2</v>
      </c>
      <c r="F5193" t="s">
        <v>5182</v>
      </c>
    </row>
    <row r="5194" spans="1:6" x14ac:dyDescent="0.25">
      <c r="A5194" t="s">
        <v>4916</v>
      </c>
      <c r="B5194" t="s">
        <v>191</v>
      </c>
      <c r="C5194" t="s">
        <v>62</v>
      </c>
      <c r="D5194" t="str">
        <f>HYPERLINK("http://service.sap.com/sap/support/notes/1744161","1744161")</f>
        <v>1744161</v>
      </c>
      <c r="E5194">
        <v>2</v>
      </c>
      <c r="F5194" t="s">
        <v>5183</v>
      </c>
    </row>
    <row r="5195" spans="1:6" x14ac:dyDescent="0.25">
      <c r="A5195" t="s">
        <v>4916</v>
      </c>
      <c r="B5195" t="s">
        <v>191</v>
      </c>
      <c r="C5195" t="s">
        <v>62</v>
      </c>
      <c r="D5195" t="str">
        <f>HYPERLINK("http://service.sap.com/sap/support/notes/1748501","1748501")</f>
        <v>1748501</v>
      </c>
      <c r="E5195">
        <v>1</v>
      </c>
      <c r="F5195" t="s">
        <v>5184</v>
      </c>
    </row>
    <row r="5196" spans="1:6" x14ac:dyDescent="0.25">
      <c r="A5196" t="s">
        <v>4916</v>
      </c>
      <c r="B5196" t="s">
        <v>195</v>
      </c>
      <c r="C5196" t="s">
        <v>132</v>
      </c>
      <c r="D5196" t="str">
        <f>HYPERLINK("http://service.sap.com/sap/support/notes/1751309","1751309")</f>
        <v>1751309</v>
      </c>
      <c r="E5196">
        <v>1</v>
      </c>
      <c r="F5196" t="s">
        <v>5185</v>
      </c>
    </row>
    <row r="5197" spans="1:6" x14ac:dyDescent="0.25">
      <c r="A5197" t="s">
        <v>4916</v>
      </c>
      <c r="B5197" t="s">
        <v>196</v>
      </c>
      <c r="C5197" t="s">
        <v>197</v>
      </c>
      <c r="D5197" t="str">
        <f>HYPERLINK("http://service.sap.com/sap/support/notes/1694832","1694832")</f>
        <v>1694832</v>
      </c>
      <c r="E5197">
        <v>2</v>
      </c>
      <c r="F5197" t="s">
        <v>5186</v>
      </c>
    </row>
    <row r="5198" spans="1:6" x14ac:dyDescent="0.25">
      <c r="A5198" t="s">
        <v>4916</v>
      </c>
      <c r="B5198" t="s">
        <v>196</v>
      </c>
      <c r="C5198" t="s">
        <v>197</v>
      </c>
      <c r="D5198" t="str">
        <f>HYPERLINK("http://service.sap.com/sap/support/notes/1708150","1708150")</f>
        <v>1708150</v>
      </c>
      <c r="E5198">
        <v>2</v>
      </c>
      <c r="F5198" t="s">
        <v>5187</v>
      </c>
    </row>
    <row r="5199" spans="1:6" x14ac:dyDescent="0.25">
      <c r="A5199" t="s">
        <v>4916</v>
      </c>
      <c r="B5199" t="s">
        <v>196</v>
      </c>
      <c r="C5199" t="s">
        <v>197</v>
      </c>
      <c r="D5199" t="str">
        <f>HYPERLINK("http://service.sap.com/sap/support/notes/1722822","1722822")</f>
        <v>1722822</v>
      </c>
      <c r="E5199">
        <v>2</v>
      </c>
      <c r="F5199" t="s">
        <v>5188</v>
      </c>
    </row>
    <row r="5200" spans="1:6" x14ac:dyDescent="0.25">
      <c r="A5200" t="s">
        <v>4916</v>
      </c>
      <c r="B5200" t="s">
        <v>196</v>
      </c>
      <c r="C5200" t="s">
        <v>197</v>
      </c>
      <c r="D5200" t="str">
        <f>HYPERLINK("http://service.sap.com/sap/support/notes/1742618","1742618")</f>
        <v>1742618</v>
      </c>
      <c r="E5200">
        <v>1</v>
      </c>
      <c r="F5200" t="s">
        <v>5189</v>
      </c>
    </row>
    <row r="5201" spans="1:6" x14ac:dyDescent="0.25">
      <c r="A5201" t="s">
        <v>4916</v>
      </c>
      <c r="B5201" t="s">
        <v>196</v>
      </c>
      <c r="C5201" t="s">
        <v>197</v>
      </c>
      <c r="D5201" t="str">
        <f>HYPERLINK("http://service.sap.com/sap/support/notes/1742638","1742638")</f>
        <v>1742638</v>
      </c>
      <c r="E5201">
        <v>2</v>
      </c>
      <c r="F5201" t="s">
        <v>5190</v>
      </c>
    </row>
    <row r="5202" spans="1:6" x14ac:dyDescent="0.25">
      <c r="A5202" t="s">
        <v>4916</v>
      </c>
      <c r="B5202" t="s">
        <v>196</v>
      </c>
      <c r="C5202" t="s">
        <v>197</v>
      </c>
      <c r="D5202" t="str">
        <f>HYPERLINK("http://service.sap.com/sap/support/notes/1744348","1744348")</f>
        <v>1744348</v>
      </c>
      <c r="E5202">
        <v>1</v>
      </c>
      <c r="F5202" t="s">
        <v>5191</v>
      </c>
    </row>
    <row r="5203" spans="1:6" x14ac:dyDescent="0.25">
      <c r="A5203" t="s">
        <v>4916</v>
      </c>
      <c r="B5203" t="s">
        <v>200</v>
      </c>
      <c r="C5203" t="s">
        <v>201</v>
      </c>
      <c r="D5203" t="str">
        <f>HYPERLINK("http://service.sap.com/sap/support/notes/1745320","1745320")</f>
        <v>1745320</v>
      </c>
      <c r="E5203">
        <v>1</v>
      </c>
      <c r="F5203" t="s">
        <v>5192</v>
      </c>
    </row>
    <row r="5204" spans="1:6" x14ac:dyDescent="0.25">
      <c r="A5204" t="s">
        <v>4916</v>
      </c>
      <c r="B5204" t="s">
        <v>200</v>
      </c>
      <c r="C5204" t="s">
        <v>201</v>
      </c>
      <c r="D5204" t="str">
        <f>HYPERLINK("http://service.sap.com/sap/support/notes/1746987","1746987")</f>
        <v>1746987</v>
      </c>
      <c r="E5204">
        <v>4</v>
      </c>
      <c r="F5204" t="s">
        <v>5193</v>
      </c>
    </row>
    <row r="5205" spans="1:6" x14ac:dyDescent="0.25">
      <c r="A5205" t="s">
        <v>4916</v>
      </c>
      <c r="B5205" t="s">
        <v>205</v>
      </c>
      <c r="C5205" t="s">
        <v>206</v>
      </c>
      <c r="D5205" t="str">
        <f>HYPERLINK("http://service.sap.com/sap/support/notes/1703139","1703139")</f>
        <v>1703139</v>
      </c>
      <c r="E5205">
        <v>5</v>
      </c>
      <c r="F5205" t="s">
        <v>5194</v>
      </c>
    </row>
    <row r="5206" spans="1:6" x14ac:dyDescent="0.25">
      <c r="A5206" t="s">
        <v>4916</v>
      </c>
      <c r="B5206" t="s">
        <v>205</v>
      </c>
      <c r="C5206" t="s">
        <v>206</v>
      </c>
      <c r="D5206" t="str">
        <f>HYPERLINK("http://service.sap.com/sap/support/notes/1726515","1726515")</f>
        <v>1726515</v>
      </c>
      <c r="E5206">
        <v>7</v>
      </c>
      <c r="F5206" t="s">
        <v>5195</v>
      </c>
    </row>
    <row r="5207" spans="1:6" x14ac:dyDescent="0.25">
      <c r="A5207" t="s">
        <v>4916</v>
      </c>
      <c r="B5207" t="s">
        <v>205</v>
      </c>
      <c r="C5207" t="s">
        <v>206</v>
      </c>
      <c r="D5207" t="str">
        <f>HYPERLINK("http://service.sap.com/sap/support/notes/1728789","1728789")</f>
        <v>1728789</v>
      </c>
      <c r="E5207">
        <v>2</v>
      </c>
      <c r="F5207" t="s">
        <v>5196</v>
      </c>
    </row>
    <row r="5208" spans="1:6" x14ac:dyDescent="0.25">
      <c r="A5208" t="s">
        <v>4916</v>
      </c>
      <c r="B5208" t="s">
        <v>205</v>
      </c>
      <c r="C5208" t="s">
        <v>206</v>
      </c>
      <c r="D5208" t="str">
        <f>HYPERLINK("http://service.sap.com/sap/support/notes/1742871","1742871")</f>
        <v>1742871</v>
      </c>
      <c r="E5208">
        <v>2</v>
      </c>
      <c r="F5208" t="s">
        <v>5197</v>
      </c>
    </row>
    <row r="5209" spans="1:6" x14ac:dyDescent="0.25">
      <c r="A5209" t="s">
        <v>4916</v>
      </c>
      <c r="B5209" t="s">
        <v>205</v>
      </c>
      <c r="C5209" t="s">
        <v>206</v>
      </c>
      <c r="D5209" t="str">
        <f>HYPERLINK("http://service.sap.com/sap/support/notes/1744905","1744905")</f>
        <v>1744905</v>
      </c>
      <c r="E5209">
        <v>2</v>
      </c>
      <c r="F5209" t="s">
        <v>5198</v>
      </c>
    </row>
    <row r="5210" spans="1:6" x14ac:dyDescent="0.25">
      <c r="A5210" t="s">
        <v>4916</v>
      </c>
      <c r="B5210" t="s">
        <v>205</v>
      </c>
      <c r="C5210" t="s">
        <v>206</v>
      </c>
      <c r="D5210" t="str">
        <f>HYPERLINK("http://service.sap.com/sap/support/notes/1750564","1750564")</f>
        <v>1750564</v>
      </c>
      <c r="E5210">
        <v>1</v>
      </c>
      <c r="F5210" t="s">
        <v>5199</v>
      </c>
    </row>
    <row r="5211" spans="1:6" x14ac:dyDescent="0.25">
      <c r="A5211" t="s">
        <v>4916</v>
      </c>
      <c r="B5211" t="s">
        <v>207</v>
      </c>
      <c r="C5211" t="s">
        <v>208</v>
      </c>
    </row>
    <row r="5212" spans="1:6" x14ac:dyDescent="0.25">
      <c r="A5212" t="s">
        <v>4916</v>
      </c>
      <c r="B5212" t="s">
        <v>209</v>
      </c>
      <c r="C5212" t="s">
        <v>210</v>
      </c>
    </row>
    <row r="5213" spans="1:6" x14ac:dyDescent="0.25">
      <c r="A5213" t="s">
        <v>4916</v>
      </c>
      <c r="B5213" t="s">
        <v>5200</v>
      </c>
      <c r="C5213" t="s">
        <v>40</v>
      </c>
    </row>
    <row r="5214" spans="1:6" x14ac:dyDescent="0.25">
      <c r="A5214" t="s">
        <v>4916</v>
      </c>
      <c r="B5214" t="s">
        <v>5201</v>
      </c>
      <c r="C5214" t="s">
        <v>1805</v>
      </c>
      <c r="D5214" t="str">
        <f>HYPERLINK("http://service.sap.com/sap/support/notes/1747744","1747744")</f>
        <v>1747744</v>
      </c>
      <c r="E5214">
        <v>1</v>
      </c>
      <c r="F5214" t="s">
        <v>5202</v>
      </c>
    </row>
    <row r="5215" spans="1:6" x14ac:dyDescent="0.25">
      <c r="A5215" t="s">
        <v>7340</v>
      </c>
      <c r="B5215" t="s">
        <v>5</v>
      </c>
      <c r="C5215" t="s">
        <v>6</v>
      </c>
    </row>
    <row r="5216" spans="1:6" x14ac:dyDescent="0.25">
      <c r="A5216" t="s">
        <v>7340</v>
      </c>
      <c r="B5216" t="s">
        <v>7</v>
      </c>
      <c r="C5216" t="s">
        <v>8</v>
      </c>
    </row>
    <row r="5217" spans="1:6" x14ac:dyDescent="0.25">
      <c r="A5217" t="s">
        <v>7340</v>
      </c>
      <c r="B5217" t="s">
        <v>13</v>
      </c>
      <c r="C5217" t="s">
        <v>14</v>
      </c>
      <c r="D5217" t="str">
        <f>HYPERLINK("http://service.sap.com/sap/support/notes/1753280","1753280")</f>
        <v>1753280</v>
      </c>
      <c r="E5217">
        <v>3</v>
      </c>
      <c r="F5217" t="s">
        <v>4921</v>
      </c>
    </row>
    <row r="5218" spans="1:6" x14ac:dyDescent="0.25">
      <c r="A5218" t="s">
        <v>7340</v>
      </c>
      <c r="B5218" t="s">
        <v>225</v>
      </c>
      <c r="C5218" t="s">
        <v>354</v>
      </c>
    </row>
    <row r="5219" spans="1:6" x14ac:dyDescent="0.25">
      <c r="A5219" t="s">
        <v>7340</v>
      </c>
      <c r="B5219" t="s">
        <v>226</v>
      </c>
      <c r="C5219" t="s">
        <v>355</v>
      </c>
    </row>
    <row r="5220" spans="1:6" x14ac:dyDescent="0.25">
      <c r="A5220" t="s">
        <v>7340</v>
      </c>
      <c r="B5220" t="s">
        <v>227</v>
      </c>
      <c r="C5220" t="s">
        <v>356</v>
      </c>
    </row>
    <row r="5221" spans="1:6" x14ac:dyDescent="0.25">
      <c r="A5221" t="s">
        <v>7340</v>
      </c>
      <c r="B5221" t="s">
        <v>228</v>
      </c>
      <c r="C5221" t="s">
        <v>357</v>
      </c>
      <c r="D5221" t="str">
        <f>HYPERLINK("http://service.sap.com/sap/support/notes/1763033","1763033")</f>
        <v>1763033</v>
      </c>
      <c r="E5221">
        <v>1</v>
      </c>
      <c r="F5221" t="s">
        <v>6965</v>
      </c>
    </row>
    <row r="5222" spans="1:6" x14ac:dyDescent="0.25">
      <c r="A5222" t="s">
        <v>7340</v>
      </c>
      <c r="B5222" t="s">
        <v>6966</v>
      </c>
      <c r="C5222" t="s">
        <v>6967</v>
      </c>
    </row>
    <row r="5223" spans="1:6" x14ac:dyDescent="0.25">
      <c r="A5223" t="s">
        <v>7340</v>
      </c>
      <c r="B5223" t="s">
        <v>6968</v>
      </c>
      <c r="C5223" t="s">
        <v>6969</v>
      </c>
    </row>
    <row r="5224" spans="1:6" x14ac:dyDescent="0.25">
      <c r="A5224" t="s">
        <v>7340</v>
      </c>
      <c r="B5224" t="s">
        <v>6970</v>
      </c>
      <c r="C5224" t="s">
        <v>6971</v>
      </c>
    </row>
    <row r="5225" spans="1:6" x14ac:dyDescent="0.25">
      <c r="A5225" t="s">
        <v>7340</v>
      </c>
      <c r="B5225" t="s">
        <v>6972</v>
      </c>
      <c r="C5225" t="s">
        <v>6973</v>
      </c>
      <c r="D5225" t="str">
        <f>HYPERLINK("http://service.sap.com/sap/support/notes/1667023","1667023")</f>
        <v>1667023</v>
      </c>
      <c r="E5225">
        <v>2</v>
      </c>
      <c r="F5225" t="s">
        <v>6974</v>
      </c>
    </row>
    <row r="5226" spans="1:6" x14ac:dyDescent="0.25">
      <c r="A5226" t="s">
        <v>7340</v>
      </c>
      <c r="B5226" t="s">
        <v>21</v>
      </c>
      <c r="C5226" t="s">
        <v>12</v>
      </c>
    </row>
    <row r="5227" spans="1:6" x14ac:dyDescent="0.25">
      <c r="A5227" t="s">
        <v>7340</v>
      </c>
      <c r="B5227" t="s">
        <v>29</v>
      </c>
      <c r="C5227" t="s">
        <v>30</v>
      </c>
    </row>
    <row r="5228" spans="1:6" x14ac:dyDescent="0.25">
      <c r="A5228" t="s">
        <v>7340</v>
      </c>
      <c r="B5228" t="s">
        <v>250</v>
      </c>
      <c r="C5228" t="s">
        <v>79</v>
      </c>
      <c r="D5228" t="str">
        <f>HYPERLINK("http://service.sap.com/sap/support/notes/1755240","1755240")</f>
        <v>1755240</v>
      </c>
      <c r="E5228">
        <v>1</v>
      </c>
      <c r="F5228" t="s">
        <v>6975</v>
      </c>
    </row>
    <row r="5229" spans="1:6" x14ac:dyDescent="0.25">
      <c r="A5229" t="s">
        <v>7340</v>
      </c>
      <c r="B5229" t="s">
        <v>31</v>
      </c>
      <c r="C5229" t="s">
        <v>32</v>
      </c>
      <c r="D5229" t="str">
        <f>HYPERLINK("http://service.sap.com/sap/support/notes/1747240","1747240")</f>
        <v>1747240</v>
      </c>
      <c r="E5229">
        <v>2</v>
      </c>
      <c r="F5229" t="s">
        <v>6976</v>
      </c>
    </row>
    <row r="5230" spans="1:6" x14ac:dyDescent="0.25">
      <c r="A5230" t="s">
        <v>7340</v>
      </c>
      <c r="B5230" t="s">
        <v>31</v>
      </c>
      <c r="C5230" t="s">
        <v>32</v>
      </c>
      <c r="D5230" t="str">
        <f>HYPERLINK("http://service.sap.com/sap/support/notes/1756129","1756129")</f>
        <v>1756129</v>
      </c>
      <c r="E5230">
        <v>2</v>
      </c>
      <c r="F5230" t="s">
        <v>6977</v>
      </c>
    </row>
    <row r="5231" spans="1:6" x14ac:dyDescent="0.25">
      <c r="A5231" t="s">
        <v>7340</v>
      </c>
      <c r="B5231" t="s">
        <v>31</v>
      </c>
      <c r="C5231" t="s">
        <v>32</v>
      </c>
      <c r="D5231" t="str">
        <f>HYPERLINK("http://service.sap.com/sap/support/notes/1760580","1760580")</f>
        <v>1760580</v>
      </c>
      <c r="E5231">
        <v>2</v>
      </c>
      <c r="F5231" t="s">
        <v>6978</v>
      </c>
    </row>
    <row r="5232" spans="1:6" x14ac:dyDescent="0.25">
      <c r="A5232" t="s">
        <v>7340</v>
      </c>
      <c r="B5232" t="s">
        <v>33</v>
      </c>
      <c r="C5232" t="s">
        <v>34</v>
      </c>
      <c r="D5232" t="str">
        <f>HYPERLINK("http://service.sap.com/sap/support/notes/1755201","1755201")</f>
        <v>1755201</v>
      </c>
      <c r="E5232">
        <v>2</v>
      </c>
      <c r="F5232" t="s">
        <v>6979</v>
      </c>
    </row>
    <row r="5233" spans="1:6" x14ac:dyDescent="0.25">
      <c r="A5233" t="s">
        <v>7340</v>
      </c>
      <c r="B5233" t="s">
        <v>674</v>
      </c>
      <c r="C5233" t="s">
        <v>92</v>
      </c>
      <c r="D5233" t="str">
        <f>HYPERLINK("http://service.sap.com/sap/support/notes/1757672","1757672")</f>
        <v>1757672</v>
      </c>
      <c r="E5233">
        <v>2</v>
      </c>
      <c r="F5233" t="s">
        <v>6980</v>
      </c>
    </row>
    <row r="5234" spans="1:6" x14ac:dyDescent="0.25">
      <c r="A5234" t="s">
        <v>7340</v>
      </c>
      <c r="B5234" t="s">
        <v>35</v>
      </c>
      <c r="C5234" t="s">
        <v>36</v>
      </c>
      <c r="D5234" t="str">
        <f>HYPERLINK("http://service.sap.com/sap/support/notes/1745994","1745994")</f>
        <v>1745994</v>
      </c>
      <c r="E5234">
        <v>2</v>
      </c>
      <c r="F5234" t="s">
        <v>4928</v>
      </c>
    </row>
    <row r="5235" spans="1:6" x14ac:dyDescent="0.25">
      <c r="A5235" t="s">
        <v>7340</v>
      </c>
      <c r="B5235" t="s">
        <v>35</v>
      </c>
      <c r="C5235" t="s">
        <v>36</v>
      </c>
      <c r="D5235" t="str">
        <f>HYPERLINK("http://service.sap.com/sap/support/notes/1754862","1754862")</f>
        <v>1754862</v>
      </c>
      <c r="E5235">
        <v>1</v>
      </c>
      <c r="F5235" t="s">
        <v>6981</v>
      </c>
    </row>
    <row r="5236" spans="1:6" x14ac:dyDescent="0.25">
      <c r="A5236" t="s">
        <v>7340</v>
      </c>
      <c r="B5236" t="s">
        <v>37</v>
      </c>
      <c r="C5236" t="s">
        <v>38</v>
      </c>
      <c r="D5236" t="str">
        <f>HYPERLINK("http://service.sap.com/sap/support/notes/1747385","1747385")</f>
        <v>1747385</v>
      </c>
      <c r="E5236">
        <v>4</v>
      </c>
      <c r="F5236" t="s">
        <v>6982</v>
      </c>
    </row>
    <row r="5237" spans="1:6" x14ac:dyDescent="0.25">
      <c r="A5237" t="s">
        <v>7340</v>
      </c>
      <c r="B5237" t="s">
        <v>41</v>
      </c>
      <c r="C5237" t="s">
        <v>42</v>
      </c>
      <c r="D5237" t="str">
        <f>HYPERLINK("http://service.sap.com/sap/support/notes/700094","700094")</f>
        <v>700094</v>
      </c>
      <c r="E5237">
        <v>8</v>
      </c>
      <c r="F5237" t="s">
        <v>252</v>
      </c>
    </row>
    <row r="5238" spans="1:6" x14ac:dyDescent="0.25">
      <c r="A5238" t="s">
        <v>7340</v>
      </c>
      <c r="B5238" t="s">
        <v>41</v>
      </c>
      <c r="C5238" t="s">
        <v>42</v>
      </c>
      <c r="D5238" t="str">
        <f>HYPERLINK("http://service.sap.com/sap/support/notes/1757122","1757122")</f>
        <v>1757122</v>
      </c>
      <c r="E5238">
        <v>2</v>
      </c>
      <c r="F5238" t="s">
        <v>6983</v>
      </c>
    </row>
    <row r="5239" spans="1:6" x14ac:dyDescent="0.25">
      <c r="A5239" t="s">
        <v>7340</v>
      </c>
      <c r="B5239" t="s">
        <v>43</v>
      </c>
      <c r="C5239" t="s">
        <v>44</v>
      </c>
      <c r="D5239" t="str">
        <f>HYPERLINK("http://service.sap.com/sap/support/notes/1751902","1751902")</f>
        <v>1751902</v>
      </c>
      <c r="E5239">
        <v>2</v>
      </c>
      <c r="F5239" t="s">
        <v>6984</v>
      </c>
    </row>
    <row r="5240" spans="1:6" x14ac:dyDescent="0.25">
      <c r="A5240" t="s">
        <v>7340</v>
      </c>
      <c r="B5240" t="s">
        <v>43</v>
      </c>
      <c r="C5240" t="s">
        <v>44</v>
      </c>
      <c r="D5240" t="str">
        <f>HYPERLINK("http://service.sap.com/sap/support/notes/1756913","1756913")</f>
        <v>1756913</v>
      </c>
      <c r="E5240">
        <v>2</v>
      </c>
      <c r="F5240" t="s">
        <v>6985</v>
      </c>
    </row>
    <row r="5241" spans="1:6" x14ac:dyDescent="0.25">
      <c r="A5241" t="s">
        <v>7340</v>
      </c>
      <c r="B5241" t="s">
        <v>43</v>
      </c>
      <c r="C5241" t="s">
        <v>44</v>
      </c>
      <c r="D5241" t="str">
        <f>HYPERLINK("http://service.sap.com/sap/support/notes/1758253","1758253")</f>
        <v>1758253</v>
      </c>
      <c r="E5241">
        <v>3</v>
      </c>
      <c r="F5241" t="s">
        <v>6986</v>
      </c>
    </row>
    <row r="5242" spans="1:6" x14ac:dyDescent="0.25">
      <c r="A5242" t="s">
        <v>7340</v>
      </c>
      <c r="B5242" t="s">
        <v>43</v>
      </c>
      <c r="C5242" t="s">
        <v>44</v>
      </c>
      <c r="D5242" t="str">
        <f>HYPERLINK("http://service.sap.com/sap/support/notes/1761922","1761922")</f>
        <v>1761922</v>
      </c>
      <c r="E5242">
        <v>2</v>
      </c>
      <c r="F5242" t="s">
        <v>6987</v>
      </c>
    </row>
    <row r="5243" spans="1:6" x14ac:dyDescent="0.25">
      <c r="A5243" t="s">
        <v>7340</v>
      </c>
      <c r="B5243" t="s">
        <v>43</v>
      </c>
      <c r="C5243" t="s">
        <v>44</v>
      </c>
      <c r="D5243" t="str">
        <f>HYPERLINK("http://service.sap.com/sap/support/notes/1763745","1763745")</f>
        <v>1763745</v>
      </c>
      <c r="E5243">
        <v>2</v>
      </c>
      <c r="F5243" t="s">
        <v>6988</v>
      </c>
    </row>
    <row r="5244" spans="1:6" x14ac:dyDescent="0.25">
      <c r="A5244" t="s">
        <v>7340</v>
      </c>
      <c r="B5244" t="s">
        <v>43</v>
      </c>
      <c r="C5244" t="s">
        <v>44</v>
      </c>
      <c r="D5244" t="str">
        <f>HYPERLINK("http://service.sap.com/sap/support/notes/1765634","1765634")</f>
        <v>1765634</v>
      </c>
      <c r="E5244">
        <v>1</v>
      </c>
      <c r="F5244" t="s">
        <v>6989</v>
      </c>
    </row>
    <row r="5245" spans="1:6" x14ac:dyDescent="0.25">
      <c r="A5245" t="s">
        <v>7340</v>
      </c>
      <c r="B5245" t="s">
        <v>645</v>
      </c>
      <c r="C5245" t="s">
        <v>150</v>
      </c>
      <c r="D5245" t="str">
        <f>HYPERLINK("http://service.sap.com/sap/support/notes/1758944","1758944")</f>
        <v>1758944</v>
      </c>
      <c r="E5245">
        <v>1</v>
      </c>
      <c r="F5245" t="s">
        <v>6990</v>
      </c>
    </row>
    <row r="5246" spans="1:6" x14ac:dyDescent="0.25">
      <c r="A5246" t="s">
        <v>7340</v>
      </c>
      <c r="B5246" t="s">
        <v>51</v>
      </c>
      <c r="C5246" t="s">
        <v>52</v>
      </c>
      <c r="D5246" t="str">
        <f>HYPERLINK("http://service.sap.com/sap/support/notes/1759415","1759415")</f>
        <v>1759415</v>
      </c>
      <c r="E5246">
        <v>2</v>
      </c>
      <c r="F5246" t="s">
        <v>6879</v>
      </c>
    </row>
    <row r="5247" spans="1:6" x14ac:dyDescent="0.25">
      <c r="A5247" t="s">
        <v>7340</v>
      </c>
      <c r="B5247" t="s">
        <v>55</v>
      </c>
      <c r="C5247" t="s">
        <v>56</v>
      </c>
      <c r="D5247" t="str">
        <f>HYPERLINK("http://service.sap.com/sap/support/notes/1762026","1762026")</f>
        <v>1762026</v>
      </c>
      <c r="E5247">
        <v>1</v>
      </c>
      <c r="F5247" t="s">
        <v>6991</v>
      </c>
    </row>
    <row r="5248" spans="1:6" x14ac:dyDescent="0.25">
      <c r="A5248" t="s">
        <v>7340</v>
      </c>
      <c r="B5248" t="s">
        <v>256</v>
      </c>
      <c r="C5248" t="s">
        <v>165</v>
      </c>
      <c r="D5248" t="str">
        <f>HYPERLINK("http://service.sap.com/sap/support/notes/1728652","1728652")</f>
        <v>1728652</v>
      </c>
      <c r="E5248">
        <v>1</v>
      </c>
      <c r="F5248" t="s">
        <v>6992</v>
      </c>
    </row>
    <row r="5249" spans="1:6" x14ac:dyDescent="0.25">
      <c r="A5249" t="s">
        <v>7340</v>
      </c>
      <c r="B5249" t="s">
        <v>256</v>
      </c>
      <c r="C5249" t="s">
        <v>165</v>
      </c>
      <c r="D5249" t="str">
        <f>HYPERLINK("http://service.sap.com/sap/support/notes/1747249","1747249")</f>
        <v>1747249</v>
      </c>
      <c r="E5249">
        <v>1</v>
      </c>
      <c r="F5249" t="s">
        <v>6993</v>
      </c>
    </row>
    <row r="5250" spans="1:6" x14ac:dyDescent="0.25">
      <c r="A5250" t="s">
        <v>7340</v>
      </c>
      <c r="B5250" t="s">
        <v>256</v>
      </c>
      <c r="C5250" t="s">
        <v>165</v>
      </c>
      <c r="D5250" t="str">
        <f>HYPERLINK("http://service.sap.com/sap/support/notes/1750353","1750353")</f>
        <v>1750353</v>
      </c>
      <c r="E5250">
        <v>3</v>
      </c>
      <c r="F5250" t="s">
        <v>6994</v>
      </c>
    </row>
    <row r="5251" spans="1:6" x14ac:dyDescent="0.25">
      <c r="A5251" t="s">
        <v>7340</v>
      </c>
      <c r="B5251" t="s">
        <v>256</v>
      </c>
      <c r="C5251" t="s">
        <v>165</v>
      </c>
      <c r="D5251" t="str">
        <f>HYPERLINK("http://service.sap.com/sap/support/notes/1755605","1755605")</f>
        <v>1755605</v>
      </c>
      <c r="E5251">
        <v>1</v>
      </c>
      <c r="F5251" t="s">
        <v>6995</v>
      </c>
    </row>
    <row r="5252" spans="1:6" x14ac:dyDescent="0.25">
      <c r="A5252" t="s">
        <v>7340</v>
      </c>
      <c r="B5252" t="s">
        <v>256</v>
      </c>
      <c r="C5252" t="s">
        <v>165</v>
      </c>
      <c r="D5252" t="str">
        <f>HYPERLINK("http://service.sap.com/sap/support/notes/1758725","1758725")</f>
        <v>1758725</v>
      </c>
      <c r="E5252">
        <v>1</v>
      </c>
      <c r="F5252" t="s">
        <v>6996</v>
      </c>
    </row>
    <row r="5253" spans="1:6" x14ac:dyDescent="0.25">
      <c r="A5253" t="s">
        <v>7340</v>
      </c>
      <c r="B5253" t="s">
        <v>256</v>
      </c>
      <c r="C5253" t="s">
        <v>165</v>
      </c>
      <c r="D5253" t="str">
        <f>HYPERLINK("http://service.sap.com/sap/support/notes/1766061","1766061")</f>
        <v>1766061</v>
      </c>
      <c r="E5253">
        <v>1</v>
      </c>
      <c r="F5253" t="s">
        <v>6997</v>
      </c>
    </row>
    <row r="5254" spans="1:6" x14ac:dyDescent="0.25">
      <c r="A5254" t="s">
        <v>7340</v>
      </c>
      <c r="B5254" t="s">
        <v>3252</v>
      </c>
      <c r="C5254" t="s">
        <v>3253</v>
      </c>
      <c r="D5254" t="str">
        <f>HYPERLINK("http://service.sap.com/sap/support/notes/1760514","1760514")</f>
        <v>1760514</v>
      </c>
      <c r="E5254">
        <v>1</v>
      </c>
      <c r="F5254" t="s">
        <v>6998</v>
      </c>
    </row>
    <row r="5255" spans="1:6" x14ac:dyDescent="0.25">
      <c r="A5255" t="s">
        <v>7340</v>
      </c>
      <c r="B5255" t="s">
        <v>3252</v>
      </c>
      <c r="C5255" t="s">
        <v>3253</v>
      </c>
      <c r="D5255" t="str">
        <f>HYPERLINK("http://service.sap.com/sap/support/notes/1761524","1761524")</f>
        <v>1761524</v>
      </c>
      <c r="E5255">
        <v>1</v>
      </c>
      <c r="F5255" t="s">
        <v>6999</v>
      </c>
    </row>
    <row r="5256" spans="1:6" x14ac:dyDescent="0.25">
      <c r="A5256" t="s">
        <v>7340</v>
      </c>
      <c r="B5256" t="s">
        <v>57</v>
      </c>
      <c r="C5256" t="s">
        <v>58</v>
      </c>
      <c r="D5256" t="str">
        <f>HYPERLINK("http://service.sap.com/sap/support/notes/960754","960754")</f>
        <v>960754</v>
      </c>
      <c r="E5256">
        <v>9</v>
      </c>
      <c r="F5256" t="s">
        <v>1854</v>
      </c>
    </row>
    <row r="5257" spans="1:6" x14ac:dyDescent="0.25">
      <c r="A5257" t="s">
        <v>7340</v>
      </c>
      <c r="B5257" t="s">
        <v>57</v>
      </c>
      <c r="C5257" t="s">
        <v>58</v>
      </c>
      <c r="D5257" t="str">
        <f>HYPERLINK("http://service.sap.com/sap/support/notes/1116407","1116407")</f>
        <v>1116407</v>
      </c>
      <c r="E5257">
        <v>136</v>
      </c>
      <c r="F5257" t="s">
        <v>664</v>
      </c>
    </row>
    <row r="5258" spans="1:6" x14ac:dyDescent="0.25">
      <c r="A5258" t="s">
        <v>7340</v>
      </c>
      <c r="B5258" t="s">
        <v>57</v>
      </c>
      <c r="C5258" t="s">
        <v>58</v>
      </c>
      <c r="D5258" t="str">
        <f>HYPERLINK("http://service.sap.com/sap/support/notes/1699004","1699004")</f>
        <v>1699004</v>
      </c>
      <c r="E5258">
        <v>1</v>
      </c>
      <c r="F5258" t="s">
        <v>7000</v>
      </c>
    </row>
    <row r="5259" spans="1:6" x14ac:dyDescent="0.25">
      <c r="A5259" t="s">
        <v>7340</v>
      </c>
      <c r="B5259" t="s">
        <v>57</v>
      </c>
      <c r="C5259" t="s">
        <v>58</v>
      </c>
      <c r="D5259" t="str">
        <f>HYPERLINK("http://service.sap.com/sap/support/notes/1731283","1731283")</f>
        <v>1731283</v>
      </c>
      <c r="E5259">
        <v>2</v>
      </c>
      <c r="F5259" t="s">
        <v>7001</v>
      </c>
    </row>
    <row r="5260" spans="1:6" x14ac:dyDescent="0.25">
      <c r="A5260" t="s">
        <v>7340</v>
      </c>
      <c r="B5260" t="s">
        <v>57</v>
      </c>
      <c r="C5260" t="s">
        <v>58</v>
      </c>
      <c r="D5260" t="str">
        <f>HYPERLINK("http://service.sap.com/sap/support/notes/1754575","1754575")</f>
        <v>1754575</v>
      </c>
      <c r="E5260">
        <v>5</v>
      </c>
      <c r="F5260" t="s">
        <v>6883</v>
      </c>
    </row>
    <row r="5261" spans="1:6" x14ac:dyDescent="0.25">
      <c r="A5261" t="s">
        <v>7340</v>
      </c>
      <c r="B5261" t="s">
        <v>57</v>
      </c>
      <c r="C5261" t="s">
        <v>58</v>
      </c>
      <c r="D5261" t="str">
        <f>HYPERLINK("http://service.sap.com/sap/support/notes/1757849","1757849")</f>
        <v>1757849</v>
      </c>
      <c r="E5261">
        <v>1</v>
      </c>
      <c r="F5261" t="s">
        <v>7002</v>
      </c>
    </row>
    <row r="5262" spans="1:6" x14ac:dyDescent="0.25">
      <c r="A5262" t="s">
        <v>7340</v>
      </c>
      <c r="B5262" t="s">
        <v>57</v>
      </c>
      <c r="C5262" t="s">
        <v>58</v>
      </c>
      <c r="D5262" t="str">
        <f>HYPERLINK("http://service.sap.com/sap/support/notes/1758599","1758599")</f>
        <v>1758599</v>
      </c>
      <c r="E5262">
        <v>2</v>
      </c>
      <c r="F5262" t="s">
        <v>7003</v>
      </c>
    </row>
    <row r="5263" spans="1:6" x14ac:dyDescent="0.25">
      <c r="A5263" t="s">
        <v>7340</v>
      </c>
      <c r="B5263" t="s">
        <v>57</v>
      </c>
      <c r="C5263" t="s">
        <v>58</v>
      </c>
      <c r="D5263" t="str">
        <f>HYPERLINK("http://service.sap.com/sap/support/notes/1763608","1763608")</f>
        <v>1763608</v>
      </c>
      <c r="E5263">
        <v>1</v>
      </c>
      <c r="F5263" t="s">
        <v>7004</v>
      </c>
    </row>
    <row r="5264" spans="1:6" x14ac:dyDescent="0.25">
      <c r="A5264" t="s">
        <v>7340</v>
      </c>
      <c r="B5264" t="s">
        <v>57</v>
      </c>
      <c r="C5264" t="s">
        <v>58</v>
      </c>
      <c r="D5264" t="str">
        <f>HYPERLINK("http://service.sap.com/sap/support/notes/1763666","1763666")</f>
        <v>1763666</v>
      </c>
      <c r="E5264">
        <v>2</v>
      </c>
      <c r="F5264" t="s">
        <v>7005</v>
      </c>
    </row>
    <row r="5265" spans="1:6" x14ac:dyDescent="0.25">
      <c r="A5265" t="s">
        <v>7340</v>
      </c>
      <c r="B5265" t="s">
        <v>258</v>
      </c>
      <c r="C5265" t="s">
        <v>186</v>
      </c>
      <c r="D5265" t="str">
        <f>HYPERLINK("http://service.sap.com/sap/support/notes/1756986","1756986")</f>
        <v>1756986</v>
      </c>
      <c r="E5265">
        <v>1</v>
      </c>
      <c r="F5265" t="s">
        <v>7006</v>
      </c>
    </row>
    <row r="5266" spans="1:6" x14ac:dyDescent="0.25">
      <c r="A5266" t="s">
        <v>7340</v>
      </c>
      <c r="B5266" t="s">
        <v>258</v>
      </c>
      <c r="C5266" t="s">
        <v>186</v>
      </c>
      <c r="D5266" t="str">
        <f>HYPERLINK("http://service.sap.com/sap/support/notes/1767245","1767245")</f>
        <v>1767245</v>
      </c>
      <c r="E5266">
        <v>1</v>
      </c>
      <c r="F5266" t="s">
        <v>7007</v>
      </c>
    </row>
    <row r="5267" spans="1:6" x14ac:dyDescent="0.25">
      <c r="A5267" t="s">
        <v>7340</v>
      </c>
      <c r="B5267" t="s">
        <v>61</v>
      </c>
      <c r="C5267" t="s">
        <v>62</v>
      </c>
      <c r="D5267" t="str">
        <f>HYPERLINK("http://service.sap.com/sap/support/notes/1766685","1766685")</f>
        <v>1766685</v>
      </c>
      <c r="E5267">
        <v>2</v>
      </c>
      <c r="F5267" t="s">
        <v>7008</v>
      </c>
    </row>
    <row r="5268" spans="1:6" x14ac:dyDescent="0.25">
      <c r="A5268" t="s">
        <v>7340</v>
      </c>
      <c r="B5268" t="s">
        <v>7009</v>
      </c>
      <c r="C5268" t="s">
        <v>7010</v>
      </c>
      <c r="D5268" t="str">
        <f>HYPERLINK("http://service.sap.com/sap/support/notes/1740906","1740906")</f>
        <v>1740906</v>
      </c>
      <c r="E5268">
        <v>2</v>
      </c>
      <c r="F5268" t="s">
        <v>7011</v>
      </c>
    </row>
    <row r="5269" spans="1:6" x14ac:dyDescent="0.25">
      <c r="A5269" t="s">
        <v>7340</v>
      </c>
      <c r="B5269" t="s">
        <v>66</v>
      </c>
      <c r="C5269" t="s">
        <v>67</v>
      </c>
    </row>
    <row r="5270" spans="1:6" x14ac:dyDescent="0.25">
      <c r="A5270" t="s">
        <v>7340</v>
      </c>
      <c r="B5270" t="s">
        <v>70</v>
      </c>
      <c r="C5270" t="s">
        <v>71</v>
      </c>
      <c r="D5270" t="str">
        <f>HYPERLINK("http://service.sap.com/sap/support/notes/1701554","1701554")</f>
        <v>1701554</v>
      </c>
      <c r="E5270">
        <v>1</v>
      </c>
      <c r="F5270" t="s">
        <v>7012</v>
      </c>
    </row>
    <row r="5271" spans="1:6" x14ac:dyDescent="0.25">
      <c r="A5271" t="s">
        <v>7340</v>
      </c>
      <c r="B5271" t="s">
        <v>70</v>
      </c>
      <c r="C5271" t="s">
        <v>71</v>
      </c>
      <c r="D5271" t="str">
        <f>HYPERLINK("http://service.sap.com/sap/support/notes/1757566","1757566")</f>
        <v>1757566</v>
      </c>
      <c r="E5271">
        <v>2</v>
      </c>
      <c r="F5271" t="s">
        <v>7013</v>
      </c>
    </row>
    <row r="5272" spans="1:6" x14ac:dyDescent="0.25">
      <c r="A5272" t="s">
        <v>7340</v>
      </c>
      <c r="B5272" t="s">
        <v>72</v>
      </c>
      <c r="C5272" t="s">
        <v>73</v>
      </c>
    </row>
    <row r="5273" spans="1:6" x14ac:dyDescent="0.25">
      <c r="A5273" t="s">
        <v>7340</v>
      </c>
      <c r="B5273" t="s">
        <v>7014</v>
      </c>
      <c r="C5273" t="s">
        <v>7015</v>
      </c>
    </row>
    <row r="5274" spans="1:6" x14ac:dyDescent="0.25">
      <c r="A5274" t="s">
        <v>7340</v>
      </c>
      <c r="B5274" t="s">
        <v>7016</v>
      </c>
      <c r="C5274" t="s">
        <v>7017</v>
      </c>
      <c r="D5274" t="str">
        <f>HYPERLINK("http://service.sap.com/sap/support/notes/1686193","1686193")</f>
        <v>1686193</v>
      </c>
      <c r="E5274">
        <v>1</v>
      </c>
      <c r="F5274" t="s">
        <v>7018</v>
      </c>
    </row>
    <row r="5275" spans="1:6" x14ac:dyDescent="0.25">
      <c r="A5275" t="s">
        <v>7340</v>
      </c>
      <c r="B5275" t="s">
        <v>281</v>
      </c>
      <c r="C5275" t="s">
        <v>368</v>
      </c>
    </row>
    <row r="5276" spans="1:6" x14ac:dyDescent="0.25">
      <c r="A5276" t="s">
        <v>7340</v>
      </c>
      <c r="B5276" t="s">
        <v>282</v>
      </c>
      <c r="C5276" t="s">
        <v>369</v>
      </c>
    </row>
    <row r="5277" spans="1:6" x14ac:dyDescent="0.25">
      <c r="A5277" t="s">
        <v>7340</v>
      </c>
      <c r="B5277" t="s">
        <v>7019</v>
      </c>
      <c r="C5277" t="s">
        <v>7015</v>
      </c>
      <c r="D5277" t="str">
        <f>HYPERLINK("http://service.sap.com/sap/support/notes/1591168","1591168")</f>
        <v>1591168</v>
      </c>
      <c r="E5277">
        <v>5</v>
      </c>
      <c r="F5277" t="s">
        <v>7020</v>
      </c>
    </row>
    <row r="5278" spans="1:6" x14ac:dyDescent="0.25">
      <c r="A5278" t="s">
        <v>7340</v>
      </c>
      <c r="B5278" t="s">
        <v>7021</v>
      </c>
      <c r="C5278" t="s">
        <v>7022</v>
      </c>
      <c r="D5278" t="str">
        <f>HYPERLINK("http://service.sap.com/sap/support/notes/1517787","1517787")</f>
        <v>1517787</v>
      </c>
      <c r="E5278">
        <v>2</v>
      </c>
      <c r="F5278" t="s">
        <v>7023</v>
      </c>
    </row>
    <row r="5279" spans="1:6" x14ac:dyDescent="0.25">
      <c r="A5279" t="s">
        <v>7340</v>
      </c>
      <c r="B5279" t="s">
        <v>7021</v>
      </c>
      <c r="C5279" t="s">
        <v>7022</v>
      </c>
      <c r="D5279" t="str">
        <f>HYPERLINK("http://service.sap.com/sap/support/notes/1771629","1771629")</f>
        <v>1771629</v>
      </c>
      <c r="E5279">
        <v>1</v>
      </c>
      <c r="F5279" t="s">
        <v>7024</v>
      </c>
    </row>
    <row r="5280" spans="1:6" x14ac:dyDescent="0.25">
      <c r="A5280" t="s">
        <v>7340</v>
      </c>
      <c r="B5280" t="s">
        <v>284</v>
      </c>
      <c r="C5280" t="s">
        <v>393</v>
      </c>
    </row>
    <row r="5281" spans="1:6" x14ac:dyDescent="0.25">
      <c r="A5281" t="s">
        <v>7340</v>
      </c>
      <c r="B5281" t="s">
        <v>301</v>
      </c>
      <c r="C5281" t="s">
        <v>302</v>
      </c>
      <c r="D5281" t="str">
        <f>HYPERLINK("http://service.sap.com/sap/support/notes/1726407","1726407")</f>
        <v>1726407</v>
      </c>
      <c r="E5281">
        <v>5</v>
      </c>
      <c r="F5281" t="s">
        <v>4560</v>
      </c>
    </row>
    <row r="5282" spans="1:6" x14ac:dyDescent="0.25">
      <c r="A5282" t="s">
        <v>7340</v>
      </c>
      <c r="B5282" t="s">
        <v>301</v>
      </c>
      <c r="C5282" t="s">
        <v>302</v>
      </c>
      <c r="D5282" t="str">
        <f>HYPERLINK("http://service.sap.com/sap/support/notes/1746798","1746798")</f>
        <v>1746798</v>
      </c>
      <c r="E5282">
        <v>2</v>
      </c>
      <c r="F5282" t="s">
        <v>7025</v>
      </c>
    </row>
    <row r="5283" spans="1:6" x14ac:dyDescent="0.25">
      <c r="A5283" t="s">
        <v>7340</v>
      </c>
      <c r="B5283" t="s">
        <v>301</v>
      </c>
      <c r="C5283" t="s">
        <v>302</v>
      </c>
      <c r="D5283" t="str">
        <f>HYPERLINK("http://service.sap.com/sap/support/notes/1764763","1764763")</f>
        <v>1764763</v>
      </c>
      <c r="E5283">
        <v>2</v>
      </c>
      <c r="F5283" t="s">
        <v>7026</v>
      </c>
    </row>
    <row r="5284" spans="1:6" x14ac:dyDescent="0.25">
      <c r="A5284" t="s">
        <v>7340</v>
      </c>
      <c r="B5284" t="s">
        <v>7027</v>
      </c>
      <c r="C5284" t="s">
        <v>7028</v>
      </c>
      <c r="D5284" t="str">
        <f>HYPERLINK("http://service.sap.com/sap/support/notes/1758482","1758482")</f>
        <v>1758482</v>
      </c>
      <c r="E5284">
        <v>1</v>
      </c>
      <c r="F5284" t="s">
        <v>7029</v>
      </c>
    </row>
    <row r="5285" spans="1:6" x14ac:dyDescent="0.25">
      <c r="A5285" t="s">
        <v>7340</v>
      </c>
      <c r="B5285" t="s">
        <v>76</v>
      </c>
      <c r="C5285" t="s">
        <v>77</v>
      </c>
    </row>
    <row r="5286" spans="1:6" x14ac:dyDescent="0.25">
      <c r="A5286" t="s">
        <v>7340</v>
      </c>
      <c r="B5286" t="s">
        <v>78</v>
      </c>
      <c r="C5286" t="s">
        <v>79</v>
      </c>
      <c r="D5286" t="str">
        <f>HYPERLINK("http://service.sap.com/sap/support/notes/1654885","1654885")</f>
        <v>1654885</v>
      </c>
      <c r="E5286">
        <v>6</v>
      </c>
      <c r="F5286" t="s">
        <v>7030</v>
      </c>
    </row>
    <row r="5287" spans="1:6" x14ac:dyDescent="0.25">
      <c r="A5287" t="s">
        <v>7340</v>
      </c>
      <c r="B5287" t="s">
        <v>78</v>
      </c>
      <c r="C5287" t="s">
        <v>79</v>
      </c>
      <c r="D5287" t="str">
        <f>HYPERLINK("http://service.sap.com/sap/support/notes/1749861","1749861")</f>
        <v>1749861</v>
      </c>
      <c r="E5287">
        <v>2</v>
      </c>
      <c r="F5287" t="s">
        <v>7031</v>
      </c>
    </row>
    <row r="5288" spans="1:6" x14ac:dyDescent="0.25">
      <c r="A5288" t="s">
        <v>7340</v>
      </c>
      <c r="B5288" t="s">
        <v>78</v>
      </c>
      <c r="C5288" t="s">
        <v>79</v>
      </c>
      <c r="D5288" t="str">
        <f>HYPERLINK("http://service.sap.com/sap/support/notes/1756753","1756753")</f>
        <v>1756753</v>
      </c>
      <c r="E5288">
        <v>1</v>
      </c>
      <c r="F5288" t="s">
        <v>7032</v>
      </c>
    </row>
    <row r="5289" spans="1:6" x14ac:dyDescent="0.25">
      <c r="A5289" t="s">
        <v>7340</v>
      </c>
      <c r="B5289" t="s">
        <v>78</v>
      </c>
      <c r="C5289" t="s">
        <v>79</v>
      </c>
      <c r="D5289" t="str">
        <f>HYPERLINK("http://service.sap.com/sap/support/notes/1761347","1761347")</f>
        <v>1761347</v>
      </c>
      <c r="E5289">
        <v>2</v>
      </c>
      <c r="F5289" t="s">
        <v>7033</v>
      </c>
    </row>
    <row r="5290" spans="1:6" x14ac:dyDescent="0.25">
      <c r="A5290" t="s">
        <v>7340</v>
      </c>
      <c r="B5290" t="s">
        <v>80</v>
      </c>
      <c r="C5290" t="s">
        <v>32</v>
      </c>
      <c r="D5290" t="str">
        <f>HYPERLINK("http://service.sap.com/sap/support/notes/1662688","1662688")</f>
        <v>1662688</v>
      </c>
      <c r="E5290">
        <v>11</v>
      </c>
      <c r="F5290" t="s">
        <v>7034</v>
      </c>
    </row>
    <row r="5291" spans="1:6" x14ac:dyDescent="0.25">
      <c r="A5291" t="s">
        <v>7340</v>
      </c>
      <c r="B5291" t="s">
        <v>80</v>
      </c>
      <c r="C5291" t="s">
        <v>32</v>
      </c>
      <c r="D5291" t="str">
        <f>HYPERLINK("http://service.sap.com/sap/support/notes/1694229","1694229")</f>
        <v>1694229</v>
      </c>
      <c r="E5291">
        <v>7</v>
      </c>
      <c r="F5291" t="s">
        <v>7035</v>
      </c>
    </row>
    <row r="5292" spans="1:6" x14ac:dyDescent="0.25">
      <c r="A5292" t="s">
        <v>7340</v>
      </c>
      <c r="B5292" t="s">
        <v>80</v>
      </c>
      <c r="C5292" t="s">
        <v>32</v>
      </c>
      <c r="D5292" t="str">
        <f>HYPERLINK("http://service.sap.com/sap/support/notes/1744042","1744042")</f>
        <v>1744042</v>
      </c>
      <c r="E5292">
        <v>3</v>
      </c>
      <c r="F5292" t="s">
        <v>7036</v>
      </c>
    </row>
    <row r="5293" spans="1:6" x14ac:dyDescent="0.25">
      <c r="A5293" t="s">
        <v>7340</v>
      </c>
      <c r="B5293" t="s">
        <v>80</v>
      </c>
      <c r="C5293" t="s">
        <v>32</v>
      </c>
      <c r="D5293" t="str">
        <f>HYPERLINK("http://service.sap.com/sap/support/notes/1755651","1755651")</f>
        <v>1755651</v>
      </c>
      <c r="E5293">
        <v>1</v>
      </c>
      <c r="F5293" t="s">
        <v>7037</v>
      </c>
    </row>
    <row r="5294" spans="1:6" x14ac:dyDescent="0.25">
      <c r="A5294" t="s">
        <v>7340</v>
      </c>
      <c r="B5294" t="s">
        <v>80</v>
      </c>
      <c r="C5294" t="s">
        <v>32</v>
      </c>
      <c r="D5294" t="str">
        <f>HYPERLINK("http://service.sap.com/sap/support/notes/1763650","1763650")</f>
        <v>1763650</v>
      </c>
      <c r="E5294">
        <v>2</v>
      </c>
      <c r="F5294" t="s">
        <v>7038</v>
      </c>
    </row>
    <row r="5295" spans="1:6" x14ac:dyDescent="0.25">
      <c r="A5295" t="s">
        <v>7340</v>
      </c>
      <c r="B5295" t="s">
        <v>80</v>
      </c>
      <c r="C5295" t="s">
        <v>32</v>
      </c>
      <c r="D5295" t="str">
        <f>HYPERLINK("http://service.sap.com/sap/support/notes/1763811","1763811")</f>
        <v>1763811</v>
      </c>
      <c r="E5295">
        <v>2</v>
      </c>
      <c r="F5295" t="s">
        <v>7039</v>
      </c>
    </row>
    <row r="5296" spans="1:6" x14ac:dyDescent="0.25">
      <c r="A5296" t="s">
        <v>7340</v>
      </c>
      <c r="B5296" t="s">
        <v>80</v>
      </c>
      <c r="C5296" t="s">
        <v>32</v>
      </c>
      <c r="D5296" t="str">
        <f>HYPERLINK("http://service.sap.com/sap/support/notes/1767418","1767418")</f>
        <v>1767418</v>
      </c>
      <c r="E5296">
        <v>1</v>
      </c>
      <c r="F5296" t="s">
        <v>7040</v>
      </c>
    </row>
    <row r="5297" spans="1:6" x14ac:dyDescent="0.25">
      <c r="A5297" t="s">
        <v>7340</v>
      </c>
      <c r="B5297" t="s">
        <v>81</v>
      </c>
      <c r="C5297" t="s">
        <v>82</v>
      </c>
      <c r="D5297" t="str">
        <f>HYPERLINK("http://service.sap.com/sap/support/notes/1756543","1756543")</f>
        <v>1756543</v>
      </c>
      <c r="E5297">
        <v>4</v>
      </c>
      <c r="F5297" t="s">
        <v>7041</v>
      </c>
    </row>
    <row r="5298" spans="1:6" x14ac:dyDescent="0.25">
      <c r="A5298" t="s">
        <v>7340</v>
      </c>
      <c r="B5298" t="s">
        <v>83</v>
      </c>
      <c r="C5298" t="s">
        <v>84</v>
      </c>
      <c r="D5298" t="str">
        <f>HYPERLINK("http://service.sap.com/sap/support/notes/1673121","1673121")</f>
        <v>1673121</v>
      </c>
      <c r="E5298">
        <v>2</v>
      </c>
      <c r="F5298" t="s">
        <v>7042</v>
      </c>
    </row>
    <row r="5299" spans="1:6" x14ac:dyDescent="0.25">
      <c r="A5299" t="s">
        <v>7340</v>
      </c>
      <c r="B5299" t="s">
        <v>83</v>
      </c>
      <c r="C5299" t="s">
        <v>84</v>
      </c>
      <c r="D5299" t="str">
        <f>HYPERLINK("http://service.sap.com/sap/support/notes/1736043","1736043")</f>
        <v>1736043</v>
      </c>
      <c r="E5299">
        <v>1</v>
      </c>
      <c r="F5299" t="s">
        <v>4599</v>
      </c>
    </row>
    <row r="5300" spans="1:6" x14ac:dyDescent="0.25">
      <c r="A5300" t="s">
        <v>7340</v>
      </c>
      <c r="B5300" t="s">
        <v>83</v>
      </c>
      <c r="C5300" t="s">
        <v>84</v>
      </c>
      <c r="D5300" t="str">
        <f>HYPERLINK("http://service.sap.com/sap/support/notes/1752725","1752725")</f>
        <v>1752725</v>
      </c>
      <c r="E5300">
        <v>2</v>
      </c>
      <c r="F5300" t="s">
        <v>6930</v>
      </c>
    </row>
    <row r="5301" spans="1:6" x14ac:dyDescent="0.25">
      <c r="A5301" t="s">
        <v>7340</v>
      </c>
      <c r="B5301" t="s">
        <v>83</v>
      </c>
      <c r="C5301" t="s">
        <v>84</v>
      </c>
      <c r="D5301" t="str">
        <f>HYPERLINK("http://service.sap.com/sap/support/notes/1755354","1755354")</f>
        <v>1755354</v>
      </c>
      <c r="E5301">
        <v>1</v>
      </c>
      <c r="F5301" t="s">
        <v>6931</v>
      </c>
    </row>
    <row r="5302" spans="1:6" x14ac:dyDescent="0.25">
      <c r="A5302" t="s">
        <v>7340</v>
      </c>
      <c r="B5302" t="s">
        <v>83</v>
      </c>
      <c r="C5302" t="s">
        <v>84</v>
      </c>
      <c r="D5302" t="str">
        <f>HYPERLINK("http://service.sap.com/sap/support/notes/1756837","1756837")</f>
        <v>1756837</v>
      </c>
      <c r="E5302">
        <v>1</v>
      </c>
      <c r="F5302" t="s">
        <v>7043</v>
      </c>
    </row>
    <row r="5303" spans="1:6" x14ac:dyDescent="0.25">
      <c r="A5303" t="s">
        <v>7340</v>
      </c>
      <c r="B5303" t="s">
        <v>83</v>
      </c>
      <c r="C5303" t="s">
        <v>84</v>
      </c>
      <c r="D5303" t="str">
        <f>HYPERLINK("http://service.sap.com/sap/support/notes/1758880","1758880")</f>
        <v>1758880</v>
      </c>
      <c r="E5303">
        <v>2</v>
      </c>
      <c r="F5303" t="s">
        <v>7044</v>
      </c>
    </row>
    <row r="5304" spans="1:6" x14ac:dyDescent="0.25">
      <c r="A5304" t="s">
        <v>7340</v>
      </c>
      <c r="B5304" t="s">
        <v>83</v>
      </c>
      <c r="C5304" t="s">
        <v>84</v>
      </c>
      <c r="D5304" t="str">
        <f>HYPERLINK("http://service.sap.com/sap/support/notes/1761029","1761029")</f>
        <v>1761029</v>
      </c>
      <c r="E5304">
        <v>1</v>
      </c>
      <c r="F5304" t="s">
        <v>7045</v>
      </c>
    </row>
    <row r="5305" spans="1:6" x14ac:dyDescent="0.25">
      <c r="A5305" t="s">
        <v>7340</v>
      </c>
      <c r="B5305" t="s">
        <v>83</v>
      </c>
      <c r="C5305" t="s">
        <v>84</v>
      </c>
      <c r="D5305" t="str">
        <f>HYPERLINK("http://service.sap.com/sap/support/notes/1761031","1761031")</f>
        <v>1761031</v>
      </c>
      <c r="E5305">
        <v>1</v>
      </c>
      <c r="F5305" t="s">
        <v>7046</v>
      </c>
    </row>
    <row r="5306" spans="1:6" x14ac:dyDescent="0.25">
      <c r="A5306" t="s">
        <v>7340</v>
      </c>
      <c r="B5306" t="s">
        <v>83</v>
      </c>
      <c r="C5306" t="s">
        <v>84</v>
      </c>
      <c r="D5306" t="str">
        <f>HYPERLINK("http://service.sap.com/sap/support/notes/1762524","1762524")</f>
        <v>1762524</v>
      </c>
      <c r="E5306">
        <v>1</v>
      </c>
      <c r="F5306" t="s">
        <v>7047</v>
      </c>
    </row>
    <row r="5307" spans="1:6" x14ac:dyDescent="0.25">
      <c r="A5307" t="s">
        <v>7340</v>
      </c>
      <c r="B5307" t="s">
        <v>83</v>
      </c>
      <c r="C5307" t="s">
        <v>84</v>
      </c>
      <c r="D5307" t="str">
        <f>HYPERLINK("http://service.sap.com/sap/support/notes/1763625","1763625")</f>
        <v>1763625</v>
      </c>
      <c r="E5307">
        <v>3</v>
      </c>
      <c r="F5307" t="s">
        <v>6932</v>
      </c>
    </row>
    <row r="5308" spans="1:6" x14ac:dyDescent="0.25">
      <c r="A5308" t="s">
        <v>7340</v>
      </c>
      <c r="B5308" t="s">
        <v>83</v>
      </c>
      <c r="C5308" t="s">
        <v>84</v>
      </c>
      <c r="D5308" t="str">
        <f>HYPERLINK("http://service.sap.com/sap/support/notes/1765380","1765380")</f>
        <v>1765380</v>
      </c>
      <c r="E5308">
        <v>1</v>
      </c>
      <c r="F5308" t="s">
        <v>6933</v>
      </c>
    </row>
    <row r="5309" spans="1:6" x14ac:dyDescent="0.25">
      <c r="A5309" t="s">
        <v>7340</v>
      </c>
      <c r="B5309" t="s">
        <v>86</v>
      </c>
      <c r="C5309" t="s">
        <v>87</v>
      </c>
      <c r="D5309" t="str">
        <f>HYPERLINK("http://service.sap.com/sap/support/notes/1744013","1744013")</f>
        <v>1744013</v>
      </c>
      <c r="E5309">
        <v>3</v>
      </c>
      <c r="F5309" t="s">
        <v>6937</v>
      </c>
    </row>
    <row r="5310" spans="1:6" x14ac:dyDescent="0.25">
      <c r="A5310" t="s">
        <v>7340</v>
      </c>
      <c r="B5310" t="s">
        <v>86</v>
      </c>
      <c r="C5310" t="s">
        <v>87</v>
      </c>
      <c r="D5310" t="str">
        <f>HYPERLINK("http://service.sap.com/sap/support/notes/1744115","1744115")</f>
        <v>1744115</v>
      </c>
      <c r="E5310">
        <v>3</v>
      </c>
      <c r="F5310" t="s">
        <v>6938</v>
      </c>
    </row>
    <row r="5311" spans="1:6" x14ac:dyDescent="0.25">
      <c r="A5311" t="s">
        <v>7340</v>
      </c>
      <c r="B5311" t="s">
        <v>86</v>
      </c>
      <c r="C5311" t="s">
        <v>87</v>
      </c>
      <c r="D5311" t="str">
        <f>HYPERLINK("http://service.sap.com/sap/support/notes/1757201","1757201")</f>
        <v>1757201</v>
      </c>
      <c r="E5311">
        <v>3</v>
      </c>
      <c r="F5311" t="s">
        <v>6942</v>
      </c>
    </row>
    <row r="5312" spans="1:6" x14ac:dyDescent="0.25">
      <c r="A5312" t="s">
        <v>7340</v>
      </c>
      <c r="B5312" t="s">
        <v>86</v>
      </c>
      <c r="C5312" t="s">
        <v>87</v>
      </c>
      <c r="D5312" t="str">
        <f>HYPERLINK("http://service.sap.com/sap/support/notes/1766008","1766008")</f>
        <v>1766008</v>
      </c>
      <c r="E5312">
        <v>1</v>
      </c>
      <c r="F5312" t="s">
        <v>7048</v>
      </c>
    </row>
    <row r="5313" spans="1:6" x14ac:dyDescent="0.25">
      <c r="A5313" t="s">
        <v>7340</v>
      </c>
      <c r="B5313" t="s">
        <v>89</v>
      </c>
      <c r="C5313" t="s">
        <v>34</v>
      </c>
      <c r="D5313" t="str">
        <f>HYPERLINK("http://service.sap.com/sap/support/notes/1717363","1717363")</f>
        <v>1717363</v>
      </c>
      <c r="E5313">
        <v>2</v>
      </c>
      <c r="F5313" t="s">
        <v>7049</v>
      </c>
    </row>
    <row r="5314" spans="1:6" x14ac:dyDescent="0.25">
      <c r="A5314" t="s">
        <v>7340</v>
      </c>
      <c r="B5314" t="s">
        <v>89</v>
      </c>
      <c r="C5314" t="s">
        <v>34</v>
      </c>
      <c r="D5314" t="str">
        <f>HYPERLINK("http://service.sap.com/sap/support/notes/1734560","1734560")</f>
        <v>1734560</v>
      </c>
      <c r="E5314">
        <v>2</v>
      </c>
      <c r="F5314" t="s">
        <v>7050</v>
      </c>
    </row>
    <row r="5315" spans="1:6" x14ac:dyDescent="0.25">
      <c r="A5315" t="s">
        <v>7340</v>
      </c>
      <c r="B5315" t="s">
        <v>89</v>
      </c>
      <c r="C5315" t="s">
        <v>34</v>
      </c>
      <c r="D5315" t="str">
        <f>HYPERLINK("http://service.sap.com/sap/support/notes/1737534","1737534")</f>
        <v>1737534</v>
      </c>
      <c r="E5315">
        <v>1</v>
      </c>
      <c r="F5315" t="s">
        <v>7051</v>
      </c>
    </row>
    <row r="5316" spans="1:6" x14ac:dyDescent="0.25">
      <c r="A5316" t="s">
        <v>7340</v>
      </c>
      <c r="B5316" t="s">
        <v>89</v>
      </c>
      <c r="C5316" t="s">
        <v>34</v>
      </c>
      <c r="D5316" t="str">
        <f>HYPERLINK("http://service.sap.com/sap/support/notes/1746171","1746171")</f>
        <v>1746171</v>
      </c>
      <c r="E5316">
        <v>2</v>
      </c>
      <c r="F5316" t="s">
        <v>7052</v>
      </c>
    </row>
    <row r="5317" spans="1:6" x14ac:dyDescent="0.25">
      <c r="A5317" t="s">
        <v>7340</v>
      </c>
      <c r="B5317" t="s">
        <v>89</v>
      </c>
      <c r="C5317" t="s">
        <v>34</v>
      </c>
      <c r="D5317" t="str">
        <f>HYPERLINK("http://service.sap.com/sap/support/notes/1747074","1747074")</f>
        <v>1747074</v>
      </c>
      <c r="E5317">
        <v>3</v>
      </c>
      <c r="F5317" t="s">
        <v>7053</v>
      </c>
    </row>
    <row r="5318" spans="1:6" x14ac:dyDescent="0.25">
      <c r="A5318" t="s">
        <v>7340</v>
      </c>
      <c r="B5318" t="s">
        <v>89</v>
      </c>
      <c r="C5318" t="s">
        <v>34</v>
      </c>
      <c r="D5318" t="str">
        <f>HYPERLINK("http://service.sap.com/sap/support/notes/1747373","1747373")</f>
        <v>1747373</v>
      </c>
      <c r="E5318">
        <v>3</v>
      </c>
      <c r="F5318" t="s">
        <v>7054</v>
      </c>
    </row>
    <row r="5319" spans="1:6" x14ac:dyDescent="0.25">
      <c r="A5319" t="s">
        <v>7340</v>
      </c>
      <c r="B5319" t="s">
        <v>89</v>
      </c>
      <c r="C5319" t="s">
        <v>34</v>
      </c>
      <c r="D5319" t="str">
        <f>HYPERLINK("http://service.sap.com/sap/support/notes/1749871","1749871")</f>
        <v>1749871</v>
      </c>
      <c r="E5319">
        <v>3</v>
      </c>
      <c r="F5319" t="s">
        <v>7055</v>
      </c>
    </row>
    <row r="5320" spans="1:6" x14ac:dyDescent="0.25">
      <c r="A5320" t="s">
        <v>7340</v>
      </c>
      <c r="B5320" t="s">
        <v>89</v>
      </c>
      <c r="C5320" t="s">
        <v>34</v>
      </c>
      <c r="D5320" t="str">
        <f>HYPERLINK("http://service.sap.com/sap/support/notes/1752313","1752313")</f>
        <v>1752313</v>
      </c>
      <c r="E5320">
        <v>3</v>
      </c>
      <c r="F5320" t="s">
        <v>7056</v>
      </c>
    </row>
    <row r="5321" spans="1:6" x14ac:dyDescent="0.25">
      <c r="A5321" t="s">
        <v>7340</v>
      </c>
      <c r="B5321" t="s">
        <v>89</v>
      </c>
      <c r="C5321" t="s">
        <v>34</v>
      </c>
      <c r="D5321" t="str">
        <f>HYPERLINK("http://service.sap.com/sap/support/notes/1756159","1756159")</f>
        <v>1756159</v>
      </c>
      <c r="E5321">
        <v>2</v>
      </c>
      <c r="F5321" t="s">
        <v>7057</v>
      </c>
    </row>
    <row r="5322" spans="1:6" x14ac:dyDescent="0.25">
      <c r="A5322" t="s">
        <v>7340</v>
      </c>
      <c r="B5322" t="s">
        <v>89</v>
      </c>
      <c r="C5322" t="s">
        <v>34</v>
      </c>
      <c r="D5322" t="str">
        <f>HYPERLINK("http://service.sap.com/sap/support/notes/1756445","1756445")</f>
        <v>1756445</v>
      </c>
      <c r="E5322">
        <v>4</v>
      </c>
      <c r="F5322" t="s">
        <v>7058</v>
      </c>
    </row>
    <row r="5323" spans="1:6" x14ac:dyDescent="0.25">
      <c r="A5323" t="s">
        <v>7340</v>
      </c>
      <c r="B5323" t="s">
        <v>89</v>
      </c>
      <c r="C5323" t="s">
        <v>34</v>
      </c>
      <c r="D5323" t="str">
        <f>HYPERLINK("http://service.sap.com/sap/support/notes/1756592","1756592")</f>
        <v>1756592</v>
      </c>
      <c r="E5323">
        <v>1</v>
      </c>
      <c r="F5323" t="s">
        <v>7059</v>
      </c>
    </row>
    <row r="5324" spans="1:6" x14ac:dyDescent="0.25">
      <c r="A5324" t="s">
        <v>7340</v>
      </c>
      <c r="B5324" t="s">
        <v>89</v>
      </c>
      <c r="C5324" t="s">
        <v>34</v>
      </c>
      <c r="D5324" t="str">
        <f>HYPERLINK("http://service.sap.com/sap/support/notes/1756626","1756626")</f>
        <v>1756626</v>
      </c>
      <c r="E5324">
        <v>3</v>
      </c>
      <c r="F5324" t="s">
        <v>7060</v>
      </c>
    </row>
    <row r="5325" spans="1:6" x14ac:dyDescent="0.25">
      <c r="A5325" t="s">
        <v>7340</v>
      </c>
      <c r="B5325" t="s">
        <v>89</v>
      </c>
      <c r="C5325" t="s">
        <v>34</v>
      </c>
      <c r="D5325" t="str">
        <f>HYPERLINK("http://service.sap.com/sap/support/notes/1756961","1756961")</f>
        <v>1756961</v>
      </c>
      <c r="E5325">
        <v>1</v>
      </c>
      <c r="F5325" t="s">
        <v>7061</v>
      </c>
    </row>
    <row r="5326" spans="1:6" x14ac:dyDescent="0.25">
      <c r="A5326" t="s">
        <v>7340</v>
      </c>
      <c r="B5326" t="s">
        <v>89</v>
      </c>
      <c r="C5326" t="s">
        <v>34</v>
      </c>
      <c r="D5326" t="str">
        <f>HYPERLINK("http://service.sap.com/sap/support/notes/1757053","1757053")</f>
        <v>1757053</v>
      </c>
      <c r="E5326">
        <v>1</v>
      </c>
      <c r="F5326" t="s">
        <v>7062</v>
      </c>
    </row>
    <row r="5327" spans="1:6" x14ac:dyDescent="0.25">
      <c r="A5327" t="s">
        <v>7340</v>
      </c>
      <c r="B5327" t="s">
        <v>89</v>
      </c>
      <c r="C5327" t="s">
        <v>34</v>
      </c>
      <c r="D5327" t="str">
        <f>HYPERLINK("http://service.sap.com/sap/support/notes/1757222","1757222")</f>
        <v>1757222</v>
      </c>
      <c r="E5327">
        <v>1</v>
      </c>
      <c r="F5327" t="s">
        <v>7063</v>
      </c>
    </row>
    <row r="5328" spans="1:6" x14ac:dyDescent="0.25">
      <c r="A5328" t="s">
        <v>7340</v>
      </c>
      <c r="B5328" t="s">
        <v>89</v>
      </c>
      <c r="C5328" t="s">
        <v>34</v>
      </c>
      <c r="D5328" t="str">
        <f>HYPERLINK("http://service.sap.com/sap/support/notes/1757605","1757605")</f>
        <v>1757605</v>
      </c>
      <c r="E5328">
        <v>1</v>
      </c>
      <c r="F5328" t="s">
        <v>7064</v>
      </c>
    </row>
    <row r="5329" spans="1:6" x14ac:dyDescent="0.25">
      <c r="A5329" t="s">
        <v>7340</v>
      </c>
      <c r="B5329" t="s">
        <v>89</v>
      </c>
      <c r="C5329" t="s">
        <v>34</v>
      </c>
      <c r="D5329" t="str">
        <f>HYPERLINK("http://service.sap.com/sap/support/notes/1758569","1758569")</f>
        <v>1758569</v>
      </c>
      <c r="E5329">
        <v>2</v>
      </c>
      <c r="F5329" t="s">
        <v>7065</v>
      </c>
    </row>
    <row r="5330" spans="1:6" x14ac:dyDescent="0.25">
      <c r="A5330" t="s">
        <v>7340</v>
      </c>
      <c r="B5330" t="s">
        <v>89</v>
      </c>
      <c r="C5330" t="s">
        <v>34</v>
      </c>
      <c r="D5330" t="str">
        <f>HYPERLINK("http://service.sap.com/sap/support/notes/1759780","1759780")</f>
        <v>1759780</v>
      </c>
      <c r="E5330">
        <v>2</v>
      </c>
      <c r="F5330" t="s">
        <v>7066</v>
      </c>
    </row>
    <row r="5331" spans="1:6" x14ac:dyDescent="0.25">
      <c r="A5331" t="s">
        <v>7340</v>
      </c>
      <c r="B5331" t="s">
        <v>89</v>
      </c>
      <c r="C5331" t="s">
        <v>34</v>
      </c>
      <c r="D5331" t="str">
        <f>HYPERLINK("http://service.sap.com/sap/support/notes/1759867","1759867")</f>
        <v>1759867</v>
      </c>
      <c r="E5331">
        <v>1</v>
      </c>
      <c r="F5331" t="s">
        <v>7067</v>
      </c>
    </row>
    <row r="5332" spans="1:6" x14ac:dyDescent="0.25">
      <c r="A5332" t="s">
        <v>7340</v>
      </c>
      <c r="B5332" t="s">
        <v>89</v>
      </c>
      <c r="C5332" t="s">
        <v>34</v>
      </c>
      <c r="D5332" t="str">
        <f>HYPERLINK("http://service.sap.com/sap/support/notes/1759868","1759868")</f>
        <v>1759868</v>
      </c>
      <c r="E5332">
        <v>1</v>
      </c>
      <c r="F5332" t="s">
        <v>7068</v>
      </c>
    </row>
    <row r="5333" spans="1:6" x14ac:dyDescent="0.25">
      <c r="A5333" t="s">
        <v>7340</v>
      </c>
      <c r="B5333" t="s">
        <v>89</v>
      </c>
      <c r="C5333" t="s">
        <v>34</v>
      </c>
      <c r="D5333" t="str">
        <f>HYPERLINK("http://service.sap.com/sap/support/notes/1760334","1760334")</f>
        <v>1760334</v>
      </c>
      <c r="E5333">
        <v>1</v>
      </c>
      <c r="F5333" t="s">
        <v>7069</v>
      </c>
    </row>
    <row r="5334" spans="1:6" x14ac:dyDescent="0.25">
      <c r="A5334" t="s">
        <v>7340</v>
      </c>
      <c r="B5334" t="s">
        <v>89</v>
      </c>
      <c r="C5334" t="s">
        <v>34</v>
      </c>
      <c r="D5334" t="str">
        <f>HYPERLINK("http://service.sap.com/sap/support/notes/1760415","1760415")</f>
        <v>1760415</v>
      </c>
      <c r="E5334">
        <v>2</v>
      </c>
      <c r="F5334" t="s">
        <v>7070</v>
      </c>
    </row>
    <row r="5335" spans="1:6" x14ac:dyDescent="0.25">
      <c r="A5335" t="s">
        <v>7340</v>
      </c>
      <c r="B5335" t="s">
        <v>89</v>
      </c>
      <c r="C5335" t="s">
        <v>34</v>
      </c>
      <c r="D5335" t="str">
        <f>HYPERLINK("http://service.sap.com/sap/support/notes/1761765","1761765")</f>
        <v>1761765</v>
      </c>
      <c r="E5335">
        <v>2</v>
      </c>
      <c r="F5335" t="s">
        <v>7071</v>
      </c>
    </row>
    <row r="5336" spans="1:6" x14ac:dyDescent="0.25">
      <c r="A5336" t="s">
        <v>7340</v>
      </c>
      <c r="B5336" t="s">
        <v>89</v>
      </c>
      <c r="C5336" t="s">
        <v>34</v>
      </c>
      <c r="D5336" t="str">
        <f>HYPERLINK("http://service.sap.com/sap/support/notes/1762031","1762031")</f>
        <v>1762031</v>
      </c>
      <c r="E5336">
        <v>3</v>
      </c>
      <c r="F5336" t="s">
        <v>7072</v>
      </c>
    </row>
    <row r="5337" spans="1:6" x14ac:dyDescent="0.25">
      <c r="A5337" t="s">
        <v>7340</v>
      </c>
      <c r="B5337" t="s">
        <v>89</v>
      </c>
      <c r="C5337" t="s">
        <v>34</v>
      </c>
      <c r="D5337" t="str">
        <f>HYPERLINK("http://service.sap.com/sap/support/notes/1762093","1762093")</f>
        <v>1762093</v>
      </c>
      <c r="E5337">
        <v>3</v>
      </c>
      <c r="F5337" t="s">
        <v>7073</v>
      </c>
    </row>
    <row r="5338" spans="1:6" x14ac:dyDescent="0.25">
      <c r="A5338" t="s">
        <v>7340</v>
      </c>
      <c r="B5338" t="s">
        <v>89</v>
      </c>
      <c r="C5338" t="s">
        <v>34</v>
      </c>
      <c r="D5338" t="str">
        <f>HYPERLINK("http://service.sap.com/sap/support/notes/1762753","1762753")</f>
        <v>1762753</v>
      </c>
      <c r="E5338">
        <v>2</v>
      </c>
      <c r="F5338" t="s">
        <v>7074</v>
      </c>
    </row>
    <row r="5339" spans="1:6" x14ac:dyDescent="0.25">
      <c r="A5339" t="s">
        <v>7340</v>
      </c>
      <c r="B5339" t="s">
        <v>89</v>
      </c>
      <c r="C5339" t="s">
        <v>34</v>
      </c>
      <c r="D5339" t="str">
        <f>HYPERLINK("http://service.sap.com/sap/support/notes/1763844","1763844")</f>
        <v>1763844</v>
      </c>
      <c r="E5339">
        <v>1</v>
      </c>
      <c r="F5339" t="s">
        <v>7075</v>
      </c>
    </row>
    <row r="5340" spans="1:6" x14ac:dyDescent="0.25">
      <c r="A5340" t="s">
        <v>7340</v>
      </c>
      <c r="B5340" t="s">
        <v>89</v>
      </c>
      <c r="C5340" t="s">
        <v>34</v>
      </c>
      <c r="D5340" t="str">
        <f>HYPERLINK("http://service.sap.com/sap/support/notes/1764317","1764317")</f>
        <v>1764317</v>
      </c>
      <c r="E5340">
        <v>3</v>
      </c>
      <c r="F5340" t="s">
        <v>7076</v>
      </c>
    </row>
    <row r="5341" spans="1:6" x14ac:dyDescent="0.25">
      <c r="A5341" t="s">
        <v>7340</v>
      </c>
      <c r="B5341" t="s">
        <v>89</v>
      </c>
      <c r="C5341" t="s">
        <v>34</v>
      </c>
      <c r="D5341" t="str">
        <f>HYPERLINK("http://service.sap.com/sap/support/notes/1764400","1764400")</f>
        <v>1764400</v>
      </c>
      <c r="E5341">
        <v>2</v>
      </c>
      <c r="F5341" t="s">
        <v>7077</v>
      </c>
    </row>
    <row r="5342" spans="1:6" x14ac:dyDescent="0.25">
      <c r="A5342" t="s">
        <v>7340</v>
      </c>
      <c r="B5342" t="s">
        <v>89</v>
      </c>
      <c r="C5342" t="s">
        <v>34</v>
      </c>
      <c r="D5342" t="str">
        <f>HYPERLINK("http://service.sap.com/sap/support/notes/1764544","1764544")</f>
        <v>1764544</v>
      </c>
      <c r="E5342">
        <v>3</v>
      </c>
      <c r="F5342" t="s">
        <v>7078</v>
      </c>
    </row>
    <row r="5343" spans="1:6" x14ac:dyDescent="0.25">
      <c r="A5343" t="s">
        <v>7340</v>
      </c>
      <c r="B5343" t="s">
        <v>89</v>
      </c>
      <c r="C5343" t="s">
        <v>34</v>
      </c>
      <c r="D5343" t="str">
        <f>HYPERLINK("http://service.sap.com/sap/support/notes/1765360","1765360")</f>
        <v>1765360</v>
      </c>
      <c r="E5343">
        <v>3</v>
      </c>
      <c r="F5343" t="s">
        <v>7079</v>
      </c>
    </row>
    <row r="5344" spans="1:6" x14ac:dyDescent="0.25">
      <c r="A5344" t="s">
        <v>7340</v>
      </c>
      <c r="B5344" t="s">
        <v>89</v>
      </c>
      <c r="C5344" t="s">
        <v>34</v>
      </c>
      <c r="D5344" t="str">
        <f>HYPERLINK("http://service.sap.com/sap/support/notes/1766800","1766800")</f>
        <v>1766800</v>
      </c>
      <c r="E5344">
        <v>3</v>
      </c>
      <c r="F5344" t="s">
        <v>7080</v>
      </c>
    </row>
    <row r="5345" spans="1:6" x14ac:dyDescent="0.25">
      <c r="A5345" t="s">
        <v>7340</v>
      </c>
      <c r="B5345" t="s">
        <v>89</v>
      </c>
      <c r="C5345" t="s">
        <v>34</v>
      </c>
      <c r="D5345" t="str">
        <f>HYPERLINK("http://service.sap.com/sap/support/notes/1767529","1767529")</f>
        <v>1767529</v>
      </c>
      <c r="E5345">
        <v>2</v>
      </c>
      <c r="F5345" t="s">
        <v>7081</v>
      </c>
    </row>
    <row r="5346" spans="1:6" x14ac:dyDescent="0.25">
      <c r="A5346" t="s">
        <v>7340</v>
      </c>
      <c r="B5346" t="s">
        <v>91</v>
      </c>
      <c r="C5346" t="s">
        <v>92</v>
      </c>
      <c r="D5346" t="str">
        <f>HYPERLINK("http://service.sap.com/sap/support/notes/1705991","1705991")</f>
        <v>1705991</v>
      </c>
      <c r="E5346">
        <v>4</v>
      </c>
      <c r="F5346" t="s">
        <v>7082</v>
      </c>
    </row>
    <row r="5347" spans="1:6" x14ac:dyDescent="0.25">
      <c r="A5347" t="s">
        <v>7340</v>
      </c>
      <c r="B5347" t="s">
        <v>91</v>
      </c>
      <c r="C5347" t="s">
        <v>92</v>
      </c>
      <c r="D5347" t="str">
        <f>HYPERLINK("http://service.sap.com/sap/support/notes/1740366","1740366")</f>
        <v>1740366</v>
      </c>
      <c r="E5347">
        <v>1</v>
      </c>
      <c r="F5347" t="s">
        <v>7083</v>
      </c>
    </row>
    <row r="5348" spans="1:6" x14ac:dyDescent="0.25">
      <c r="A5348" t="s">
        <v>7340</v>
      </c>
      <c r="B5348" t="s">
        <v>91</v>
      </c>
      <c r="C5348" t="s">
        <v>92</v>
      </c>
      <c r="D5348" t="str">
        <f>HYPERLINK("http://service.sap.com/sap/support/notes/1741897","1741897")</f>
        <v>1741897</v>
      </c>
      <c r="E5348">
        <v>2</v>
      </c>
      <c r="F5348" t="s">
        <v>7084</v>
      </c>
    </row>
    <row r="5349" spans="1:6" x14ac:dyDescent="0.25">
      <c r="A5349" t="s">
        <v>7340</v>
      </c>
      <c r="B5349" t="s">
        <v>91</v>
      </c>
      <c r="C5349" t="s">
        <v>92</v>
      </c>
      <c r="D5349" t="str">
        <f>HYPERLINK("http://service.sap.com/sap/support/notes/1744844","1744844")</f>
        <v>1744844</v>
      </c>
      <c r="E5349">
        <v>3</v>
      </c>
      <c r="F5349" t="s">
        <v>4977</v>
      </c>
    </row>
    <row r="5350" spans="1:6" x14ac:dyDescent="0.25">
      <c r="A5350" t="s">
        <v>7340</v>
      </c>
      <c r="B5350" t="s">
        <v>91</v>
      </c>
      <c r="C5350" t="s">
        <v>92</v>
      </c>
      <c r="D5350" t="str">
        <f>HYPERLINK("http://service.sap.com/sap/support/notes/1754288","1754288")</f>
        <v>1754288</v>
      </c>
      <c r="E5350">
        <v>2</v>
      </c>
      <c r="F5350" t="s">
        <v>7085</v>
      </c>
    </row>
    <row r="5351" spans="1:6" x14ac:dyDescent="0.25">
      <c r="A5351" t="s">
        <v>7340</v>
      </c>
      <c r="B5351" t="s">
        <v>91</v>
      </c>
      <c r="C5351" t="s">
        <v>92</v>
      </c>
      <c r="D5351" t="str">
        <f>HYPERLINK("http://service.sap.com/sap/support/notes/1756304","1756304")</f>
        <v>1756304</v>
      </c>
      <c r="E5351">
        <v>2</v>
      </c>
      <c r="F5351" t="s">
        <v>7086</v>
      </c>
    </row>
    <row r="5352" spans="1:6" x14ac:dyDescent="0.25">
      <c r="A5352" t="s">
        <v>7340</v>
      </c>
      <c r="B5352" t="s">
        <v>94</v>
      </c>
      <c r="C5352" t="s">
        <v>95</v>
      </c>
      <c r="D5352" t="str">
        <f>HYPERLINK("http://service.sap.com/sap/support/notes/1676833","1676833")</f>
        <v>1676833</v>
      </c>
      <c r="E5352">
        <v>1</v>
      </c>
      <c r="F5352" t="s">
        <v>7087</v>
      </c>
    </row>
    <row r="5353" spans="1:6" x14ac:dyDescent="0.25">
      <c r="A5353" t="s">
        <v>7340</v>
      </c>
      <c r="B5353" t="s">
        <v>94</v>
      </c>
      <c r="C5353" t="s">
        <v>95</v>
      </c>
      <c r="D5353" t="str">
        <f>HYPERLINK("http://service.sap.com/sap/support/notes/1716615","1716615")</f>
        <v>1716615</v>
      </c>
      <c r="E5353">
        <v>2</v>
      </c>
      <c r="F5353" t="s">
        <v>7088</v>
      </c>
    </row>
    <row r="5354" spans="1:6" x14ac:dyDescent="0.25">
      <c r="A5354" t="s">
        <v>7340</v>
      </c>
      <c r="B5354" t="s">
        <v>94</v>
      </c>
      <c r="C5354" t="s">
        <v>95</v>
      </c>
      <c r="D5354" t="str">
        <f>HYPERLINK("http://service.sap.com/sap/support/notes/1752633","1752633")</f>
        <v>1752633</v>
      </c>
      <c r="E5354">
        <v>2</v>
      </c>
      <c r="F5354" t="s">
        <v>7089</v>
      </c>
    </row>
    <row r="5355" spans="1:6" x14ac:dyDescent="0.25">
      <c r="A5355" t="s">
        <v>7340</v>
      </c>
      <c r="B5355" t="s">
        <v>94</v>
      </c>
      <c r="C5355" t="s">
        <v>95</v>
      </c>
      <c r="D5355" t="str">
        <f>HYPERLINK("http://service.sap.com/sap/support/notes/1760546","1760546")</f>
        <v>1760546</v>
      </c>
      <c r="E5355">
        <v>1</v>
      </c>
      <c r="F5355" t="s">
        <v>7090</v>
      </c>
    </row>
    <row r="5356" spans="1:6" x14ac:dyDescent="0.25">
      <c r="A5356" t="s">
        <v>7340</v>
      </c>
      <c r="B5356" t="s">
        <v>306</v>
      </c>
      <c r="C5356" t="s">
        <v>132</v>
      </c>
      <c r="D5356" t="str">
        <f>HYPERLINK("http://service.sap.com/sap/support/notes/1732937","1732937")</f>
        <v>1732937</v>
      </c>
      <c r="E5356">
        <v>1</v>
      </c>
      <c r="F5356" t="s">
        <v>7091</v>
      </c>
    </row>
    <row r="5357" spans="1:6" x14ac:dyDescent="0.25">
      <c r="A5357" t="s">
        <v>7340</v>
      </c>
      <c r="B5357" t="s">
        <v>96</v>
      </c>
      <c r="C5357" t="s">
        <v>97</v>
      </c>
      <c r="D5357" t="str">
        <f>HYPERLINK("http://service.sap.com/sap/support/notes/1712997","1712997")</f>
        <v>1712997</v>
      </c>
      <c r="E5357">
        <v>8</v>
      </c>
      <c r="F5357" t="s">
        <v>7092</v>
      </c>
    </row>
    <row r="5358" spans="1:6" x14ac:dyDescent="0.25">
      <c r="A5358" t="s">
        <v>7340</v>
      </c>
      <c r="B5358" t="s">
        <v>96</v>
      </c>
      <c r="C5358" t="s">
        <v>97</v>
      </c>
      <c r="D5358" t="str">
        <f>HYPERLINK("http://service.sap.com/sap/support/notes/1733182","1733182")</f>
        <v>1733182</v>
      </c>
      <c r="E5358">
        <v>4</v>
      </c>
      <c r="F5358" t="s">
        <v>7093</v>
      </c>
    </row>
    <row r="5359" spans="1:6" x14ac:dyDescent="0.25">
      <c r="A5359" t="s">
        <v>7340</v>
      </c>
      <c r="B5359" t="s">
        <v>96</v>
      </c>
      <c r="C5359" t="s">
        <v>97</v>
      </c>
      <c r="D5359" t="str">
        <f>HYPERLINK("http://service.sap.com/sap/support/notes/1735490","1735490")</f>
        <v>1735490</v>
      </c>
      <c r="E5359">
        <v>1</v>
      </c>
      <c r="F5359" t="s">
        <v>7094</v>
      </c>
    </row>
    <row r="5360" spans="1:6" x14ac:dyDescent="0.25">
      <c r="A5360" t="s">
        <v>7340</v>
      </c>
      <c r="B5360" t="s">
        <v>96</v>
      </c>
      <c r="C5360" t="s">
        <v>97</v>
      </c>
      <c r="D5360" t="str">
        <f>HYPERLINK("http://service.sap.com/sap/support/notes/1756659","1756659")</f>
        <v>1756659</v>
      </c>
      <c r="E5360">
        <v>1</v>
      </c>
      <c r="F5360" t="s">
        <v>7095</v>
      </c>
    </row>
    <row r="5361" spans="1:6" x14ac:dyDescent="0.25">
      <c r="A5361" t="s">
        <v>7340</v>
      </c>
      <c r="B5361" t="s">
        <v>96</v>
      </c>
      <c r="C5361" t="s">
        <v>97</v>
      </c>
      <c r="D5361" t="str">
        <f>HYPERLINK("http://service.sap.com/sap/support/notes/1762423","1762423")</f>
        <v>1762423</v>
      </c>
      <c r="E5361">
        <v>1</v>
      </c>
      <c r="F5361" t="s">
        <v>7096</v>
      </c>
    </row>
    <row r="5362" spans="1:6" x14ac:dyDescent="0.25">
      <c r="A5362" t="s">
        <v>7340</v>
      </c>
      <c r="B5362" t="s">
        <v>96</v>
      </c>
      <c r="C5362" t="s">
        <v>97</v>
      </c>
      <c r="D5362" t="str">
        <f>HYPERLINK("http://service.sap.com/sap/support/notes/1763207","1763207")</f>
        <v>1763207</v>
      </c>
      <c r="E5362">
        <v>1</v>
      </c>
      <c r="F5362" t="s">
        <v>7097</v>
      </c>
    </row>
    <row r="5363" spans="1:6" x14ac:dyDescent="0.25">
      <c r="A5363" t="s">
        <v>7340</v>
      </c>
      <c r="B5363" t="s">
        <v>96</v>
      </c>
      <c r="C5363" t="s">
        <v>97</v>
      </c>
      <c r="D5363" t="str">
        <f>HYPERLINK("http://service.sap.com/sap/support/notes/1765573","1765573")</f>
        <v>1765573</v>
      </c>
      <c r="E5363">
        <v>1</v>
      </c>
      <c r="F5363" t="s">
        <v>7098</v>
      </c>
    </row>
    <row r="5364" spans="1:6" x14ac:dyDescent="0.25">
      <c r="A5364" t="s">
        <v>7340</v>
      </c>
      <c r="B5364" t="s">
        <v>98</v>
      </c>
      <c r="C5364" t="s">
        <v>99</v>
      </c>
      <c r="D5364" t="str">
        <f>HYPERLINK("http://service.sap.com/sap/support/notes/1758174","1758174")</f>
        <v>1758174</v>
      </c>
      <c r="E5364">
        <v>1</v>
      </c>
      <c r="F5364" t="s">
        <v>7099</v>
      </c>
    </row>
    <row r="5365" spans="1:6" x14ac:dyDescent="0.25">
      <c r="A5365" t="s">
        <v>7340</v>
      </c>
      <c r="B5365" t="s">
        <v>98</v>
      </c>
      <c r="C5365" t="s">
        <v>99</v>
      </c>
      <c r="D5365" t="str">
        <f>HYPERLINK("http://service.sap.com/sap/support/notes/1761903","1761903")</f>
        <v>1761903</v>
      </c>
      <c r="E5365">
        <v>1</v>
      </c>
      <c r="F5365" t="s">
        <v>7100</v>
      </c>
    </row>
    <row r="5366" spans="1:6" x14ac:dyDescent="0.25">
      <c r="A5366" t="s">
        <v>7340</v>
      </c>
      <c r="B5366" t="s">
        <v>100</v>
      </c>
      <c r="C5366" t="s">
        <v>36</v>
      </c>
      <c r="D5366" t="str">
        <f>HYPERLINK("http://service.sap.com/sap/support/notes/1753197","1753197")</f>
        <v>1753197</v>
      </c>
      <c r="E5366">
        <v>2</v>
      </c>
      <c r="F5366" t="s">
        <v>7101</v>
      </c>
    </row>
    <row r="5367" spans="1:6" x14ac:dyDescent="0.25">
      <c r="A5367" t="s">
        <v>7340</v>
      </c>
      <c r="B5367" t="s">
        <v>101</v>
      </c>
      <c r="C5367" t="s">
        <v>38</v>
      </c>
    </row>
    <row r="5368" spans="1:6" x14ac:dyDescent="0.25">
      <c r="A5368" t="s">
        <v>7340</v>
      </c>
      <c r="B5368" t="s">
        <v>102</v>
      </c>
      <c r="C5368" t="s">
        <v>103</v>
      </c>
      <c r="D5368" t="str">
        <f>HYPERLINK("http://service.sap.com/sap/support/notes/1670284","1670284")</f>
        <v>1670284</v>
      </c>
      <c r="E5368">
        <v>1</v>
      </c>
      <c r="F5368" t="s">
        <v>7102</v>
      </c>
    </row>
    <row r="5369" spans="1:6" x14ac:dyDescent="0.25">
      <c r="A5369" t="s">
        <v>7340</v>
      </c>
      <c r="B5369" t="s">
        <v>102</v>
      </c>
      <c r="C5369" t="s">
        <v>103</v>
      </c>
      <c r="D5369" t="str">
        <f>HYPERLINK("http://service.sap.com/sap/support/notes/1723080","1723080")</f>
        <v>1723080</v>
      </c>
      <c r="E5369">
        <v>1</v>
      </c>
      <c r="F5369" t="s">
        <v>7103</v>
      </c>
    </row>
    <row r="5370" spans="1:6" x14ac:dyDescent="0.25">
      <c r="A5370" t="s">
        <v>7340</v>
      </c>
      <c r="B5370" t="s">
        <v>102</v>
      </c>
      <c r="C5370" t="s">
        <v>103</v>
      </c>
      <c r="D5370" t="str">
        <f>HYPERLINK("http://service.sap.com/sap/support/notes/1762737","1762737")</f>
        <v>1762737</v>
      </c>
      <c r="E5370">
        <v>2</v>
      </c>
      <c r="F5370" t="s">
        <v>7104</v>
      </c>
    </row>
    <row r="5371" spans="1:6" x14ac:dyDescent="0.25">
      <c r="A5371" t="s">
        <v>7340</v>
      </c>
      <c r="B5371" t="s">
        <v>104</v>
      </c>
      <c r="C5371" t="s">
        <v>105</v>
      </c>
      <c r="D5371" t="str">
        <f>HYPERLINK("http://service.sap.com/sap/support/notes/1752784","1752784")</f>
        <v>1752784</v>
      </c>
      <c r="E5371">
        <v>4</v>
      </c>
      <c r="F5371" t="s">
        <v>7105</v>
      </c>
    </row>
    <row r="5372" spans="1:6" x14ac:dyDescent="0.25">
      <c r="A5372" t="s">
        <v>7340</v>
      </c>
      <c r="B5372" t="s">
        <v>104</v>
      </c>
      <c r="C5372" t="s">
        <v>105</v>
      </c>
      <c r="D5372" t="str">
        <f>HYPERLINK("http://service.sap.com/sap/support/notes/1758882","1758882")</f>
        <v>1758882</v>
      </c>
      <c r="E5372">
        <v>1</v>
      </c>
      <c r="F5372" t="s">
        <v>7106</v>
      </c>
    </row>
    <row r="5373" spans="1:6" x14ac:dyDescent="0.25">
      <c r="A5373" t="s">
        <v>7340</v>
      </c>
      <c r="B5373" t="s">
        <v>106</v>
      </c>
      <c r="C5373" t="s">
        <v>107</v>
      </c>
    </row>
    <row r="5374" spans="1:6" x14ac:dyDescent="0.25">
      <c r="A5374" t="s">
        <v>7340</v>
      </c>
      <c r="B5374" t="s">
        <v>108</v>
      </c>
      <c r="C5374" t="s">
        <v>109</v>
      </c>
      <c r="D5374" t="str">
        <f>HYPERLINK("http://service.sap.com/sap/support/notes/1721165","1721165")</f>
        <v>1721165</v>
      </c>
      <c r="E5374">
        <v>3</v>
      </c>
      <c r="F5374" t="s">
        <v>7107</v>
      </c>
    </row>
    <row r="5375" spans="1:6" x14ac:dyDescent="0.25">
      <c r="A5375" t="s">
        <v>7340</v>
      </c>
      <c r="B5375" t="s">
        <v>108</v>
      </c>
      <c r="C5375" t="s">
        <v>109</v>
      </c>
      <c r="D5375" t="str">
        <f>HYPERLINK("http://service.sap.com/sap/support/notes/1753685","1753685")</f>
        <v>1753685</v>
      </c>
      <c r="E5375">
        <v>3</v>
      </c>
      <c r="F5375" t="s">
        <v>7108</v>
      </c>
    </row>
    <row r="5376" spans="1:6" x14ac:dyDescent="0.25">
      <c r="A5376" t="s">
        <v>7340</v>
      </c>
      <c r="B5376" t="s">
        <v>110</v>
      </c>
      <c r="C5376" t="s">
        <v>111</v>
      </c>
      <c r="D5376" t="str">
        <f>HYPERLINK("http://service.sap.com/sap/support/notes/1761383","1761383")</f>
        <v>1761383</v>
      </c>
      <c r="E5376">
        <v>1</v>
      </c>
      <c r="F5376" t="s">
        <v>7109</v>
      </c>
    </row>
    <row r="5377" spans="1:6" x14ac:dyDescent="0.25">
      <c r="A5377" t="s">
        <v>7340</v>
      </c>
      <c r="B5377" t="s">
        <v>609</v>
      </c>
      <c r="C5377" t="s">
        <v>610</v>
      </c>
      <c r="D5377" t="str">
        <f>HYPERLINK("http://service.sap.com/sap/support/notes/1754010","1754010")</f>
        <v>1754010</v>
      </c>
      <c r="E5377">
        <v>2</v>
      </c>
      <c r="F5377" t="s">
        <v>7110</v>
      </c>
    </row>
    <row r="5378" spans="1:6" x14ac:dyDescent="0.25">
      <c r="A5378" t="s">
        <v>7340</v>
      </c>
      <c r="B5378" t="s">
        <v>609</v>
      </c>
      <c r="C5378" t="s">
        <v>610</v>
      </c>
      <c r="D5378" t="str">
        <f>HYPERLINK("http://service.sap.com/sap/support/notes/1762301","1762301")</f>
        <v>1762301</v>
      </c>
      <c r="E5378">
        <v>1</v>
      </c>
      <c r="F5378" t="s">
        <v>7111</v>
      </c>
    </row>
    <row r="5379" spans="1:6" x14ac:dyDescent="0.25">
      <c r="A5379" t="s">
        <v>7340</v>
      </c>
      <c r="B5379" t="s">
        <v>312</v>
      </c>
      <c r="C5379" t="s">
        <v>313</v>
      </c>
      <c r="D5379" t="str">
        <f>HYPERLINK("http://service.sap.com/sap/support/notes/1746773","1746773")</f>
        <v>1746773</v>
      </c>
      <c r="E5379">
        <v>4</v>
      </c>
      <c r="F5379" t="s">
        <v>7112</v>
      </c>
    </row>
    <row r="5380" spans="1:6" x14ac:dyDescent="0.25">
      <c r="A5380" t="s">
        <v>7340</v>
      </c>
      <c r="B5380" t="s">
        <v>312</v>
      </c>
      <c r="C5380" t="s">
        <v>313</v>
      </c>
      <c r="D5380" t="str">
        <f>HYPERLINK("http://service.sap.com/sap/support/notes/1750340","1750340")</f>
        <v>1750340</v>
      </c>
      <c r="E5380">
        <v>1</v>
      </c>
      <c r="F5380" t="s">
        <v>7113</v>
      </c>
    </row>
    <row r="5381" spans="1:6" x14ac:dyDescent="0.25">
      <c r="A5381" t="s">
        <v>7340</v>
      </c>
      <c r="B5381" t="s">
        <v>312</v>
      </c>
      <c r="C5381" t="s">
        <v>313</v>
      </c>
      <c r="D5381" t="str">
        <f>HYPERLINK("http://service.sap.com/sap/support/notes/1751053","1751053")</f>
        <v>1751053</v>
      </c>
      <c r="E5381">
        <v>1</v>
      </c>
      <c r="F5381" t="s">
        <v>7114</v>
      </c>
    </row>
    <row r="5382" spans="1:6" x14ac:dyDescent="0.25">
      <c r="A5382" t="s">
        <v>7340</v>
      </c>
      <c r="B5382" t="s">
        <v>312</v>
      </c>
      <c r="C5382" t="s">
        <v>313</v>
      </c>
      <c r="D5382" t="str">
        <f>HYPERLINK("http://service.sap.com/sap/support/notes/1768990","1768990")</f>
        <v>1768990</v>
      </c>
      <c r="E5382">
        <v>1</v>
      </c>
      <c r="F5382" t="s">
        <v>7115</v>
      </c>
    </row>
    <row r="5383" spans="1:6" x14ac:dyDescent="0.25">
      <c r="A5383" t="s">
        <v>7340</v>
      </c>
      <c r="B5383" t="s">
        <v>114</v>
      </c>
      <c r="C5383" t="s">
        <v>115</v>
      </c>
    </row>
    <row r="5384" spans="1:6" x14ac:dyDescent="0.25">
      <c r="A5384" t="s">
        <v>7340</v>
      </c>
      <c r="B5384" t="s">
        <v>118</v>
      </c>
      <c r="C5384" t="s">
        <v>119</v>
      </c>
      <c r="D5384" t="str">
        <f>HYPERLINK("http://service.sap.com/sap/support/notes/1730325","1730325")</f>
        <v>1730325</v>
      </c>
      <c r="E5384">
        <v>4</v>
      </c>
      <c r="F5384" t="s">
        <v>7116</v>
      </c>
    </row>
    <row r="5385" spans="1:6" x14ac:dyDescent="0.25">
      <c r="A5385" t="s">
        <v>7340</v>
      </c>
      <c r="B5385" t="s">
        <v>120</v>
      </c>
      <c r="C5385" t="s">
        <v>121</v>
      </c>
      <c r="D5385" t="str">
        <f>HYPERLINK("http://service.sap.com/sap/support/notes/1728115","1728115")</f>
        <v>1728115</v>
      </c>
      <c r="E5385">
        <v>1</v>
      </c>
      <c r="F5385" t="s">
        <v>7117</v>
      </c>
    </row>
    <row r="5386" spans="1:6" x14ac:dyDescent="0.25">
      <c r="A5386" t="s">
        <v>7340</v>
      </c>
      <c r="B5386" t="s">
        <v>316</v>
      </c>
      <c r="C5386" t="s">
        <v>594</v>
      </c>
      <c r="D5386" t="str">
        <f>HYPERLINK("http://service.sap.com/sap/support/notes/1729060","1729060")</f>
        <v>1729060</v>
      </c>
      <c r="E5386">
        <v>3</v>
      </c>
      <c r="F5386" t="s">
        <v>7118</v>
      </c>
    </row>
    <row r="5387" spans="1:6" x14ac:dyDescent="0.25">
      <c r="A5387" t="s">
        <v>7340</v>
      </c>
      <c r="B5387" t="s">
        <v>316</v>
      </c>
      <c r="C5387" t="s">
        <v>594</v>
      </c>
      <c r="D5387" t="str">
        <f>HYPERLINK("http://service.sap.com/sap/support/notes/1739581","1739581")</f>
        <v>1739581</v>
      </c>
      <c r="E5387">
        <v>4</v>
      </c>
      <c r="F5387" t="s">
        <v>7119</v>
      </c>
    </row>
    <row r="5388" spans="1:6" x14ac:dyDescent="0.25">
      <c r="A5388" t="s">
        <v>7340</v>
      </c>
      <c r="B5388" t="s">
        <v>316</v>
      </c>
      <c r="C5388" t="s">
        <v>594</v>
      </c>
      <c r="D5388" t="str">
        <f>HYPERLINK("http://service.sap.com/sap/support/notes/1758533","1758533")</f>
        <v>1758533</v>
      </c>
      <c r="E5388">
        <v>2</v>
      </c>
      <c r="F5388" t="s">
        <v>7120</v>
      </c>
    </row>
    <row r="5389" spans="1:6" x14ac:dyDescent="0.25">
      <c r="A5389" t="s">
        <v>7340</v>
      </c>
      <c r="B5389" t="s">
        <v>122</v>
      </c>
      <c r="C5389" t="s">
        <v>123</v>
      </c>
      <c r="D5389" t="str">
        <f>HYPERLINK("http://service.sap.com/sap/support/notes/1746225","1746225")</f>
        <v>1746225</v>
      </c>
      <c r="E5389">
        <v>1</v>
      </c>
      <c r="F5389" t="s">
        <v>7121</v>
      </c>
    </row>
    <row r="5390" spans="1:6" x14ac:dyDescent="0.25">
      <c r="A5390" t="s">
        <v>7340</v>
      </c>
      <c r="B5390" t="s">
        <v>124</v>
      </c>
      <c r="C5390" t="s">
        <v>82</v>
      </c>
      <c r="D5390" t="str">
        <f>HYPERLINK("http://service.sap.com/sap/support/notes/1724373","1724373")</f>
        <v>1724373</v>
      </c>
      <c r="E5390">
        <v>1</v>
      </c>
      <c r="F5390" t="s">
        <v>4332</v>
      </c>
    </row>
    <row r="5391" spans="1:6" x14ac:dyDescent="0.25">
      <c r="A5391" t="s">
        <v>7340</v>
      </c>
      <c r="B5391" t="s">
        <v>124</v>
      </c>
      <c r="C5391" t="s">
        <v>82</v>
      </c>
      <c r="D5391" t="str">
        <f>HYPERLINK("http://service.sap.com/sap/support/notes/1752638","1752638")</f>
        <v>1752638</v>
      </c>
      <c r="E5391">
        <v>1</v>
      </c>
      <c r="F5391" t="s">
        <v>7122</v>
      </c>
    </row>
    <row r="5392" spans="1:6" x14ac:dyDescent="0.25">
      <c r="A5392" t="s">
        <v>7340</v>
      </c>
      <c r="B5392" t="s">
        <v>124</v>
      </c>
      <c r="C5392" t="s">
        <v>82</v>
      </c>
      <c r="D5392" t="str">
        <f>HYPERLINK("http://service.sap.com/sap/support/notes/1755877","1755877")</f>
        <v>1755877</v>
      </c>
      <c r="E5392">
        <v>1</v>
      </c>
      <c r="F5392" t="s">
        <v>7123</v>
      </c>
    </row>
    <row r="5393" spans="1:6" x14ac:dyDescent="0.25">
      <c r="A5393" t="s">
        <v>7340</v>
      </c>
      <c r="B5393" t="s">
        <v>124</v>
      </c>
      <c r="C5393" t="s">
        <v>82</v>
      </c>
      <c r="D5393" t="str">
        <f>HYPERLINK("http://service.sap.com/sap/support/notes/1756118","1756118")</f>
        <v>1756118</v>
      </c>
      <c r="E5393">
        <v>2</v>
      </c>
      <c r="F5393" t="s">
        <v>7124</v>
      </c>
    </row>
    <row r="5394" spans="1:6" x14ac:dyDescent="0.25">
      <c r="A5394" t="s">
        <v>7340</v>
      </c>
      <c r="B5394" t="s">
        <v>124</v>
      </c>
      <c r="C5394" t="s">
        <v>82</v>
      </c>
      <c r="D5394" t="str">
        <f>HYPERLINK("http://service.sap.com/sap/support/notes/1757144","1757144")</f>
        <v>1757144</v>
      </c>
      <c r="E5394">
        <v>1</v>
      </c>
      <c r="F5394" t="s">
        <v>7125</v>
      </c>
    </row>
    <row r="5395" spans="1:6" x14ac:dyDescent="0.25">
      <c r="A5395" t="s">
        <v>7340</v>
      </c>
      <c r="B5395" t="s">
        <v>124</v>
      </c>
      <c r="C5395" t="s">
        <v>82</v>
      </c>
      <c r="D5395" t="str">
        <f>HYPERLINK("http://service.sap.com/sap/support/notes/1758016","1758016")</f>
        <v>1758016</v>
      </c>
      <c r="E5395">
        <v>2</v>
      </c>
      <c r="F5395" t="s">
        <v>7126</v>
      </c>
    </row>
    <row r="5396" spans="1:6" x14ac:dyDescent="0.25">
      <c r="A5396" t="s">
        <v>7340</v>
      </c>
      <c r="B5396" t="s">
        <v>124</v>
      </c>
      <c r="C5396" t="s">
        <v>82</v>
      </c>
      <c r="D5396" t="str">
        <f>HYPERLINK("http://service.sap.com/sap/support/notes/1758217","1758217")</f>
        <v>1758217</v>
      </c>
      <c r="E5396">
        <v>1</v>
      </c>
      <c r="F5396" t="s">
        <v>7127</v>
      </c>
    </row>
    <row r="5397" spans="1:6" x14ac:dyDescent="0.25">
      <c r="A5397" t="s">
        <v>7340</v>
      </c>
      <c r="B5397" t="s">
        <v>124</v>
      </c>
      <c r="C5397" t="s">
        <v>82</v>
      </c>
      <c r="D5397" t="str">
        <f>HYPERLINK("http://service.sap.com/sap/support/notes/1760139","1760139")</f>
        <v>1760139</v>
      </c>
      <c r="E5397">
        <v>2</v>
      </c>
      <c r="F5397" t="s">
        <v>7128</v>
      </c>
    </row>
    <row r="5398" spans="1:6" x14ac:dyDescent="0.25">
      <c r="A5398" t="s">
        <v>7340</v>
      </c>
      <c r="B5398" t="s">
        <v>124</v>
      </c>
      <c r="C5398" t="s">
        <v>82</v>
      </c>
      <c r="D5398" t="str">
        <f>HYPERLINK("http://service.sap.com/sap/support/notes/1760324","1760324")</f>
        <v>1760324</v>
      </c>
      <c r="E5398">
        <v>1</v>
      </c>
      <c r="F5398" t="s">
        <v>7129</v>
      </c>
    </row>
    <row r="5399" spans="1:6" x14ac:dyDescent="0.25">
      <c r="A5399" t="s">
        <v>7340</v>
      </c>
      <c r="B5399" t="s">
        <v>125</v>
      </c>
      <c r="C5399" t="s">
        <v>126</v>
      </c>
      <c r="D5399" t="str">
        <f>HYPERLINK("http://service.sap.com/sap/support/notes/1762107","1762107")</f>
        <v>1762107</v>
      </c>
      <c r="E5399">
        <v>1</v>
      </c>
      <c r="F5399" t="s">
        <v>7130</v>
      </c>
    </row>
    <row r="5400" spans="1:6" x14ac:dyDescent="0.25">
      <c r="A5400" t="s">
        <v>7340</v>
      </c>
      <c r="B5400" t="s">
        <v>125</v>
      </c>
      <c r="C5400" t="s">
        <v>126</v>
      </c>
      <c r="D5400" t="str">
        <f>HYPERLINK("http://service.sap.com/sap/support/notes/1763687","1763687")</f>
        <v>1763687</v>
      </c>
      <c r="E5400">
        <v>1</v>
      </c>
      <c r="F5400" t="s">
        <v>7131</v>
      </c>
    </row>
    <row r="5401" spans="1:6" x14ac:dyDescent="0.25">
      <c r="A5401" t="s">
        <v>7340</v>
      </c>
      <c r="B5401" t="s">
        <v>127</v>
      </c>
      <c r="C5401" t="s">
        <v>128</v>
      </c>
      <c r="D5401" t="str">
        <f>HYPERLINK("http://service.sap.com/sap/support/notes/1628897","1628897")</f>
        <v>1628897</v>
      </c>
      <c r="E5401">
        <v>2</v>
      </c>
      <c r="F5401" t="s">
        <v>7132</v>
      </c>
    </row>
    <row r="5402" spans="1:6" x14ac:dyDescent="0.25">
      <c r="A5402" t="s">
        <v>7340</v>
      </c>
      <c r="B5402" t="s">
        <v>127</v>
      </c>
      <c r="C5402" t="s">
        <v>128</v>
      </c>
      <c r="D5402" t="str">
        <f>HYPERLINK("http://service.sap.com/sap/support/notes/1754960","1754960")</f>
        <v>1754960</v>
      </c>
      <c r="E5402">
        <v>3</v>
      </c>
      <c r="F5402" t="s">
        <v>7133</v>
      </c>
    </row>
    <row r="5403" spans="1:6" x14ac:dyDescent="0.25">
      <c r="A5403" t="s">
        <v>7340</v>
      </c>
      <c r="B5403" t="s">
        <v>127</v>
      </c>
      <c r="C5403" t="s">
        <v>128</v>
      </c>
      <c r="D5403" t="str">
        <f>HYPERLINK("http://service.sap.com/sap/support/notes/1757580","1757580")</f>
        <v>1757580</v>
      </c>
      <c r="E5403">
        <v>3</v>
      </c>
      <c r="F5403" t="s">
        <v>7134</v>
      </c>
    </row>
    <row r="5404" spans="1:6" x14ac:dyDescent="0.25">
      <c r="A5404" t="s">
        <v>7340</v>
      </c>
      <c r="B5404" t="s">
        <v>127</v>
      </c>
      <c r="C5404" t="s">
        <v>128</v>
      </c>
      <c r="D5404" t="str">
        <f>HYPERLINK("http://service.sap.com/sap/support/notes/1759100","1759100")</f>
        <v>1759100</v>
      </c>
      <c r="E5404">
        <v>2</v>
      </c>
      <c r="F5404" t="s">
        <v>7135</v>
      </c>
    </row>
    <row r="5405" spans="1:6" x14ac:dyDescent="0.25">
      <c r="A5405" t="s">
        <v>7340</v>
      </c>
      <c r="B5405" t="s">
        <v>127</v>
      </c>
      <c r="C5405" t="s">
        <v>128</v>
      </c>
      <c r="D5405" t="str">
        <f>HYPERLINK("http://service.sap.com/sap/support/notes/1759504","1759504")</f>
        <v>1759504</v>
      </c>
      <c r="E5405">
        <v>2</v>
      </c>
      <c r="F5405" t="s">
        <v>7136</v>
      </c>
    </row>
    <row r="5406" spans="1:6" x14ac:dyDescent="0.25">
      <c r="A5406" t="s">
        <v>7340</v>
      </c>
      <c r="B5406" t="s">
        <v>127</v>
      </c>
      <c r="C5406" t="s">
        <v>128</v>
      </c>
      <c r="D5406" t="str">
        <f>HYPERLINK("http://service.sap.com/sap/support/notes/1760451","1760451")</f>
        <v>1760451</v>
      </c>
      <c r="E5406">
        <v>1</v>
      </c>
      <c r="F5406" t="s">
        <v>7137</v>
      </c>
    </row>
    <row r="5407" spans="1:6" x14ac:dyDescent="0.25">
      <c r="A5407" t="s">
        <v>7340</v>
      </c>
      <c r="B5407" t="s">
        <v>127</v>
      </c>
      <c r="C5407" t="s">
        <v>128</v>
      </c>
      <c r="D5407" t="str">
        <f>HYPERLINK("http://service.sap.com/sap/support/notes/1761805","1761805")</f>
        <v>1761805</v>
      </c>
      <c r="E5407">
        <v>1</v>
      </c>
      <c r="F5407" t="s">
        <v>7138</v>
      </c>
    </row>
    <row r="5408" spans="1:6" x14ac:dyDescent="0.25">
      <c r="A5408" t="s">
        <v>7340</v>
      </c>
      <c r="B5408" t="s">
        <v>127</v>
      </c>
      <c r="C5408" t="s">
        <v>128</v>
      </c>
      <c r="D5408" t="str">
        <f>HYPERLINK("http://service.sap.com/sap/support/notes/1762298","1762298")</f>
        <v>1762298</v>
      </c>
      <c r="E5408">
        <v>1</v>
      </c>
      <c r="F5408" t="s">
        <v>7139</v>
      </c>
    </row>
    <row r="5409" spans="1:6" x14ac:dyDescent="0.25">
      <c r="A5409" t="s">
        <v>7340</v>
      </c>
      <c r="B5409" t="s">
        <v>127</v>
      </c>
      <c r="C5409" t="s">
        <v>128</v>
      </c>
      <c r="D5409" t="str">
        <f>HYPERLINK("http://service.sap.com/sap/support/notes/1766427","1766427")</f>
        <v>1766427</v>
      </c>
      <c r="E5409">
        <v>1</v>
      </c>
      <c r="F5409" t="s">
        <v>7140</v>
      </c>
    </row>
    <row r="5410" spans="1:6" x14ac:dyDescent="0.25">
      <c r="A5410" t="s">
        <v>7340</v>
      </c>
      <c r="B5410" t="s">
        <v>129</v>
      </c>
      <c r="C5410" t="s">
        <v>130</v>
      </c>
      <c r="D5410" t="str">
        <f>HYPERLINK("http://service.sap.com/sap/support/notes/1747159","1747159")</f>
        <v>1747159</v>
      </c>
      <c r="E5410">
        <v>5</v>
      </c>
      <c r="F5410" t="s">
        <v>7141</v>
      </c>
    </row>
    <row r="5411" spans="1:6" x14ac:dyDescent="0.25">
      <c r="A5411" t="s">
        <v>7340</v>
      </c>
      <c r="B5411" t="s">
        <v>129</v>
      </c>
      <c r="C5411" t="s">
        <v>130</v>
      </c>
      <c r="D5411" t="str">
        <f>HYPERLINK("http://service.sap.com/sap/support/notes/1747227","1747227")</f>
        <v>1747227</v>
      </c>
      <c r="E5411">
        <v>1</v>
      </c>
      <c r="F5411" t="s">
        <v>7142</v>
      </c>
    </row>
    <row r="5412" spans="1:6" x14ac:dyDescent="0.25">
      <c r="A5412" t="s">
        <v>7340</v>
      </c>
      <c r="B5412" t="s">
        <v>129</v>
      </c>
      <c r="C5412" t="s">
        <v>130</v>
      </c>
      <c r="D5412" t="str">
        <f>HYPERLINK("http://service.sap.com/sap/support/notes/1764862","1764862")</f>
        <v>1764862</v>
      </c>
      <c r="E5412">
        <v>1</v>
      </c>
      <c r="F5412" t="s">
        <v>7143</v>
      </c>
    </row>
    <row r="5413" spans="1:6" x14ac:dyDescent="0.25">
      <c r="A5413" t="s">
        <v>7340</v>
      </c>
      <c r="B5413" t="s">
        <v>131</v>
      </c>
      <c r="C5413" t="s">
        <v>132</v>
      </c>
    </row>
    <row r="5414" spans="1:6" x14ac:dyDescent="0.25">
      <c r="A5414" t="s">
        <v>7340</v>
      </c>
      <c r="B5414" t="s">
        <v>320</v>
      </c>
      <c r="C5414" t="s">
        <v>359</v>
      </c>
      <c r="D5414" t="str">
        <f>HYPERLINK("http://service.sap.com/sap/support/notes/1706616","1706616")</f>
        <v>1706616</v>
      </c>
      <c r="E5414">
        <v>2</v>
      </c>
      <c r="F5414" t="s">
        <v>7144</v>
      </c>
    </row>
    <row r="5415" spans="1:6" x14ac:dyDescent="0.25">
      <c r="A5415" t="s">
        <v>7340</v>
      </c>
      <c r="B5415" t="s">
        <v>320</v>
      </c>
      <c r="C5415" t="s">
        <v>359</v>
      </c>
      <c r="D5415" t="str">
        <f>HYPERLINK("http://service.sap.com/sap/support/notes/1722327","1722327")</f>
        <v>1722327</v>
      </c>
      <c r="E5415">
        <v>2</v>
      </c>
      <c r="F5415" t="s">
        <v>7145</v>
      </c>
    </row>
    <row r="5416" spans="1:6" x14ac:dyDescent="0.25">
      <c r="A5416" t="s">
        <v>7340</v>
      </c>
      <c r="B5416" t="s">
        <v>320</v>
      </c>
      <c r="C5416" t="s">
        <v>359</v>
      </c>
      <c r="D5416" t="str">
        <f>HYPERLINK("http://service.sap.com/sap/support/notes/1755471","1755471")</f>
        <v>1755471</v>
      </c>
      <c r="E5416">
        <v>2</v>
      </c>
      <c r="F5416" t="s">
        <v>7146</v>
      </c>
    </row>
    <row r="5417" spans="1:6" x14ac:dyDescent="0.25">
      <c r="A5417" t="s">
        <v>7340</v>
      </c>
      <c r="B5417" t="s">
        <v>320</v>
      </c>
      <c r="C5417" t="s">
        <v>359</v>
      </c>
      <c r="D5417" t="str">
        <f>HYPERLINK("http://service.sap.com/sap/support/notes/1766398","1766398")</f>
        <v>1766398</v>
      </c>
      <c r="E5417">
        <v>1</v>
      </c>
      <c r="F5417" t="s">
        <v>7147</v>
      </c>
    </row>
    <row r="5418" spans="1:6" x14ac:dyDescent="0.25">
      <c r="A5418" t="s">
        <v>7340</v>
      </c>
      <c r="B5418" t="s">
        <v>133</v>
      </c>
      <c r="C5418" t="s">
        <v>134</v>
      </c>
      <c r="D5418" t="str">
        <f>HYPERLINK("http://service.sap.com/sap/support/notes/1754598","1754598")</f>
        <v>1754598</v>
      </c>
      <c r="E5418">
        <v>3</v>
      </c>
      <c r="F5418" t="s">
        <v>7148</v>
      </c>
    </row>
    <row r="5419" spans="1:6" x14ac:dyDescent="0.25">
      <c r="A5419" t="s">
        <v>7340</v>
      </c>
      <c r="B5419" t="s">
        <v>135</v>
      </c>
      <c r="C5419" t="s">
        <v>136</v>
      </c>
      <c r="D5419" t="str">
        <f>HYPERLINK("http://service.sap.com/sap/support/notes/1728767","1728767")</f>
        <v>1728767</v>
      </c>
      <c r="E5419">
        <v>4</v>
      </c>
      <c r="F5419" t="s">
        <v>7149</v>
      </c>
    </row>
    <row r="5420" spans="1:6" x14ac:dyDescent="0.25">
      <c r="A5420" t="s">
        <v>7340</v>
      </c>
      <c r="B5420" t="s">
        <v>135</v>
      </c>
      <c r="C5420" t="s">
        <v>136</v>
      </c>
      <c r="D5420" t="str">
        <f>HYPERLINK("http://service.sap.com/sap/support/notes/1736702","1736702")</f>
        <v>1736702</v>
      </c>
      <c r="E5420">
        <v>3</v>
      </c>
      <c r="F5420" t="s">
        <v>7150</v>
      </c>
    </row>
    <row r="5421" spans="1:6" x14ac:dyDescent="0.25">
      <c r="A5421" t="s">
        <v>7340</v>
      </c>
      <c r="B5421" t="s">
        <v>135</v>
      </c>
      <c r="C5421" t="s">
        <v>136</v>
      </c>
      <c r="D5421" t="str">
        <f>HYPERLINK("http://service.sap.com/sap/support/notes/1737634","1737634")</f>
        <v>1737634</v>
      </c>
      <c r="E5421">
        <v>3</v>
      </c>
      <c r="F5421" t="s">
        <v>7151</v>
      </c>
    </row>
    <row r="5422" spans="1:6" x14ac:dyDescent="0.25">
      <c r="A5422" t="s">
        <v>7340</v>
      </c>
      <c r="B5422" t="s">
        <v>135</v>
      </c>
      <c r="C5422" t="s">
        <v>136</v>
      </c>
      <c r="D5422" t="str">
        <f>HYPERLINK("http://service.sap.com/sap/support/notes/1738373","1738373")</f>
        <v>1738373</v>
      </c>
      <c r="E5422">
        <v>5</v>
      </c>
      <c r="F5422" t="s">
        <v>7152</v>
      </c>
    </row>
    <row r="5423" spans="1:6" x14ac:dyDescent="0.25">
      <c r="A5423" t="s">
        <v>7340</v>
      </c>
      <c r="B5423" t="s">
        <v>135</v>
      </c>
      <c r="C5423" t="s">
        <v>136</v>
      </c>
      <c r="D5423" t="str">
        <f>HYPERLINK("http://service.sap.com/sap/support/notes/1739906","1739906")</f>
        <v>1739906</v>
      </c>
      <c r="E5423">
        <v>2</v>
      </c>
      <c r="F5423" t="s">
        <v>7153</v>
      </c>
    </row>
    <row r="5424" spans="1:6" x14ac:dyDescent="0.25">
      <c r="A5424" t="s">
        <v>7340</v>
      </c>
      <c r="B5424" t="s">
        <v>135</v>
      </c>
      <c r="C5424" t="s">
        <v>136</v>
      </c>
      <c r="D5424" t="str">
        <f>HYPERLINK("http://service.sap.com/sap/support/notes/1742063","1742063")</f>
        <v>1742063</v>
      </c>
      <c r="E5424">
        <v>2</v>
      </c>
      <c r="F5424" t="s">
        <v>7154</v>
      </c>
    </row>
    <row r="5425" spans="1:6" x14ac:dyDescent="0.25">
      <c r="A5425" t="s">
        <v>7340</v>
      </c>
      <c r="B5425" t="s">
        <v>135</v>
      </c>
      <c r="C5425" t="s">
        <v>136</v>
      </c>
      <c r="D5425" t="str">
        <f>HYPERLINK("http://service.sap.com/sap/support/notes/1743223","1743223")</f>
        <v>1743223</v>
      </c>
      <c r="E5425">
        <v>2</v>
      </c>
      <c r="F5425" t="s">
        <v>7155</v>
      </c>
    </row>
    <row r="5426" spans="1:6" x14ac:dyDescent="0.25">
      <c r="A5426" t="s">
        <v>7340</v>
      </c>
      <c r="B5426" t="s">
        <v>135</v>
      </c>
      <c r="C5426" t="s">
        <v>136</v>
      </c>
      <c r="D5426" t="str">
        <f>HYPERLINK("http://service.sap.com/sap/support/notes/1749892","1749892")</f>
        <v>1749892</v>
      </c>
      <c r="E5426">
        <v>2</v>
      </c>
      <c r="F5426" t="s">
        <v>7156</v>
      </c>
    </row>
    <row r="5427" spans="1:6" x14ac:dyDescent="0.25">
      <c r="A5427" t="s">
        <v>7340</v>
      </c>
      <c r="B5427" t="s">
        <v>135</v>
      </c>
      <c r="C5427" t="s">
        <v>136</v>
      </c>
      <c r="D5427" t="str">
        <f>HYPERLINK("http://service.sap.com/sap/support/notes/1750507","1750507")</f>
        <v>1750507</v>
      </c>
      <c r="E5427">
        <v>2</v>
      </c>
      <c r="F5427" t="s">
        <v>7157</v>
      </c>
    </row>
    <row r="5428" spans="1:6" x14ac:dyDescent="0.25">
      <c r="A5428" t="s">
        <v>7340</v>
      </c>
      <c r="B5428" t="s">
        <v>135</v>
      </c>
      <c r="C5428" t="s">
        <v>136</v>
      </c>
      <c r="D5428" t="str">
        <f>HYPERLINK("http://service.sap.com/sap/support/notes/1751504","1751504")</f>
        <v>1751504</v>
      </c>
      <c r="E5428">
        <v>2</v>
      </c>
      <c r="F5428" t="s">
        <v>7158</v>
      </c>
    </row>
    <row r="5429" spans="1:6" x14ac:dyDescent="0.25">
      <c r="A5429" t="s">
        <v>7340</v>
      </c>
      <c r="B5429" t="s">
        <v>135</v>
      </c>
      <c r="C5429" t="s">
        <v>136</v>
      </c>
      <c r="D5429" t="str">
        <f>HYPERLINK("http://service.sap.com/sap/support/notes/1754829","1754829")</f>
        <v>1754829</v>
      </c>
      <c r="E5429">
        <v>4</v>
      </c>
      <c r="F5429" t="s">
        <v>7159</v>
      </c>
    </row>
    <row r="5430" spans="1:6" x14ac:dyDescent="0.25">
      <c r="A5430" t="s">
        <v>7340</v>
      </c>
      <c r="B5430" t="s">
        <v>135</v>
      </c>
      <c r="C5430" t="s">
        <v>136</v>
      </c>
      <c r="D5430" t="str">
        <f>HYPERLINK("http://service.sap.com/sap/support/notes/1755683","1755683")</f>
        <v>1755683</v>
      </c>
      <c r="E5430">
        <v>2</v>
      </c>
      <c r="F5430" t="s">
        <v>7160</v>
      </c>
    </row>
    <row r="5431" spans="1:6" x14ac:dyDescent="0.25">
      <c r="A5431" t="s">
        <v>7340</v>
      </c>
      <c r="B5431" t="s">
        <v>135</v>
      </c>
      <c r="C5431" t="s">
        <v>136</v>
      </c>
      <c r="D5431" t="str">
        <f>HYPERLINK("http://service.sap.com/sap/support/notes/1755747","1755747")</f>
        <v>1755747</v>
      </c>
      <c r="E5431">
        <v>4</v>
      </c>
      <c r="F5431" t="s">
        <v>7161</v>
      </c>
    </row>
    <row r="5432" spans="1:6" x14ac:dyDescent="0.25">
      <c r="A5432" t="s">
        <v>7340</v>
      </c>
      <c r="B5432" t="s">
        <v>135</v>
      </c>
      <c r="C5432" t="s">
        <v>136</v>
      </c>
      <c r="D5432" t="str">
        <f>HYPERLINK("http://service.sap.com/sap/support/notes/1756324","1756324")</f>
        <v>1756324</v>
      </c>
      <c r="E5432">
        <v>2</v>
      </c>
      <c r="F5432" t="s">
        <v>7162</v>
      </c>
    </row>
    <row r="5433" spans="1:6" x14ac:dyDescent="0.25">
      <c r="A5433" t="s">
        <v>7340</v>
      </c>
      <c r="B5433" t="s">
        <v>135</v>
      </c>
      <c r="C5433" t="s">
        <v>136</v>
      </c>
      <c r="D5433" t="str">
        <f>HYPERLINK("http://service.sap.com/sap/support/notes/1756682","1756682")</f>
        <v>1756682</v>
      </c>
      <c r="E5433">
        <v>3</v>
      </c>
      <c r="F5433" t="s">
        <v>7163</v>
      </c>
    </row>
    <row r="5434" spans="1:6" x14ac:dyDescent="0.25">
      <c r="A5434" t="s">
        <v>7340</v>
      </c>
      <c r="B5434" t="s">
        <v>135</v>
      </c>
      <c r="C5434" t="s">
        <v>136</v>
      </c>
      <c r="D5434" t="str">
        <f>HYPERLINK("http://service.sap.com/sap/support/notes/1756815","1756815")</f>
        <v>1756815</v>
      </c>
      <c r="E5434">
        <v>4</v>
      </c>
      <c r="F5434" t="s">
        <v>7164</v>
      </c>
    </row>
    <row r="5435" spans="1:6" x14ac:dyDescent="0.25">
      <c r="A5435" t="s">
        <v>7340</v>
      </c>
      <c r="B5435" t="s">
        <v>135</v>
      </c>
      <c r="C5435" t="s">
        <v>136</v>
      </c>
      <c r="D5435" t="str">
        <f>HYPERLINK("http://service.sap.com/sap/support/notes/1757216","1757216")</f>
        <v>1757216</v>
      </c>
      <c r="E5435">
        <v>2</v>
      </c>
      <c r="F5435" t="s">
        <v>7165</v>
      </c>
    </row>
    <row r="5436" spans="1:6" x14ac:dyDescent="0.25">
      <c r="A5436" t="s">
        <v>7340</v>
      </c>
      <c r="B5436" t="s">
        <v>135</v>
      </c>
      <c r="C5436" t="s">
        <v>136</v>
      </c>
      <c r="D5436" t="str">
        <f>HYPERLINK("http://service.sap.com/sap/support/notes/1757756","1757756")</f>
        <v>1757756</v>
      </c>
      <c r="E5436">
        <v>2</v>
      </c>
      <c r="F5436" t="s">
        <v>7166</v>
      </c>
    </row>
    <row r="5437" spans="1:6" x14ac:dyDescent="0.25">
      <c r="A5437" t="s">
        <v>7340</v>
      </c>
      <c r="B5437" t="s">
        <v>135</v>
      </c>
      <c r="C5437" t="s">
        <v>136</v>
      </c>
      <c r="D5437" t="str">
        <f>HYPERLINK("http://service.sap.com/sap/support/notes/1758321","1758321")</f>
        <v>1758321</v>
      </c>
      <c r="E5437">
        <v>2</v>
      </c>
      <c r="F5437" t="s">
        <v>7167</v>
      </c>
    </row>
    <row r="5438" spans="1:6" x14ac:dyDescent="0.25">
      <c r="A5438" t="s">
        <v>7340</v>
      </c>
      <c r="B5438" t="s">
        <v>135</v>
      </c>
      <c r="C5438" t="s">
        <v>136</v>
      </c>
      <c r="D5438" t="str">
        <f>HYPERLINK("http://service.sap.com/sap/support/notes/1758839","1758839")</f>
        <v>1758839</v>
      </c>
      <c r="E5438">
        <v>3</v>
      </c>
      <c r="F5438" t="s">
        <v>7168</v>
      </c>
    </row>
    <row r="5439" spans="1:6" x14ac:dyDescent="0.25">
      <c r="A5439" t="s">
        <v>7340</v>
      </c>
      <c r="B5439" t="s">
        <v>135</v>
      </c>
      <c r="C5439" t="s">
        <v>136</v>
      </c>
      <c r="D5439" t="str">
        <f>HYPERLINK("http://service.sap.com/sap/support/notes/1759269","1759269")</f>
        <v>1759269</v>
      </c>
      <c r="E5439">
        <v>3</v>
      </c>
      <c r="F5439" t="s">
        <v>7169</v>
      </c>
    </row>
    <row r="5440" spans="1:6" x14ac:dyDescent="0.25">
      <c r="A5440" t="s">
        <v>7340</v>
      </c>
      <c r="B5440" t="s">
        <v>135</v>
      </c>
      <c r="C5440" t="s">
        <v>136</v>
      </c>
      <c r="D5440" t="str">
        <f>HYPERLINK("http://service.sap.com/sap/support/notes/1759743","1759743")</f>
        <v>1759743</v>
      </c>
      <c r="E5440">
        <v>2</v>
      </c>
      <c r="F5440" t="s">
        <v>7170</v>
      </c>
    </row>
    <row r="5441" spans="1:6" x14ac:dyDescent="0.25">
      <c r="A5441" t="s">
        <v>7340</v>
      </c>
      <c r="B5441" t="s">
        <v>135</v>
      </c>
      <c r="C5441" t="s">
        <v>136</v>
      </c>
      <c r="D5441" t="str">
        <f>HYPERLINK("http://service.sap.com/sap/support/notes/1759807","1759807")</f>
        <v>1759807</v>
      </c>
      <c r="E5441">
        <v>2</v>
      </c>
      <c r="F5441" t="s">
        <v>7171</v>
      </c>
    </row>
    <row r="5442" spans="1:6" x14ac:dyDescent="0.25">
      <c r="A5442" t="s">
        <v>7340</v>
      </c>
      <c r="B5442" t="s">
        <v>135</v>
      </c>
      <c r="C5442" t="s">
        <v>136</v>
      </c>
      <c r="D5442" t="str">
        <f>HYPERLINK("http://service.sap.com/sap/support/notes/1761294","1761294")</f>
        <v>1761294</v>
      </c>
      <c r="E5442">
        <v>2</v>
      </c>
      <c r="F5442" t="s">
        <v>7172</v>
      </c>
    </row>
    <row r="5443" spans="1:6" x14ac:dyDescent="0.25">
      <c r="A5443" t="s">
        <v>7340</v>
      </c>
      <c r="B5443" t="s">
        <v>135</v>
      </c>
      <c r="C5443" t="s">
        <v>136</v>
      </c>
      <c r="D5443" t="str">
        <f>HYPERLINK("http://service.sap.com/sap/support/notes/1763467","1763467")</f>
        <v>1763467</v>
      </c>
      <c r="E5443">
        <v>1</v>
      </c>
      <c r="F5443" t="s">
        <v>7173</v>
      </c>
    </row>
    <row r="5444" spans="1:6" x14ac:dyDescent="0.25">
      <c r="A5444" t="s">
        <v>7340</v>
      </c>
      <c r="B5444" t="s">
        <v>135</v>
      </c>
      <c r="C5444" t="s">
        <v>136</v>
      </c>
      <c r="D5444" t="str">
        <f>HYPERLINK("http://service.sap.com/sap/support/notes/1764963","1764963")</f>
        <v>1764963</v>
      </c>
      <c r="E5444">
        <v>2</v>
      </c>
      <c r="F5444" t="s">
        <v>7174</v>
      </c>
    </row>
    <row r="5445" spans="1:6" x14ac:dyDescent="0.25">
      <c r="A5445" t="s">
        <v>7340</v>
      </c>
      <c r="B5445" t="s">
        <v>138</v>
      </c>
      <c r="C5445" t="s">
        <v>42</v>
      </c>
      <c r="D5445" t="str">
        <f>HYPERLINK("http://service.sap.com/sap/support/notes/1738326","1738326")</f>
        <v>1738326</v>
      </c>
      <c r="E5445">
        <v>5</v>
      </c>
      <c r="F5445" t="s">
        <v>7175</v>
      </c>
    </row>
    <row r="5446" spans="1:6" x14ac:dyDescent="0.25">
      <c r="A5446" t="s">
        <v>7340</v>
      </c>
      <c r="B5446" t="s">
        <v>138</v>
      </c>
      <c r="C5446" t="s">
        <v>42</v>
      </c>
      <c r="D5446" t="str">
        <f>HYPERLINK("http://service.sap.com/sap/support/notes/1745833","1745833")</f>
        <v>1745833</v>
      </c>
      <c r="E5446">
        <v>2</v>
      </c>
      <c r="F5446" t="s">
        <v>7176</v>
      </c>
    </row>
    <row r="5447" spans="1:6" x14ac:dyDescent="0.25">
      <c r="A5447" t="s">
        <v>7340</v>
      </c>
      <c r="B5447" t="s">
        <v>138</v>
      </c>
      <c r="C5447" t="s">
        <v>42</v>
      </c>
      <c r="D5447" t="str">
        <f>HYPERLINK("http://service.sap.com/sap/support/notes/1746355","1746355")</f>
        <v>1746355</v>
      </c>
      <c r="E5447">
        <v>6</v>
      </c>
      <c r="F5447" t="s">
        <v>7177</v>
      </c>
    </row>
    <row r="5448" spans="1:6" x14ac:dyDescent="0.25">
      <c r="A5448" t="s">
        <v>7340</v>
      </c>
      <c r="B5448" t="s">
        <v>138</v>
      </c>
      <c r="C5448" t="s">
        <v>42</v>
      </c>
      <c r="D5448" t="str">
        <f>HYPERLINK("http://service.sap.com/sap/support/notes/1747753","1747753")</f>
        <v>1747753</v>
      </c>
      <c r="E5448">
        <v>5</v>
      </c>
      <c r="F5448" t="s">
        <v>7178</v>
      </c>
    </row>
    <row r="5449" spans="1:6" x14ac:dyDescent="0.25">
      <c r="A5449" t="s">
        <v>7340</v>
      </c>
      <c r="B5449" t="s">
        <v>138</v>
      </c>
      <c r="C5449" t="s">
        <v>42</v>
      </c>
      <c r="D5449" t="str">
        <f>HYPERLINK("http://service.sap.com/sap/support/notes/1754507","1754507")</f>
        <v>1754507</v>
      </c>
      <c r="E5449">
        <v>5</v>
      </c>
      <c r="F5449" t="s">
        <v>7179</v>
      </c>
    </row>
    <row r="5450" spans="1:6" x14ac:dyDescent="0.25">
      <c r="A5450" t="s">
        <v>7340</v>
      </c>
      <c r="B5450" t="s">
        <v>138</v>
      </c>
      <c r="C5450" t="s">
        <v>42</v>
      </c>
      <c r="D5450" t="str">
        <f>HYPERLINK("http://service.sap.com/sap/support/notes/1754534","1754534")</f>
        <v>1754534</v>
      </c>
      <c r="E5450">
        <v>2</v>
      </c>
      <c r="F5450" t="s">
        <v>7180</v>
      </c>
    </row>
    <row r="5451" spans="1:6" x14ac:dyDescent="0.25">
      <c r="A5451" t="s">
        <v>7340</v>
      </c>
      <c r="B5451" t="s">
        <v>138</v>
      </c>
      <c r="C5451" t="s">
        <v>42</v>
      </c>
      <c r="D5451" t="str">
        <f>HYPERLINK("http://service.sap.com/sap/support/notes/1755883","1755883")</f>
        <v>1755883</v>
      </c>
      <c r="E5451">
        <v>4</v>
      </c>
      <c r="F5451" t="s">
        <v>7181</v>
      </c>
    </row>
    <row r="5452" spans="1:6" x14ac:dyDescent="0.25">
      <c r="A5452" t="s">
        <v>7340</v>
      </c>
      <c r="B5452" t="s">
        <v>138</v>
      </c>
      <c r="C5452" t="s">
        <v>42</v>
      </c>
      <c r="D5452" t="str">
        <f>HYPERLINK("http://service.sap.com/sap/support/notes/1756138","1756138")</f>
        <v>1756138</v>
      </c>
      <c r="E5452">
        <v>2</v>
      </c>
      <c r="F5452" t="s">
        <v>7182</v>
      </c>
    </row>
    <row r="5453" spans="1:6" x14ac:dyDescent="0.25">
      <c r="A5453" t="s">
        <v>7340</v>
      </c>
      <c r="B5453" t="s">
        <v>138</v>
      </c>
      <c r="C5453" t="s">
        <v>42</v>
      </c>
      <c r="D5453" t="str">
        <f>HYPERLINK("http://service.sap.com/sap/support/notes/1757046","1757046")</f>
        <v>1757046</v>
      </c>
      <c r="E5453">
        <v>4</v>
      </c>
      <c r="F5453" t="s">
        <v>7183</v>
      </c>
    </row>
    <row r="5454" spans="1:6" x14ac:dyDescent="0.25">
      <c r="A5454" t="s">
        <v>7340</v>
      </c>
      <c r="B5454" t="s">
        <v>138</v>
      </c>
      <c r="C5454" t="s">
        <v>42</v>
      </c>
      <c r="D5454" t="str">
        <f>HYPERLINK("http://service.sap.com/sap/support/notes/1762795","1762795")</f>
        <v>1762795</v>
      </c>
      <c r="E5454">
        <v>1</v>
      </c>
      <c r="F5454" t="s">
        <v>7184</v>
      </c>
    </row>
    <row r="5455" spans="1:6" x14ac:dyDescent="0.25">
      <c r="A5455" t="s">
        <v>7340</v>
      </c>
      <c r="B5455" t="s">
        <v>138</v>
      </c>
      <c r="C5455" t="s">
        <v>42</v>
      </c>
      <c r="D5455" t="str">
        <f>HYPERLINK("http://service.sap.com/sap/support/notes/1764951","1764951")</f>
        <v>1764951</v>
      </c>
      <c r="E5455">
        <v>2</v>
      </c>
      <c r="F5455" t="s">
        <v>7185</v>
      </c>
    </row>
    <row r="5456" spans="1:6" x14ac:dyDescent="0.25">
      <c r="A5456" t="s">
        <v>7340</v>
      </c>
      <c r="B5456" t="s">
        <v>138</v>
      </c>
      <c r="C5456" t="s">
        <v>42</v>
      </c>
      <c r="D5456" t="str">
        <f>HYPERLINK("http://service.sap.com/sap/support/notes/1767059","1767059")</f>
        <v>1767059</v>
      </c>
      <c r="E5456">
        <v>2</v>
      </c>
      <c r="F5456" t="s">
        <v>7186</v>
      </c>
    </row>
    <row r="5457" spans="1:6" x14ac:dyDescent="0.25">
      <c r="A5457" t="s">
        <v>7340</v>
      </c>
      <c r="B5457" t="s">
        <v>383</v>
      </c>
      <c r="C5457" t="s">
        <v>82</v>
      </c>
      <c r="D5457" t="str">
        <f>HYPERLINK("http://service.sap.com/sap/support/notes/1746121","1746121")</f>
        <v>1746121</v>
      </c>
      <c r="E5457">
        <v>10</v>
      </c>
      <c r="F5457" t="s">
        <v>7187</v>
      </c>
    </row>
    <row r="5458" spans="1:6" x14ac:dyDescent="0.25">
      <c r="A5458" t="s">
        <v>7340</v>
      </c>
      <c r="B5458" t="s">
        <v>139</v>
      </c>
      <c r="C5458" t="s">
        <v>140</v>
      </c>
      <c r="D5458" t="str">
        <f>HYPERLINK("http://service.sap.com/sap/support/notes/1718507","1718507")</f>
        <v>1718507</v>
      </c>
      <c r="E5458">
        <v>2</v>
      </c>
      <c r="F5458" t="s">
        <v>5101</v>
      </c>
    </row>
    <row r="5459" spans="1:6" x14ac:dyDescent="0.25">
      <c r="A5459" t="s">
        <v>7340</v>
      </c>
      <c r="B5459" t="s">
        <v>139</v>
      </c>
      <c r="C5459" t="s">
        <v>140</v>
      </c>
      <c r="D5459" t="str">
        <f>HYPERLINK("http://service.sap.com/sap/support/notes/1755162","1755162")</f>
        <v>1755162</v>
      </c>
      <c r="E5459">
        <v>9</v>
      </c>
      <c r="F5459" t="s">
        <v>7188</v>
      </c>
    </row>
    <row r="5460" spans="1:6" x14ac:dyDescent="0.25">
      <c r="A5460" t="s">
        <v>7340</v>
      </c>
      <c r="B5460" t="s">
        <v>139</v>
      </c>
      <c r="C5460" t="s">
        <v>140</v>
      </c>
      <c r="D5460" t="str">
        <f>HYPERLINK("http://service.sap.com/sap/support/notes/1760754","1760754")</f>
        <v>1760754</v>
      </c>
      <c r="E5460">
        <v>6</v>
      </c>
      <c r="F5460" t="s">
        <v>7189</v>
      </c>
    </row>
    <row r="5461" spans="1:6" x14ac:dyDescent="0.25">
      <c r="A5461" t="s">
        <v>7340</v>
      </c>
      <c r="B5461" t="s">
        <v>139</v>
      </c>
      <c r="C5461" t="s">
        <v>140</v>
      </c>
      <c r="D5461" t="str">
        <f>HYPERLINK("http://service.sap.com/sap/support/notes/1763606","1763606")</f>
        <v>1763606</v>
      </c>
      <c r="E5461">
        <v>1</v>
      </c>
      <c r="F5461" t="s">
        <v>7190</v>
      </c>
    </row>
    <row r="5462" spans="1:6" x14ac:dyDescent="0.25">
      <c r="A5462" t="s">
        <v>7340</v>
      </c>
      <c r="B5462" t="s">
        <v>139</v>
      </c>
      <c r="C5462" t="s">
        <v>140</v>
      </c>
      <c r="D5462" t="str">
        <f>HYPERLINK("http://service.sap.com/sap/support/notes/1764139","1764139")</f>
        <v>1764139</v>
      </c>
      <c r="E5462">
        <v>1</v>
      </c>
      <c r="F5462" t="s">
        <v>7191</v>
      </c>
    </row>
    <row r="5463" spans="1:6" x14ac:dyDescent="0.25">
      <c r="A5463" t="s">
        <v>7340</v>
      </c>
      <c r="B5463" t="s">
        <v>139</v>
      </c>
      <c r="C5463" t="s">
        <v>140</v>
      </c>
      <c r="D5463" t="str">
        <f>HYPERLINK("http://service.sap.com/sap/support/notes/1765425","1765425")</f>
        <v>1765425</v>
      </c>
      <c r="E5463">
        <v>1</v>
      </c>
      <c r="F5463" t="s">
        <v>7192</v>
      </c>
    </row>
    <row r="5464" spans="1:6" x14ac:dyDescent="0.25">
      <c r="A5464" t="s">
        <v>7340</v>
      </c>
      <c r="B5464" t="s">
        <v>374</v>
      </c>
      <c r="C5464" t="s">
        <v>313</v>
      </c>
    </row>
    <row r="5465" spans="1:6" x14ac:dyDescent="0.25">
      <c r="A5465" t="s">
        <v>7340</v>
      </c>
      <c r="B5465" t="s">
        <v>375</v>
      </c>
      <c r="C5465" t="s">
        <v>376</v>
      </c>
      <c r="D5465" t="str">
        <f>HYPERLINK("http://service.sap.com/sap/support/notes/1705203","1705203")</f>
        <v>1705203</v>
      </c>
      <c r="E5465">
        <v>2</v>
      </c>
      <c r="F5465" t="s">
        <v>7193</v>
      </c>
    </row>
    <row r="5466" spans="1:6" x14ac:dyDescent="0.25">
      <c r="A5466" t="s">
        <v>7340</v>
      </c>
      <c r="B5466" t="s">
        <v>322</v>
      </c>
      <c r="C5466" t="s">
        <v>115</v>
      </c>
    </row>
    <row r="5467" spans="1:6" x14ac:dyDescent="0.25">
      <c r="A5467" t="s">
        <v>7340</v>
      </c>
      <c r="B5467" t="s">
        <v>398</v>
      </c>
      <c r="C5467" t="s">
        <v>123</v>
      </c>
      <c r="D5467" t="str">
        <f>HYPERLINK("http://service.sap.com/sap/support/notes/1755390","1755390")</f>
        <v>1755390</v>
      </c>
      <c r="E5467">
        <v>2</v>
      </c>
      <c r="F5467" t="s">
        <v>7194</v>
      </c>
    </row>
    <row r="5468" spans="1:6" x14ac:dyDescent="0.25">
      <c r="A5468" t="s">
        <v>7340</v>
      </c>
      <c r="B5468" t="s">
        <v>142</v>
      </c>
      <c r="C5468" t="s">
        <v>82</v>
      </c>
      <c r="D5468" t="str">
        <f>HYPERLINK("http://service.sap.com/sap/support/notes/1758529","1758529")</f>
        <v>1758529</v>
      </c>
      <c r="E5468">
        <v>1</v>
      </c>
      <c r="F5468" t="s">
        <v>5109</v>
      </c>
    </row>
    <row r="5469" spans="1:6" x14ac:dyDescent="0.25">
      <c r="A5469" t="s">
        <v>7340</v>
      </c>
      <c r="B5469" t="s">
        <v>142</v>
      </c>
      <c r="C5469" t="s">
        <v>82</v>
      </c>
      <c r="D5469" t="str">
        <f>HYPERLINK("http://service.sap.com/sap/support/notes/1759437","1759437")</f>
        <v>1759437</v>
      </c>
      <c r="E5469">
        <v>2</v>
      </c>
      <c r="F5469" t="s">
        <v>7195</v>
      </c>
    </row>
    <row r="5470" spans="1:6" x14ac:dyDescent="0.25">
      <c r="A5470" t="s">
        <v>7340</v>
      </c>
      <c r="B5470" t="s">
        <v>143</v>
      </c>
      <c r="C5470" t="s">
        <v>132</v>
      </c>
    </row>
    <row r="5471" spans="1:6" x14ac:dyDescent="0.25">
      <c r="A5471" t="s">
        <v>7340</v>
      </c>
      <c r="B5471" t="s">
        <v>144</v>
      </c>
      <c r="C5471" t="s">
        <v>145</v>
      </c>
      <c r="D5471" t="str">
        <f>HYPERLINK("http://service.sap.com/sap/support/notes/1753858","1753858")</f>
        <v>1753858</v>
      </c>
      <c r="E5471">
        <v>1</v>
      </c>
      <c r="F5471" t="s">
        <v>7196</v>
      </c>
    </row>
    <row r="5472" spans="1:6" x14ac:dyDescent="0.25">
      <c r="A5472" t="s">
        <v>7340</v>
      </c>
      <c r="B5472" t="s">
        <v>144</v>
      </c>
      <c r="C5472" t="s">
        <v>145</v>
      </c>
      <c r="D5472" t="str">
        <f>HYPERLINK("http://service.sap.com/sap/support/notes/1761098","1761098")</f>
        <v>1761098</v>
      </c>
      <c r="E5472">
        <v>1</v>
      </c>
      <c r="F5472" t="s">
        <v>7197</v>
      </c>
    </row>
    <row r="5473" spans="1:6" x14ac:dyDescent="0.25">
      <c r="A5473" t="s">
        <v>7340</v>
      </c>
      <c r="B5473" t="s">
        <v>144</v>
      </c>
      <c r="C5473" t="s">
        <v>145</v>
      </c>
      <c r="D5473" t="str">
        <f>HYPERLINK("http://service.sap.com/sap/support/notes/1763064","1763064")</f>
        <v>1763064</v>
      </c>
      <c r="E5473">
        <v>1</v>
      </c>
      <c r="F5473" t="s">
        <v>7198</v>
      </c>
    </row>
    <row r="5474" spans="1:6" x14ac:dyDescent="0.25">
      <c r="A5474" t="s">
        <v>7340</v>
      </c>
      <c r="B5474" t="s">
        <v>144</v>
      </c>
      <c r="C5474" t="s">
        <v>145</v>
      </c>
      <c r="D5474" t="str">
        <f>HYPERLINK("http://service.sap.com/sap/support/notes/1765836","1765836")</f>
        <v>1765836</v>
      </c>
      <c r="E5474">
        <v>1</v>
      </c>
      <c r="F5474" t="s">
        <v>7199</v>
      </c>
    </row>
    <row r="5475" spans="1:6" x14ac:dyDescent="0.25">
      <c r="A5475" t="s">
        <v>7340</v>
      </c>
      <c r="B5475" t="s">
        <v>146</v>
      </c>
      <c r="C5475" t="s">
        <v>147</v>
      </c>
      <c r="D5475" t="str">
        <f>HYPERLINK("http://service.sap.com/sap/support/notes/1759433","1759433")</f>
        <v>1759433</v>
      </c>
      <c r="E5475">
        <v>1</v>
      </c>
      <c r="F5475" t="s">
        <v>7200</v>
      </c>
    </row>
    <row r="5476" spans="1:6" x14ac:dyDescent="0.25">
      <c r="A5476" t="s">
        <v>7340</v>
      </c>
      <c r="B5476" t="s">
        <v>146</v>
      </c>
      <c r="C5476" t="s">
        <v>147</v>
      </c>
      <c r="D5476" t="str">
        <f>HYPERLINK("http://service.sap.com/sap/support/notes/1760666","1760666")</f>
        <v>1760666</v>
      </c>
      <c r="E5476">
        <v>1</v>
      </c>
      <c r="F5476" t="s">
        <v>7201</v>
      </c>
    </row>
    <row r="5477" spans="1:6" x14ac:dyDescent="0.25">
      <c r="A5477" t="s">
        <v>7340</v>
      </c>
      <c r="B5477" t="s">
        <v>146</v>
      </c>
      <c r="C5477" t="s">
        <v>147</v>
      </c>
      <c r="D5477" t="str">
        <f>HYPERLINK("http://service.sap.com/sap/support/notes/1762511","1762511")</f>
        <v>1762511</v>
      </c>
      <c r="E5477">
        <v>2</v>
      </c>
      <c r="F5477" t="s">
        <v>7202</v>
      </c>
    </row>
    <row r="5478" spans="1:6" x14ac:dyDescent="0.25">
      <c r="A5478" t="s">
        <v>7340</v>
      </c>
      <c r="B5478" t="s">
        <v>146</v>
      </c>
      <c r="C5478" t="s">
        <v>147</v>
      </c>
      <c r="D5478" t="str">
        <f>HYPERLINK("http://service.sap.com/sap/support/notes/1767306","1767306")</f>
        <v>1767306</v>
      </c>
      <c r="E5478">
        <v>1</v>
      </c>
      <c r="F5478" t="s">
        <v>7203</v>
      </c>
    </row>
    <row r="5479" spans="1:6" x14ac:dyDescent="0.25">
      <c r="A5479" t="s">
        <v>7340</v>
      </c>
      <c r="B5479" t="s">
        <v>148</v>
      </c>
      <c r="C5479" t="s">
        <v>45</v>
      </c>
      <c r="D5479" t="str">
        <f>HYPERLINK("http://service.sap.com/sap/support/notes/1604159","1604159")</f>
        <v>1604159</v>
      </c>
      <c r="E5479">
        <v>3</v>
      </c>
      <c r="F5479" t="s">
        <v>7204</v>
      </c>
    </row>
    <row r="5480" spans="1:6" x14ac:dyDescent="0.25">
      <c r="A5480" t="s">
        <v>7340</v>
      </c>
      <c r="B5480" t="s">
        <v>148</v>
      </c>
      <c r="C5480" t="s">
        <v>45</v>
      </c>
      <c r="D5480" t="str">
        <f>HYPERLINK("http://service.sap.com/sap/support/notes/1750918","1750918")</f>
        <v>1750918</v>
      </c>
      <c r="E5480">
        <v>5</v>
      </c>
      <c r="F5480" t="s">
        <v>7205</v>
      </c>
    </row>
    <row r="5481" spans="1:6" x14ac:dyDescent="0.25">
      <c r="A5481" t="s">
        <v>7340</v>
      </c>
      <c r="B5481" t="s">
        <v>148</v>
      </c>
      <c r="C5481" t="s">
        <v>45</v>
      </c>
      <c r="D5481" t="str">
        <f>HYPERLINK("http://service.sap.com/sap/support/notes/1761662","1761662")</f>
        <v>1761662</v>
      </c>
      <c r="E5481">
        <v>2</v>
      </c>
      <c r="F5481" t="s">
        <v>7206</v>
      </c>
    </row>
    <row r="5482" spans="1:6" x14ac:dyDescent="0.25">
      <c r="A5482" t="s">
        <v>7340</v>
      </c>
      <c r="B5482" t="s">
        <v>149</v>
      </c>
      <c r="C5482" t="s">
        <v>150</v>
      </c>
      <c r="D5482" t="str">
        <f>HYPERLINK("http://service.sap.com/sap/support/notes/1699248","1699248")</f>
        <v>1699248</v>
      </c>
      <c r="E5482">
        <v>6</v>
      </c>
      <c r="F5482" t="s">
        <v>7207</v>
      </c>
    </row>
    <row r="5483" spans="1:6" x14ac:dyDescent="0.25">
      <c r="A5483" t="s">
        <v>7340</v>
      </c>
      <c r="B5483" t="s">
        <v>149</v>
      </c>
      <c r="C5483" t="s">
        <v>150</v>
      </c>
      <c r="D5483" t="str">
        <f>HYPERLINK("http://service.sap.com/sap/support/notes/1702157","1702157")</f>
        <v>1702157</v>
      </c>
      <c r="E5483">
        <v>1</v>
      </c>
      <c r="F5483" t="s">
        <v>7208</v>
      </c>
    </row>
    <row r="5484" spans="1:6" x14ac:dyDescent="0.25">
      <c r="A5484" t="s">
        <v>7340</v>
      </c>
      <c r="B5484" t="s">
        <v>149</v>
      </c>
      <c r="C5484" t="s">
        <v>150</v>
      </c>
      <c r="D5484" t="str">
        <f>HYPERLINK("http://service.sap.com/sap/support/notes/1728504","1728504")</f>
        <v>1728504</v>
      </c>
      <c r="E5484">
        <v>1</v>
      </c>
      <c r="F5484" t="s">
        <v>7209</v>
      </c>
    </row>
    <row r="5485" spans="1:6" x14ac:dyDescent="0.25">
      <c r="A5485" t="s">
        <v>7340</v>
      </c>
      <c r="B5485" t="s">
        <v>149</v>
      </c>
      <c r="C5485" t="s">
        <v>150</v>
      </c>
      <c r="D5485" t="str">
        <f>HYPERLINK("http://service.sap.com/sap/support/notes/1734217","1734217")</f>
        <v>1734217</v>
      </c>
      <c r="E5485">
        <v>1</v>
      </c>
      <c r="F5485" t="s">
        <v>7210</v>
      </c>
    </row>
    <row r="5486" spans="1:6" x14ac:dyDescent="0.25">
      <c r="A5486" t="s">
        <v>7340</v>
      </c>
      <c r="B5486" t="s">
        <v>149</v>
      </c>
      <c r="C5486" t="s">
        <v>150</v>
      </c>
      <c r="D5486" t="str">
        <f>HYPERLINK("http://service.sap.com/sap/support/notes/1748718","1748718")</f>
        <v>1748718</v>
      </c>
      <c r="E5486">
        <v>1</v>
      </c>
      <c r="F5486" t="s">
        <v>7211</v>
      </c>
    </row>
    <row r="5487" spans="1:6" x14ac:dyDescent="0.25">
      <c r="A5487" t="s">
        <v>7340</v>
      </c>
      <c r="B5487" t="s">
        <v>149</v>
      </c>
      <c r="C5487" t="s">
        <v>150</v>
      </c>
      <c r="D5487" t="str">
        <f>HYPERLINK("http://service.sap.com/sap/support/notes/1754651","1754651")</f>
        <v>1754651</v>
      </c>
      <c r="E5487">
        <v>1</v>
      </c>
      <c r="F5487" t="s">
        <v>7212</v>
      </c>
    </row>
    <row r="5488" spans="1:6" x14ac:dyDescent="0.25">
      <c r="A5488" t="s">
        <v>7340</v>
      </c>
      <c r="B5488" t="s">
        <v>149</v>
      </c>
      <c r="C5488" t="s">
        <v>150</v>
      </c>
      <c r="D5488" t="str">
        <f>HYPERLINK("http://service.sap.com/sap/support/notes/1755479","1755479")</f>
        <v>1755479</v>
      </c>
      <c r="E5488">
        <v>1</v>
      </c>
      <c r="F5488" t="s">
        <v>7213</v>
      </c>
    </row>
    <row r="5489" spans="1:6" x14ac:dyDescent="0.25">
      <c r="A5489" t="s">
        <v>7340</v>
      </c>
      <c r="B5489" t="s">
        <v>149</v>
      </c>
      <c r="C5489" t="s">
        <v>150</v>
      </c>
      <c r="D5489" t="str">
        <f>HYPERLINK("http://service.sap.com/sap/support/notes/1762052","1762052")</f>
        <v>1762052</v>
      </c>
      <c r="E5489">
        <v>1</v>
      </c>
      <c r="F5489" t="s">
        <v>7214</v>
      </c>
    </row>
    <row r="5490" spans="1:6" x14ac:dyDescent="0.25">
      <c r="A5490" t="s">
        <v>7340</v>
      </c>
      <c r="B5490" t="s">
        <v>149</v>
      </c>
      <c r="C5490" t="s">
        <v>150</v>
      </c>
      <c r="D5490" t="str">
        <f>HYPERLINK("http://service.sap.com/sap/support/notes/1763252","1763252")</f>
        <v>1763252</v>
      </c>
      <c r="E5490">
        <v>1</v>
      </c>
      <c r="F5490" t="s">
        <v>7215</v>
      </c>
    </row>
    <row r="5491" spans="1:6" x14ac:dyDescent="0.25">
      <c r="A5491" t="s">
        <v>7340</v>
      </c>
      <c r="B5491" t="s">
        <v>149</v>
      </c>
      <c r="C5491" t="s">
        <v>150</v>
      </c>
      <c r="D5491" t="str">
        <f>HYPERLINK("http://service.sap.com/sap/support/notes/1765415","1765415")</f>
        <v>1765415</v>
      </c>
      <c r="E5491">
        <v>1</v>
      </c>
      <c r="F5491" t="s">
        <v>7216</v>
      </c>
    </row>
    <row r="5492" spans="1:6" x14ac:dyDescent="0.25">
      <c r="A5492" t="s">
        <v>7340</v>
      </c>
      <c r="B5492" t="s">
        <v>149</v>
      </c>
      <c r="C5492" t="s">
        <v>150</v>
      </c>
      <c r="D5492" t="str">
        <f>HYPERLINK("http://service.sap.com/sap/support/notes/1767906","1767906")</f>
        <v>1767906</v>
      </c>
      <c r="E5492">
        <v>1</v>
      </c>
      <c r="F5492" t="s">
        <v>7217</v>
      </c>
    </row>
    <row r="5493" spans="1:6" x14ac:dyDescent="0.25">
      <c r="A5493" t="s">
        <v>7340</v>
      </c>
      <c r="B5493" t="s">
        <v>152</v>
      </c>
      <c r="C5493" t="s">
        <v>47</v>
      </c>
      <c r="D5493" t="str">
        <f>HYPERLINK("http://service.sap.com/sap/support/notes/1747548","1747548")</f>
        <v>1747548</v>
      </c>
      <c r="E5493">
        <v>1</v>
      </c>
      <c r="F5493" t="s">
        <v>7218</v>
      </c>
    </row>
    <row r="5494" spans="1:6" x14ac:dyDescent="0.25">
      <c r="A5494" t="s">
        <v>7340</v>
      </c>
      <c r="B5494" t="s">
        <v>152</v>
      </c>
      <c r="C5494" t="s">
        <v>47</v>
      </c>
      <c r="D5494" t="str">
        <f>HYPERLINK("http://service.sap.com/sap/support/notes/1750796","1750796")</f>
        <v>1750796</v>
      </c>
      <c r="E5494">
        <v>1</v>
      </c>
      <c r="F5494" t="s">
        <v>7219</v>
      </c>
    </row>
    <row r="5495" spans="1:6" x14ac:dyDescent="0.25">
      <c r="A5495" t="s">
        <v>7340</v>
      </c>
      <c r="B5495" t="s">
        <v>152</v>
      </c>
      <c r="C5495" t="s">
        <v>47</v>
      </c>
      <c r="D5495" t="str">
        <f>HYPERLINK("http://service.sap.com/sap/support/notes/1755357","1755357")</f>
        <v>1755357</v>
      </c>
      <c r="E5495">
        <v>2</v>
      </c>
      <c r="F5495" t="s">
        <v>7220</v>
      </c>
    </row>
    <row r="5496" spans="1:6" x14ac:dyDescent="0.25">
      <c r="A5496" t="s">
        <v>7340</v>
      </c>
      <c r="B5496" t="s">
        <v>152</v>
      </c>
      <c r="C5496" t="s">
        <v>47</v>
      </c>
      <c r="D5496" t="str">
        <f>HYPERLINK("http://service.sap.com/sap/support/notes/1756064","1756064")</f>
        <v>1756064</v>
      </c>
      <c r="E5496">
        <v>1</v>
      </c>
      <c r="F5496" t="s">
        <v>7221</v>
      </c>
    </row>
    <row r="5497" spans="1:6" x14ac:dyDescent="0.25">
      <c r="A5497" t="s">
        <v>7340</v>
      </c>
      <c r="B5497" t="s">
        <v>152</v>
      </c>
      <c r="C5497" t="s">
        <v>47</v>
      </c>
      <c r="D5497" t="str">
        <f>HYPERLINK("http://service.sap.com/sap/support/notes/1756887","1756887")</f>
        <v>1756887</v>
      </c>
      <c r="E5497">
        <v>1</v>
      </c>
      <c r="F5497" t="s">
        <v>7222</v>
      </c>
    </row>
    <row r="5498" spans="1:6" x14ac:dyDescent="0.25">
      <c r="A5498" t="s">
        <v>7340</v>
      </c>
      <c r="B5498" t="s">
        <v>152</v>
      </c>
      <c r="C5498" t="s">
        <v>47</v>
      </c>
      <c r="D5498" t="str">
        <f>HYPERLINK("http://service.sap.com/sap/support/notes/1757684","1757684")</f>
        <v>1757684</v>
      </c>
      <c r="E5498">
        <v>1</v>
      </c>
      <c r="F5498" t="s">
        <v>7223</v>
      </c>
    </row>
    <row r="5499" spans="1:6" x14ac:dyDescent="0.25">
      <c r="A5499" t="s">
        <v>7340</v>
      </c>
      <c r="B5499" t="s">
        <v>152</v>
      </c>
      <c r="C5499" t="s">
        <v>47</v>
      </c>
      <c r="D5499" t="str">
        <f>HYPERLINK("http://service.sap.com/sap/support/notes/1759499","1759499")</f>
        <v>1759499</v>
      </c>
      <c r="E5499">
        <v>2</v>
      </c>
      <c r="F5499" t="s">
        <v>7224</v>
      </c>
    </row>
    <row r="5500" spans="1:6" x14ac:dyDescent="0.25">
      <c r="A5500" t="s">
        <v>7340</v>
      </c>
      <c r="B5500" t="s">
        <v>152</v>
      </c>
      <c r="C5500" t="s">
        <v>47</v>
      </c>
      <c r="D5500" t="str">
        <f>HYPERLINK("http://service.sap.com/sap/support/notes/1762793","1762793")</f>
        <v>1762793</v>
      </c>
      <c r="E5500">
        <v>1</v>
      </c>
      <c r="F5500" t="s">
        <v>7225</v>
      </c>
    </row>
    <row r="5501" spans="1:6" x14ac:dyDescent="0.25">
      <c r="A5501" t="s">
        <v>7340</v>
      </c>
      <c r="B5501" t="s">
        <v>152</v>
      </c>
      <c r="C5501" t="s">
        <v>47</v>
      </c>
      <c r="D5501" t="str">
        <f>HYPERLINK("http://service.sap.com/sap/support/notes/1765568","1765568")</f>
        <v>1765568</v>
      </c>
      <c r="E5501">
        <v>1</v>
      </c>
      <c r="F5501" t="s">
        <v>7226</v>
      </c>
    </row>
    <row r="5502" spans="1:6" x14ac:dyDescent="0.25">
      <c r="A5502" t="s">
        <v>7340</v>
      </c>
      <c r="B5502" t="s">
        <v>153</v>
      </c>
      <c r="C5502" t="s">
        <v>154</v>
      </c>
      <c r="D5502" t="str">
        <f>HYPERLINK("http://service.sap.com/sap/support/notes/1754777","1754777")</f>
        <v>1754777</v>
      </c>
      <c r="E5502">
        <v>2</v>
      </c>
      <c r="F5502" t="s">
        <v>7227</v>
      </c>
    </row>
    <row r="5503" spans="1:6" x14ac:dyDescent="0.25">
      <c r="A5503" t="s">
        <v>7340</v>
      </c>
      <c r="B5503" t="s">
        <v>153</v>
      </c>
      <c r="C5503" t="s">
        <v>154</v>
      </c>
      <c r="D5503" t="str">
        <f>HYPERLINK("http://service.sap.com/sap/support/notes/1755993","1755993")</f>
        <v>1755993</v>
      </c>
      <c r="E5503">
        <v>2</v>
      </c>
      <c r="F5503" t="s">
        <v>7228</v>
      </c>
    </row>
    <row r="5504" spans="1:6" x14ac:dyDescent="0.25">
      <c r="A5504" t="s">
        <v>7340</v>
      </c>
      <c r="B5504" t="s">
        <v>155</v>
      </c>
      <c r="C5504" t="s">
        <v>49</v>
      </c>
      <c r="D5504" t="str">
        <f>HYPERLINK("http://service.sap.com/sap/support/notes/1589533","1589533")</f>
        <v>1589533</v>
      </c>
      <c r="E5504">
        <v>14</v>
      </c>
      <c r="F5504" t="s">
        <v>7229</v>
      </c>
    </row>
    <row r="5505" spans="1:6" x14ac:dyDescent="0.25">
      <c r="A5505" t="s">
        <v>7340</v>
      </c>
      <c r="B5505" t="s">
        <v>155</v>
      </c>
      <c r="C5505" t="s">
        <v>49</v>
      </c>
      <c r="D5505" t="str">
        <f>HYPERLINK("http://service.sap.com/sap/support/notes/1603692","1603692")</f>
        <v>1603692</v>
      </c>
      <c r="E5505">
        <v>2</v>
      </c>
      <c r="F5505" t="s">
        <v>7230</v>
      </c>
    </row>
    <row r="5506" spans="1:6" x14ac:dyDescent="0.25">
      <c r="A5506" t="s">
        <v>7340</v>
      </c>
      <c r="B5506" t="s">
        <v>155</v>
      </c>
      <c r="C5506" t="s">
        <v>49</v>
      </c>
      <c r="D5506" t="str">
        <f>HYPERLINK("http://service.sap.com/sap/support/notes/1607066","1607066")</f>
        <v>1607066</v>
      </c>
      <c r="E5506">
        <v>5</v>
      </c>
      <c r="F5506" t="s">
        <v>7231</v>
      </c>
    </row>
    <row r="5507" spans="1:6" x14ac:dyDescent="0.25">
      <c r="A5507" t="s">
        <v>7340</v>
      </c>
      <c r="B5507" t="s">
        <v>155</v>
      </c>
      <c r="C5507" t="s">
        <v>49</v>
      </c>
      <c r="D5507" t="str">
        <f>HYPERLINK("http://service.sap.com/sap/support/notes/1613272","1613272")</f>
        <v>1613272</v>
      </c>
      <c r="E5507">
        <v>5</v>
      </c>
      <c r="F5507" t="s">
        <v>7232</v>
      </c>
    </row>
    <row r="5508" spans="1:6" x14ac:dyDescent="0.25">
      <c r="A5508" t="s">
        <v>7340</v>
      </c>
      <c r="B5508" t="s">
        <v>155</v>
      </c>
      <c r="C5508" t="s">
        <v>49</v>
      </c>
      <c r="D5508" t="str">
        <f>HYPERLINK("http://service.sap.com/sap/support/notes/1619362","1619362")</f>
        <v>1619362</v>
      </c>
      <c r="E5508">
        <v>3</v>
      </c>
      <c r="F5508" t="s">
        <v>7233</v>
      </c>
    </row>
    <row r="5509" spans="1:6" x14ac:dyDescent="0.25">
      <c r="A5509" t="s">
        <v>7340</v>
      </c>
      <c r="B5509" t="s">
        <v>155</v>
      </c>
      <c r="C5509" t="s">
        <v>49</v>
      </c>
      <c r="D5509" t="str">
        <f>HYPERLINK("http://service.sap.com/sap/support/notes/1626467","1626467")</f>
        <v>1626467</v>
      </c>
      <c r="E5509">
        <v>3</v>
      </c>
      <c r="F5509" t="s">
        <v>7234</v>
      </c>
    </row>
    <row r="5510" spans="1:6" x14ac:dyDescent="0.25">
      <c r="A5510" t="s">
        <v>7340</v>
      </c>
      <c r="B5510" t="s">
        <v>155</v>
      </c>
      <c r="C5510" t="s">
        <v>49</v>
      </c>
      <c r="D5510" t="str">
        <f>HYPERLINK("http://service.sap.com/sap/support/notes/1633275","1633275")</f>
        <v>1633275</v>
      </c>
      <c r="E5510">
        <v>3</v>
      </c>
      <c r="F5510" t="s">
        <v>7235</v>
      </c>
    </row>
    <row r="5511" spans="1:6" x14ac:dyDescent="0.25">
      <c r="A5511" t="s">
        <v>7340</v>
      </c>
      <c r="B5511" t="s">
        <v>155</v>
      </c>
      <c r="C5511" t="s">
        <v>49</v>
      </c>
      <c r="D5511" t="str">
        <f>HYPERLINK("http://service.sap.com/sap/support/notes/1664750","1664750")</f>
        <v>1664750</v>
      </c>
      <c r="E5511">
        <v>3</v>
      </c>
      <c r="F5511" t="s">
        <v>7236</v>
      </c>
    </row>
    <row r="5512" spans="1:6" x14ac:dyDescent="0.25">
      <c r="A5512" t="s">
        <v>7340</v>
      </c>
      <c r="B5512" t="s">
        <v>155</v>
      </c>
      <c r="C5512" t="s">
        <v>49</v>
      </c>
      <c r="D5512" t="str">
        <f>HYPERLINK("http://service.sap.com/sap/support/notes/1670297","1670297")</f>
        <v>1670297</v>
      </c>
      <c r="E5512">
        <v>3</v>
      </c>
      <c r="F5512" t="s">
        <v>7237</v>
      </c>
    </row>
    <row r="5513" spans="1:6" x14ac:dyDescent="0.25">
      <c r="A5513" t="s">
        <v>7340</v>
      </c>
      <c r="B5513" t="s">
        <v>155</v>
      </c>
      <c r="C5513" t="s">
        <v>49</v>
      </c>
      <c r="D5513" t="str">
        <f>HYPERLINK("http://service.sap.com/sap/support/notes/1676134","1676134")</f>
        <v>1676134</v>
      </c>
      <c r="E5513">
        <v>7</v>
      </c>
      <c r="F5513" t="s">
        <v>7238</v>
      </c>
    </row>
    <row r="5514" spans="1:6" x14ac:dyDescent="0.25">
      <c r="A5514" t="s">
        <v>7340</v>
      </c>
      <c r="B5514" t="s">
        <v>155</v>
      </c>
      <c r="C5514" t="s">
        <v>49</v>
      </c>
      <c r="D5514" t="str">
        <f>HYPERLINK("http://service.sap.com/sap/support/notes/1745277","1745277")</f>
        <v>1745277</v>
      </c>
      <c r="E5514">
        <v>5</v>
      </c>
      <c r="F5514" t="s">
        <v>7239</v>
      </c>
    </row>
    <row r="5515" spans="1:6" x14ac:dyDescent="0.25">
      <c r="A5515" t="s">
        <v>7340</v>
      </c>
      <c r="B5515" t="s">
        <v>155</v>
      </c>
      <c r="C5515" t="s">
        <v>49</v>
      </c>
      <c r="D5515" t="str">
        <f>HYPERLINK("http://service.sap.com/sap/support/notes/1749063","1749063")</f>
        <v>1749063</v>
      </c>
      <c r="E5515">
        <v>2</v>
      </c>
      <c r="F5515" t="s">
        <v>7240</v>
      </c>
    </row>
    <row r="5516" spans="1:6" x14ac:dyDescent="0.25">
      <c r="A5516" t="s">
        <v>7340</v>
      </c>
      <c r="B5516" t="s">
        <v>155</v>
      </c>
      <c r="C5516" t="s">
        <v>49</v>
      </c>
      <c r="D5516" t="str">
        <f>HYPERLINK("http://service.sap.com/sap/support/notes/1760993","1760993")</f>
        <v>1760993</v>
      </c>
      <c r="E5516">
        <v>3</v>
      </c>
      <c r="F5516" t="s">
        <v>7241</v>
      </c>
    </row>
    <row r="5517" spans="1:6" x14ac:dyDescent="0.25">
      <c r="A5517" t="s">
        <v>7340</v>
      </c>
      <c r="B5517" t="s">
        <v>155</v>
      </c>
      <c r="C5517" t="s">
        <v>49</v>
      </c>
      <c r="D5517" t="str">
        <f>HYPERLINK("http://service.sap.com/sap/support/notes/1764049","1764049")</f>
        <v>1764049</v>
      </c>
      <c r="E5517">
        <v>1</v>
      </c>
      <c r="F5517" t="s">
        <v>7242</v>
      </c>
    </row>
    <row r="5518" spans="1:6" x14ac:dyDescent="0.25">
      <c r="A5518" t="s">
        <v>7340</v>
      </c>
      <c r="B5518" t="s">
        <v>155</v>
      </c>
      <c r="C5518" t="s">
        <v>49</v>
      </c>
      <c r="D5518" t="str">
        <f>HYPERLINK("http://service.sap.com/sap/support/notes/1766622","1766622")</f>
        <v>1766622</v>
      </c>
      <c r="E5518">
        <v>1</v>
      </c>
      <c r="F5518" t="s">
        <v>7243</v>
      </c>
    </row>
    <row r="5519" spans="1:6" x14ac:dyDescent="0.25">
      <c r="A5519" t="s">
        <v>7340</v>
      </c>
      <c r="B5519" t="s">
        <v>156</v>
      </c>
      <c r="C5519" t="s">
        <v>52</v>
      </c>
      <c r="D5519" t="str">
        <f>HYPERLINK("http://service.sap.com/sap/support/notes/1750214","1750214")</f>
        <v>1750214</v>
      </c>
      <c r="E5519">
        <v>5</v>
      </c>
      <c r="F5519" t="s">
        <v>6951</v>
      </c>
    </row>
    <row r="5520" spans="1:6" x14ac:dyDescent="0.25">
      <c r="A5520" t="s">
        <v>7340</v>
      </c>
      <c r="B5520" t="s">
        <v>156</v>
      </c>
      <c r="C5520" t="s">
        <v>52</v>
      </c>
      <c r="D5520" t="str">
        <f>HYPERLINK("http://service.sap.com/sap/support/notes/1760103","1760103")</f>
        <v>1760103</v>
      </c>
      <c r="E5520">
        <v>1</v>
      </c>
      <c r="F5520" t="s">
        <v>7244</v>
      </c>
    </row>
    <row r="5521" spans="1:6" x14ac:dyDescent="0.25">
      <c r="A5521" t="s">
        <v>7340</v>
      </c>
      <c r="B5521" t="s">
        <v>156</v>
      </c>
      <c r="C5521" t="s">
        <v>52</v>
      </c>
      <c r="D5521" t="str">
        <f>HYPERLINK("http://service.sap.com/sap/support/notes/1766192","1766192")</f>
        <v>1766192</v>
      </c>
      <c r="E5521">
        <v>2</v>
      </c>
      <c r="F5521" t="s">
        <v>7245</v>
      </c>
    </row>
    <row r="5522" spans="1:6" x14ac:dyDescent="0.25">
      <c r="A5522" t="s">
        <v>7340</v>
      </c>
      <c r="B5522" t="s">
        <v>7246</v>
      </c>
      <c r="C5522" t="s">
        <v>115</v>
      </c>
    </row>
    <row r="5523" spans="1:6" x14ac:dyDescent="0.25">
      <c r="A5523" t="s">
        <v>7340</v>
      </c>
      <c r="B5523" t="s">
        <v>7247</v>
      </c>
      <c r="C5523" t="s">
        <v>7248</v>
      </c>
      <c r="D5523" t="str">
        <f>HYPERLINK("http://service.sap.com/sap/support/notes/1756431","1756431")</f>
        <v>1756431</v>
      </c>
      <c r="E5523">
        <v>1</v>
      </c>
      <c r="F5523" t="s">
        <v>7249</v>
      </c>
    </row>
    <row r="5524" spans="1:6" x14ac:dyDescent="0.25">
      <c r="A5524" t="s">
        <v>7340</v>
      </c>
      <c r="B5524" t="s">
        <v>158</v>
      </c>
      <c r="C5524" t="s">
        <v>54</v>
      </c>
      <c r="D5524" t="str">
        <f>HYPERLINK("http://service.sap.com/sap/support/notes/1755366","1755366")</f>
        <v>1755366</v>
      </c>
      <c r="E5524">
        <v>1</v>
      </c>
      <c r="F5524" t="s">
        <v>7250</v>
      </c>
    </row>
    <row r="5525" spans="1:6" x14ac:dyDescent="0.25">
      <c r="A5525" t="s">
        <v>7340</v>
      </c>
      <c r="B5525" t="s">
        <v>158</v>
      </c>
      <c r="C5525" t="s">
        <v>54</v>
      </c>
      <c r="D5525" t="str">
        <f>HYPERLINK("http://service.sap.com/sap/support/notes/1755846","1755846")</f>
        <v>1755846</v>
      </c>
      <c r="E5525">
        <v>2</v>
      </c>
      <c r="F5525" t="s">
        <v>7251</v>
      </c>
    </row>
    <row r="5526" spans="1:6" x14ac:dyDescent="0.25">
      <c r="A5526" t="s">
        <v>7340</v>
      </c>
      <c r="B5526" t="s">
        <v>158</v>
      </c>
      <c r="C5526" t="s">
        <v>54</v>
      </c>
      <c r="D5526" t="str">
        <f>HYPERLINK("http://service.sap.com/sap/support/notes/1761652","1761652")</f>
        <v>1761652</v>
      </c>
      <c r="E5526">
        <v>1</v>
      </c>
      <c r="F5526" t="s">
        <v>7252</v>
      </c>
    </row>
    <row r="5527" spans="1:6" x14ac:dyDescent="0.25">
      <c r="A5527" t="s">
        <v>7340</v>
      </c>
      <c r="B5527" t="s">
        <v>158</v>
      </c>
      <c r="C5527" t="s">
        <v>54</v>
      </c>
      <c r="D5527" t="str">
        <f>HYPERLINK("http://service.sap.com/sap/support/notes/1763624","1763624")</f>
        <v>1763624</v>
      </c>
      <c r="E5527">
        <v>3</v>
      </c>
      <c r="F5527" t="s">
        <v>7253</v>
      </c>
    </row>
    <row r="5528" spans="1:6" x14ac:dyDescent="0.25">
      <c r="A5528" t="s">
        <v>7340</v>
      </c>
      <c r="B5528" t="s">
        <v>158</v>
      </c>
      <c r="C5528" t="s">
        <v>54</v>
      </c>
      <c r="D5528" t="str">
        <f>HYPERLINK("http://service.sap.com/sap/support/notes/1765201","1765201")</f>
        <v>1765201</v>
      </c>
      <c r="E5528">
        <v>2</v>
      </c>
      <c r="F5528" t="s">
        <v>7254</v>
      </c>
    </row>
    <row r="5529" spans="1:6" x14ac:dyDescent="0.25">
      <c r="A5529" t="s">
        <v>7340</v>
      </c>
      <c r="B5529" t="s">
        <v>159</v>
      </c>
      <c r="C5529" t="s">
        <v>160</v>
      </c>
      <c r="D5529" t="str">
        <f>HYPERLINK("http://service.sap.com/sap/support/notes/1753641","1753641")</f>
        <v>1753641</v>
      </c>
      <c r="E5529">
        <v>4</v>
      </c>
      <c r="F5529" t="s">
        <v>7255</v>
      </c>
    </row>
    <row r="5530" spans="1:6" x14ac:dyDescent="0.25">
      <c r="A5530" t="s">
        <v>7340</v>
      </c>
      <c r="B5530" t="s">
        <v>159</v>
      </c>
      <c r="C5530" t="s">
        <v>160</v>
      </c>
      <c r="D5530" t="str">
        <f>HYPERLINK("http://service.sap.com/sap/support/notes/1765632","1765632")</f>
        <v>1765632</v>
      </c>
      <c r="E5530">
        <v>1</v>
      </c>
      <c r="F5530" t="s">
        <v>7256</v>
      </c>
    </row>
    <row r="5531" spans="1:6" x14ac:dyDescent="0.25">
      <c r="A5531" t="s">
        <v>7340</v>
      </c>
      <c r="B5531" t="s">
        <v>7257</v>
      </c>
      <c r="C5531" t="s">
        <v>7258</v>
      </c>
      <c r="D5531" t="str">
        <f>HYPERLINK("http://service.sap.com/sap/support/notes/1736542","1736542")</f>
        <v>1736542</v>
      </c>
      <c r="E5531">
        <v>4</v>
      </c>
      <c r="F5531" t="s">
        <v>7259</v>
      </c>
    </row>
    <row r="5532" spans="1:6" x14ac:dyDescent="0.25">
      <c r="A5532" t="s">
        <v>7340</v>
      </c>
      <c r="B5532" t="s">
        <v>161</v>
      </c>
      <c r="C5532" t="s">
        <v>162</v>
      </c>
      <c r="D5532" t="str">
        <f>HYPERLINK("http://service.sap.com/sap/support/notes/1689003","1689003")</f>
        <v>1689003</v>
      </c>
      <c r="E5532">
        <v>13</v>
      </c>
      <c r="F5532" t="s">
        <v>7260</v>
      </c>
    </row>
    <row r="5533" spans="1:6" x14ac:dyDescent="0.25">
      <c r="A5533" t="s">
        <v>7340</v>
      </c>
      <c r="B5533" t="s">
        <v>163</v>
      </c>
      <c r="C5533" t="s">
        <v>56</v>
      </c>
      <c r="D5533" t="str">
        <f>HYPERLINK("http://service.sap.com/sap/support/notes/1727847","1727847")</f>
        <v>1727847</v>
      </c>
      <c r="E5533">
        <v>1</v>
      </c>
      <c r="F5533" t="s">
        <v>7261</v>
      </c>
    </row>
    <row r="5534" spans="1:6" x14ac:dyDescent="0.25">
      <c r="A5534" t="s">
        <v>7340</v>
      </c>
      <c r="B5534" t="s">
        <v>163</v>
      </c>
      <c r="C5534" t="s">
        <v>56</v>
      </c>
      <c r="D5534" t="str">
        <f>HYPERLINK("http://service.sap.com/sap/support/notes/1731651","1731651")</f>
        <v>1731651</v>
      </c>
      <c r="E5534">
        <v>1</v>
      </c>
      <c r="F5534" t="s">
        <v>7262</v>
      </c>
    </row>
    <row r="5535" spans="1:6" x14ac:dyDescent="0.25">
      <c r="A5535" t="s">
        <v>7340</v>
      </c>
      <c r="B5535" t="s">
        <v>163</v>
      </c>
      <c r="C5535" t="s">
        <v>56</v>
      </c>
      <c r="D5535" t="str">
        <f>HYPERLINK("http://service.sap.com/sap/support/notes/1751040","1751040")</f>
        <v>1751040</v>
      </c>
      <c r="E5535">
        <v>1</v>
      </c>
      <c r="F5535" t="s">
        <v>7263</v>
      </c>
    </row>
    <row r="5536" spans="1:6" x14ac:dyDescent="0.25">
      <c r="A5536" t="s">
        <v>7340</v>
      </c>
      <c r="B5536" t="s">
        <v>163</v>
      </c>
      <c r="C5536" t="s">
        <v>56</v>
      </c>
      <c r="D5536" t="str">
        <f>HYPERLINK("http://service.sap.com/sap/support/notes/1758019","1758019")</f>
        <v>1758019</v>
      </c>
      <c r="E5536">
        <v>1</v>
      </c>
      <c r="F5536" t="s">
        <v>7264</v>
      </c>
    </row>
    <row r="5537" spans="1:6" x14ac:dyDescent="0.25">
      <c r="A5537" t="s">
        <v>7340</v>
      </c>
      <c r="B5537" t="s">
        <v>163</v>
      </c>
      <c r="C5537" t="s">
        <v>56</v>
      </c>
      <c r="D5537" t="str">
        <f>HYPERLINK("http://service.sap.com/sap/support/notes/1760256","1760256")</f>
        <v>1760256</v>
      </c>
      <c r="E5537">
        <v>1</v>
      </c>
      <c r="F5537" t="s">
        <v>7265</v>
      </c>
    </row>
    <row r="5538" spans="1:6" x14ac:dyDescent="0.25">
      <c r="A5538" t="s">
        <v>7340</v>
      </c>
      <c r="B5538" t="s">
        <v>164</v>
      </c>
      <c r="C5538" t="s">
        <v>165</v>
      </c>
      <c r="D5538" t="str">
        <f>HYPERLINK("http://service.sap.com/sap/support/notes/1697836","1697836")</f>
        <v>1697836</v>
      </c>
      <c r="E5538">
        <v>4</v>
      </c>
      <c r="F5538" t="s">
        <v>7266</v>
      </c>
    </row>
    <row r="5539" spans="1:6" x14ac:dyDescent="0.25">
      <c r="A5539" t="s">
        <v>7340</v>
      </c>
      <c r="B5539" t="s">
        <v>164</v>
      </c>
      <c r="C5539" t="s">
        <v>165</v>
      </c>
      <c r="D5539" t="str">
        <f>HYPERLINK("http://service.sap.com/sap/support/notes/1737081","1737081")</f>
        <v>1737081</v>
      </c>
      <c r="E5539">
        <v>3</v>
      </c>
      <c r="F5539" t="s">
        <v>7267</v>
      </c>
    </row>
    <row r="5540" spans="1:6" x14ac:dyDescent="0.25">
      <c r="A5540" t="s">
        <v>7340</v>
      </c>
      <c r="B5540" t="s">
        <v>164</v>
      </c>
      <c r="C5540" t="s">
        <v>165</v>
      </c>
      <c r="D5540" t="str">
        <f>HYPERLINK("http://service.sap.com/sap/support/notes/1757040","1757040")</f>
        <v>1757040</v>
      </c>
      <c r="E5540">
        <v>1</v>
      </c>
      <c r="F5540" t="s">
        <v>7268</v>
      </c>
    </row>
    <row r="5541" spans="1:6" x14ac:dyDescent="0.25">
      <c r="A5541" t="s">
        <v>7340</v>
      </c>
      <c r="B5541" t="s">
        <v>164</v>
      </c>
      <c r="C5541" t="s">
        <v>165</v>
      </c>
      <c r="D5541" t="str">
        <f>HYPERLINK("http://service.sap.com/sap/support/notes/1759646","1759646")</f>
        <v>1759646</v>
      </c>
      <c r="E5541">
        <v>1</v>
      </c>
      <c r="F5541" t="s">
        <v>7269</v>
      </c>
    </row>
    <row r="5542" spans="1:6" x14ac:dyDescent="0.25">
      <c r="A5542" t="s">
        <v>7340</v>
      </c>
      <c r="B5542" t="s">
        <v>164</v>
      </c>
      <c r="C5542" t="s">
        <v>165</v>
      </c>
      <c r="D5542" t="str">
        <f>HYPERLINK("http://service.sap.com/sap/support/notes/1759673","1759673")</f>
        <v>1759673</v>
      </c>
      <c r="E5542">
        <v>1</v>
      </c>
      <c r="F5542" t="s">
        <v>7270</v>
      </c>
    </row>
    <row r="5543" spans="1:6" x14ac:dyDescent="0.25">
      <c r="A5543" t="s">
        <v>7340</v>
      </c>
      <c r="B5543" t="s">
        <v>164</v>
      </c>
      <c r="C5543" t="s">
        <v>165</v>
      </c>
      <c r="D5543" t="str">
        <f>HYPERLINK("http://service.sap.com/sap/support/notes/1766315","1766315")</f>
        <v>1766315</v>
      </c>
      <c r="E5543">
        <v>1</v>
      </c>
      <c r="F5543" t="s">
        <v>7271</v>
      </c>
    </row>
    <row r="5544" spans="1:6" x14ac:dyDescent="0.25">
      <c r="A5544" t="s">
        <v>7340</v>
      </c>
      <c r="B5544" t="s">
        <v>166</v>
      </c>
      <c r="C5544" t="s">
        <v>167</v>
      </c>
      <c r="D5544" t="str">
        <f>HYPERLINK("http://service.sap.com/sap/support/notes/1739536","1739536")</f>
        <v>1739536</v>
      </c>
      <c r="E5544">
        <v>2</v>
      </c>
      <c r="F5544" t="s">
        <v>7272</v>
      </c>
    </row>
    <row r="5545" spans="1:6" x14ac:dyDescent="0.25">
      <c r="A5545" t="s">
        <v>7340</v>
      </c>
      <c r="B5545" t="s">
        <v>166</v>
      </c>
      <c r="C5545" t="s">
        <v>167</v>
      </c>
      <c r="D5545" t="str">
        <f>HYPERLINK("http://service.sap.com/sap/support/notes/1754294","1754294")</f>
        <v>1754294</v>
      </c>
      <c r="E5545">
        <v>1</v>
      </c>
      <c r="F5545" t="s">
        <v>7273</v>
      </c>
    </row>
    <row r="5546" spans="1:6" x14ac:dyDescent="0.25">
      <c r="A5546" t="s">
        <v>7340</v>
      </c>
      <c r="B5546" t="s">
        <v>166</v>
      </c>
      <c r="C5546" t="s">
        <v>167</v>
      </c>
      <c r="D5546" t="str">
        <f>HYPERLINK("http://service.sap.com/sap/support/notes/1758470","1758470")</f>
        <v>1758470</v>
      </c>
      <c r="E5546">
        <v>1</v>
      </c>
      <c r="F5546" t="s">
        <v>7274</v>
      </c>
    </row>
    <row r="5547" spans="1:6" x14ac:dyDescent="0.25">
      <c r="A5547" t="s">
        <v>7340</v>
      </c>
      <c r="B5547" t="s">
        <v>166</v>
      </c>
      <c r="C5547" t="s">
        <v>167</v>
      </c>
      <c r="D5547" t="str">
        <f>HYPERLINK("http://service.sap.com/sap/support/notes/1758641","1758641")</f>
        <v>1758641</v>
      </c>
      <c r="E5547">
        <v>1</v>
      </c>
      <c r="F5547" t="s">
        <v>7275</v>
      </c>
    </row>
    <row r="5548" spans="1:6" x14ac:dyDescent="0.25">
      <c r="A5548" t="s">
        <v>7340</v>
      </c>
      <c r="B5548" t="s">
        <v>166</v>
      </c>
      <c r="C5548" t="s">
        <v>167</v>
      </c>
      <c r="D5548" t="str">
        <f>HYPERLINK("http://service.sap.com/sap/support/notes/1761399","1761399")</f>
        <v>1761399</v>
      </c>
      <c r="E5548">
        <v>1</v>
      </c>
      <c r="F5548" t="s">
        <v>7276</v>
      </c>
    </row>
    <row r="5549" spans="1:6" x14ac:dyDescent="0.25">
      <c r="A5549" t="s">
        <v>7340</v>
      </c>
      <c r="B5549" t="s">
        <v>166</v>
      </c>
      <c r="C5549" t="s">
        <v>167</v>
      </c>
      <c r="D5549" t="str">
        <f>HYPERLINK("http://service.sap.com/sap/support/notes/1761820","1761820")</f>
        <v>1761820</v>
      </c>
      <c r="E5549">
        <v>1</v>
      </c>
      <c r="F5549" t="s">
        <v>7277</v>
      </c>
    </row>
    <row r="5550" spans="1:6" x14ac:dyDescent="0.25">
      <c r="A5550" t="s">
        <v>7340</v>
      </c>
      <c r="B5550" t="s">
        <v>166</v>
      </c>
      <c r="C5550" t="s">
        <v>167</v>
      </c>
      <c r="D5550" t="str">
        <f>HYPERLINK("http://service.sap.com/sap/support/notes/1763988","1763988")</f>
        <v>1763988</v>
      </c>
      <c r="E5550">
        <v>1</v>
      </c>
      <c r="F5550" t="s">
        <v>7278</v>
      </c>
    </row>
    <row r="5551" spans="1:6" x14ac:dyDescent="0.25">
      <c r="A5551" t="s">
        <v>7340</v>
      </c>
      <c r="B5551" t="s">
        <v>327</v>
      </c>
      <c r="C5551" t="s">
        <v>399</v>
      </c>
      <c r="D5551" t="str">
        <f>HYPERLINK("http://service.sap.com/sap/support/notes/1742959","1742959")</f>
        <v>1742959</v>
      </c>
      <c r="E5551">
        <v>2</v>
      </c>
      <c r="F5551" t="s">
        <v>7279</v>
      </c>
    </row>
    <row r="5552" spans="1:6" x14ac:dyDescent="0.25">
      <c r="A5552" t="s">
        <v>7340</v>
      </c>
      <c r="B5552" t="s">
        <v>327</v>
      </c>
      <c r="C5552" t="s">
        <v>399</v>
      </c>
      <c r="D5552" t="str">
        <f>HYPERLINK("http://service.sap.com/sap/support/notes/1753682","1753682")</f>
        <v>1753682</v>
      </c>
      <c r="E5552">
        <v>2</v>
      </c>
      <c r="F5552" t="s">
        <v>7280</v>
      </c>
    </row>
    <row r="5553" spans="1:6" x14ac:dyDescent="0.25">
      <c r="A5553" t="s">
        <v>7340</v>
      </c>
      <c r="B5553" t="s">
        <v>327</v>
      </c>
      <c r="C5553" t="s">
        <v>399</v>
      </c>
      <c r="D5553" t="str">
        <f>HYPERLINK("http://service.sap.com/sap/support/notes/1754928","1754928")</f>
        <v>1754928</v>
      </c>
      <c r="E5553">
        <v>2</v>
      </c>
      <c r="F5553" t="s">
        <v>7281</v>
      </c>
    </row>
    <row r="5554" spans="1:6" x14ac:dyDescent="0.25">
      <c r="A5554" t="s">
        <v>7340</v>
      </c>
      <c r="B5554" t="s">
        <v>327</v>
      </c>
      <c r="C5554" t="s">
        <v>399</v>
      </c>
      <c r="D5554" t="str">
        <f>HYPERLINK("http://service.sap.com/sap/support/notes/1755459","1755459")</f>
        <v>1755459</v>
      </c>
      <c r="E5554">
        <v>1</v>
      </c>
      <c r="F5554" t="s">
        <v>7282</v>
      </c>
    </row>
    <row r="5555" spans="1:6" x14ac:dyDescent="0.25">
      <c r="A5555" t="s">
        <v>7340</v>
      </c>
      <c r="B5555" t="s">
        <v>327</v>
      </c>
      <c r="C5555" t="s">
        <v>399</v>
      </c>
      <c r="D5555" t="str">
        <f>HYPERLINK("http://service.sap.com/sap/support/notes/1755498","1755498")</f>
        <v>1755498</v>
      </c>
      <c r="E5555">
        <v>2</v>
      </c>
      <c r="F5555" t="s">
        <v>7283</v>
      </c>
    </row>
    <row r="5556" spans="1:6" x14ac:dyDescent="0.25">
      <c r="A5556" t="s">
        <v>7340</v>
      </c>
      <c r="B5556" t="s">
        <v>327</v>
      </c>
      <c r="C5556" t="s">
        <v>399</v>
      </c>
      <c r="D5556" t="str">
        <f>HYPERLINK("http://service.sap.com/sap/support/notes/1760644","1760644")</f>
        <v>1760644</v>
      </c>
      <c r="E5556">
        <v>1</v>
      </c>
      <c r="F5556" t="s">
        <v>7284</v>
      </c>
    </row>
    <row r="5557" spans="1:6" x14ac:dyDescent="0.25">
      <c r="A5557" t="s">
        <v>7340</v>
      </c>
      <c r="B5557" t="s">
        <v>327</v>
      </c>
      <c r="C5557" t="s">
        <v>399</v>
      </c>
      <c r="D5557" t="str">
        <f>HYPERLINK("http://service.sap.com/sap/support/notes/1761077","1761077")</f>
        <v>1761077</v>
      </c>
      <c r="E5557">
        <v>1</v>
      </c>
      <c r="F5557" t="s">
        <v>7285</v>
      </c>
    </row>
    <row r="5558" spans="1:6" x14ac:dyDescent="0.25">
      <c r="A5558" t="s">
        <v>7340</v>
      </c>
      <c r="B5558" t="s">
        <v>327</v>
      </c>
      <c r="C5558" t="s">
        <v>399</v>
      </c>
      <c r="D5558" t="str">
        <f>HYPERLINK("http://service.sap.com/sap/support/notes/1762622","1762622")</f>
        <v>1762622</v>
      </c>
      <c r="E5558">
        <v>1</v>
      </c>
      <c r="F5558" t="s">
        <v>7286</v>
      </c>
    </row>
    <row r="5559" spans="1:6" x14ac:dyDescent="0.25">
      <c r="A5559" t="s">
        <v>7340</v>
      </c>
      <c r="B5559" t="s">
        <v>168</v>
      </c>
      <c r="C5559" t="s">
        <v>169</v>
      </c>
      <c r="D5559" t="str">
        <f>HYPERLINK("http://service.sap.com/sap/support/notes/1660939","1660939")</f>
        <v>1660939</v>
      </c>
      <c r="E5559">
        <v>3</v>
      </c>
      <c r="F5559" t="s">
        <v>4464</v>
      </c>
    </row>
    <row r="5560" spans="1:6" x14ac:dyDescent="0.25">
      <c r="A5560" t="s">
        <v>7340</v>
      </c>
      <c r="B5560" t="s">
        <v>168</v>
      </c>
      <c r="C5560" t="s">
        <v>169</v>
      </c>
      <c r="D5560" t="str">
        <f>HYPERLINK("http://service.sap.com/sap/support/notes/1724349","1724349")</f>
        <v>1724349</v>
      </c>
      <c r="E5560">
        <v>2</v>
      </c>
      <c r="F5560" t="s">
        <v>7287</v>
      </c>
    </row>
    <row r="5561" spans="1:6" x14ac:dyDescent="0.25">
      <c r="A5561" t="s">
        <v>7340</v>
      </c>
      <c r="B5561" t="s">
        <v>168</v>
      </c>
      <c r="C5561" t="s">
        <v>169</v>
      </c>
      <c r="D5561" t="str">
        <f>HYPERLINK("http://service.sap.com/sap/support/notes/1737337","1737337")</f>
        <v>1737337</v>
      </c>
      <c r="E5561">
        <v>1</v>
      </c>
      <c r="F5561" t="s">
        <v>7288</v>
      </c>
    </row>
    <row r="5562" spans="1:6" x14ac:dyDescent="0.25">
      <c r="A5562" t="s">
        <v>7340</v>
      </c>
      <c r="B5562" t="s">
        <v>168</v>
      </c>
      <c r="C5562" t="s">
        <v>169</v>
      </c>
      <c r="D5562" t="str">
        <f>HYPERLINK("http://service.sap.com/sap/support/notes/1738910","1738910")</f>
        <v>1738910</v>
      </c>
      <c r="E5562">
        <v>1</v>
      </c>
      <c r="F5562" t="s">
        <v>7289</v>
      </c>
    </row>
    <row r="5563" spans="1:6" x14ac:dyDescent="0.25">
      <c r="A5563" t="s">
        <v>7340</v>
      </c>
      <c r="B5563" t="s">
        <v>168</v>
      </c>
      <c r="C5563" t="s">
        <v>169</v>
      </c>
      <c r="D5563" t="str">
        <f>HYPERLINK("http://service.sap.com/sap/support/notes/1746339","1746339")</f>
        <v>1746339</v>
      </c>
      <c r="E5563">
        <v>1</v>
      </c>
      <c r="F5563" t="s">
        <v>7290</v>
      </c>
    </row>
    <row r="5564" spans="1:6" x14ac:dyDescent="0.25">
      <c r="A5564" t="s">
        <v>7340</v>
      </c>
      <c r="B5564" t="s">
        <v>168</v>
      </c>
      <c r="C5564" t="s">
        <v>169</v>
      </c>
      <c r="D5564" t="str">
        <f>HYPERLINK("http://service.sap.com/sap/support/notes/1756046","1756046")</f>
        <v>1756046</v>
      </c>
      <c r="E5564">
        <v>1</v>
      </c>
      <c r="F5564" t="s">
        <v>7291</v>
      </c>
    </row>
    <row r="5565" spans="1:6" x14ac:dyDescent="0.25">
      <c r="A5565" t="s">
        <v>7340</v>
      </c>
      <c r="B5565" t="s">
        <v>171</v>
      </c>
      <c r="C5565" t="s">
        <v>172</v>
      </c>
      <c r="D5565" t="str">
        <f>HYPERLINK("http://service.sap.com/sap/support/notes/1714979","1714979")</f>
        <v>1714979</v>
      </c>
      <c r="E5565">
        <v>2</v>
      </c>
      <c r="F5565" t="s">
        <v>7292</v>
      </c>
    </row>
    <row r="5566" spans="1:6" x14ac:dyDescent="0.25">
      <c r="A5566" t="s">
        <v>7340</v>
      </c>
      <c r="B5566" t="s">
        <v>171</v>
      </c>
      <c r="C5566" t="s">
        <v>172</v>
      </c>
      <c r="D5566" t="str">
        <f>HYPERLINK("http://service.sap.com/sap/support/notes/1737336","1737336")</f>
        <v>1737336</v>
      </c>
      <c r="E5566">
        <v>2</v>
      </c>
      <c r="F5566" t="s">
        <v>7293</v>
      </c>
    </row>
    <row r="5567" spans="1:6" x14ac:dyDescent="0.25">
      <c r="A5567" t="s">
        <v>7340</v>
      </c>
      <c r="B5567" t="s">
        <v>171</v>
      </c>
      <c r="C5567" t="s">
        <v>172</v>
      </c>
      <c r="D5567" t="str">
        <f>HYPERLINK("http://service.sap.com/sap/support/notes/1754908","1754908")</f>
        <v>1754908</v>
      </c>
      <c r="E5567">
        <v>1</v>
      </c>
      <c r="F5567" t="s">
        <v>7294</v>
      </c>
    </row>
    <row r="5568" spans="1:6" x14ac:dyDescent="0.25">
      <c r="A5568" t="s">
        <v>7340</v>
      </c>
      <c r="B5568" t="s">
        <v>171</v>
      </c>
      <c r="C5568" t="s">
        <v>172</v>
      </c>
      <c r="D5568" t="str">
        <f>HYPERLINK("http://service.sap.com/sap/support/notes/1756328","1756328")</f>
        <v>1756328</v>
      </c>
      <c r="E5568">
        <v>1</v>
      </c>
      <c r="F5568" t="s">
        <v>7295</v>
      </c>
    </row>
    <row r="5569" spans="1:6" x14ac:dyDescent="0.25">
      <c r="A5569" t="s">
        <v>7340</v>
      </c>
      <c r="B5569" t="s">
        <v>171</v>
      </c>
      <c r="C5569" t="s">
        <v>172</v>
      </c>
      <c r="D5569" t="str">
        <f>HYPERLINK("http://service.sap.com/sap/support/notes/1759633","1759633")</f>
        <v>1759633</v>
      </c>
      <c r="E5569">
        <v>1</v>
      </c>
      <c r="F5569" t="s">
        <v>7296</v>
      </c>
    </row>
    <row r="5570" spans="1:6" x14ac:dyDescent="0.25">
      <c r="A5570" t="s">
        <v>7340</v>
      </c>
      <c r="B5570" t="s">
        <v>171</v>
      </c>
      <c r="C5570" t="s">
        <v>172</v>
      </c>
      <c r="D5570" t="str">
        <f>HYPERLINK("http://service.sap.com/sap/support/notes/1760704","1760704")</f>
        <v>1760704</v>
      </c>
      <c r="E5570">
        <v>1</v>
      </c>
      <c r="F5570" t="s">
        <v>7297</v>
      </c>
    </row>
    <row r="5571" spans="1:6" x14ac:dyDescent="0.25">
      <c r="A5571" t="s">
        <v>7340</v>
      </c>
      <c r="B5571" t="s">
        <v>171</v>
      </c>
      <c r="C5571" t="s">
        <v>172</v>
      </c>
      <c r="D5571" t="str">
        <f>HYPERLINK("http://service.sap.com/sap/support/notes/1762479","1762479")</f>
        <v>1762479</v>
      </c>
      <c r="E5571">
        <v>1</v>
      </c>
      <c r="F5571" t="s">
        <v>7298</v>
      </c>
    </row>
    <row r="5572" spans="1:6" x14ac:dyDescent="0.25">
      <c r="A5572" t="s">
        <v>7340</v>
      </c>
      <c r="B5572" t="s">
        <v>171</v>
      </c>
      <c r="C5572" t="s">
        <v>172</v>
      </c>
      <c r="D5572" t="str">
        <f>HYPERLINK("http://service.sap.com/sap/support/notes/1764727","1764727")</f>
        <v>1764727</v>
      </c>
      <c r="E5572">
        <v>1</v>
      </c>
      <c r="F5572" t="s">
        <v>7299</v>
      </c>
    </row>
    <row r="5573" spans="1:6" x14ac:dyDescent="0.25">
      <c r="A5573" t="s">
        <v>7340</v>
      </c>
      <c r="B5573" t="s">
        <v>171</v>
      </c>
      <c r="C5573" t="s">
        <v>172</v>
      </c>
      <c r="D5573" t="str">
        <f>HYPERLINK("http://service.sap.com/sap/support/notes/1765211","1765211")</f>
        <v>1765211</v>
      </c>
      <c r="E5573">
        <v>1</v>
      </c>
      <c r="F5573" t="s">
        <v>7300</v>
      </c>
    </row>
    <row r="5574" spans="1:6" x14ac:dyDescent="0.25">
      <c r="A5574" t="s">
        <v>7340</v>
      </c>
      <c r="B5574" t="s">
        <v>175</v>
      </c>
      <c r="C5574" t="s">
        <v>176</v>
      </c>
      <c r="D5574" t="str">
        <f>HYPERLINK("http://service.sap.com/sap/support/notes/1751286","1751286")</f>
        <v>1751286</v>
      </c>
      <c r="E5574">
        <v>3</v>
      </c>
      <c r="F5574" t="s">
        <v>7301</v>
      </c>
    </row>
    <row r="5575" spans="1:6" x14ac:dyDescent="0.25">
      <c r="A5575" t="s">
        <v>7340</v>
      </c>
      <c r="B5575" t="s">
        <v>175</v>
      </c>
      <c r="C5575" t="s">
        <v>176</v>
      </c>
      <c r="D5575" t="str">
        <f>HYPERLINK("http://service.sap.com/sap/support/notes/1754714","1754714")</f>
        <v>1754714</v>
      </c>
      <c r="E5575">
        <v>4</v>
      </c>
      <c r="F5575" t="s">
        <v>7302</v>
      </c>
    </row>
    <row r="5576" spans="1:6" x14ac:dyDescent="0.25">
      <c r="A5576" t="s">
        <v>7340</v>
      </c>
      <c r="B5576" t="s">
        <v>175</v>
      </c>
      <c r="C5576" t="s">
        <v>176</v>
      </c>
      <c r="D5576" t="str">
        <f>HYPERLINK("http://service.sap.com/sap/support/notes/1756183","1756183")</f>
        <v>1756183</v>
      </c>
      <c r="E5576">
        <v>3</v>
      </c>
      <c r="F5576" t="s">
        <v>7303</v>
      </c>
    </row>
    <row r="5577" spans="1:6" x14ac:dyDescent="0.25">
      <c r="A5577" t="s">
        <v>7340</v>
      </c>
      <c r="B5577" t="s">
        <v>175</v>
      </c>
      <c r="C5577" t="s">
        <v>176</v>
      </c>
      <c r="D5577" t="str">
        <f>HYPERLINK("http://service.sap.com/sap/support/notes/1756323","1756323")</f>
        <v>1756323</v>
      </c>
      <c r="E5577">
        <v>5</v>
      </c>
      <c r="F5577" t="s">
        <v>7304</v>
      </c>
    </row>
    <row r="5578" spans="1:6" x14ac:dyDescent="0.25">
      <c r="A5578" t="s">
        <v>7340</v>
      </c>
      <c r="B5578" t="s">
        <v>175</v>
      </c>
      <c r="C5578" t="s">
        <v>176</v>
      </c>
      <c r="D5578" t="str">
        <f>HYPERLINK("http://service.sap.com/sap/support/notes/1759688","1759688")</f>
        <v>1759688</v>
      </c>
      <c r="E5578">
        <v>1</v>
      </c>
      <c r="F5578" t="s">
        <v>7305</v>
      </c>
    </row>
    <row r="5579" spans="1:6" x14ac:dyDescent="0.25">
      <c r="A5579" t="s">
        <v>7340</v>
      </c>
      <c r="B5579" t="s">
        <v>177</v>
      </c>
      <c r="C5579" t="s">
        <v>178</v>
      </c>
      <c r="D5579" t="str">
        <f>HYPERLINK("http://service.sap.com/sap/support/notes/1723251","1723251")</f>
        <v>1723251</v>
      </c>
      <c r="E5579">
        <v>6</v>
      </c>
      <c r="F5579" t="s">
        <v>7306</v>
      </c>
    </row>
    <row r="5580" spans="1:6" x14ac:dyDescent="0.25">
      <c r="A5580" t="s">
        <v>7340</v>
      </c>
      <c r="B5580" t="s">
        <v>177</v>
      </c>
      <c r="C5580" t="s">
        <v>178</v>
      </c>
      <c r="D5580" t="str">
        <f>HYPERLINK("http://service.sap.com/sap/support/notes/1742523","1742523")</f>
        <v>1742523</v>
      </c>
      <c r="E5580">
        <v>7</v>
      </c>
      <c r="F5580" t="s">
        <v>7307</v>
      </c>
    </row>
    <row r="5581" spans="1:6" x14ac:dyDescent="0.25">
      <c r="A5581" t="s">
        <v>7340</v>
      </c>
      <c r="B5581" t="s">
        <v>179</v>
      </c>
      <c r="C5581" t="s">
        <v>180</v>
      </c>
      <c r="D5581" t="str">
        <f>HYPERLINK("http://service.sap.com/sap/support/notes/1748944","1748944")</f>
        <v>1748944</v>
      </c>
      <c r="E5581">
        <v>4</v>
      </c>
      <c r="F5581" t="s">
        <v>7308</v>
      </c>
    </row>
    <row r="5582" spans="1:6" x14ac:dyDescent="0.25">
      <c r="A5582" t="s">
        <v>7340</v>
      </c>
      <c r="B5582" t="s">
        <v>179</v>
      </c>
      <c r="C5582" t="s">
        <v>180</v>
      </c>
      <c r="D5582" t="str">
        <f>HYPERLINK("http://service.sap.com/sap/support/notes/1757639","1757639")</f>
        <v>1757639</v>
      </c>
      <c r="E5582">
        <v>1</v>
      </c>
      <c r="F5582" t="s">
        <v>7309</v>
      </c>
    </row>
    <row r="5583" spans="1:6" x14ac:dyDescent="0.25">
      <c r="A5583" t="s">
        <v>7340</v>
      </c>
      <c r="B5583" t="s">
        <v>179</v>
      </c>
      <c r="C5583" t="s">
        <v>180</v>
      </c>
      <c r="D5583" t="str">
        <f>HYPERLINK("http://service.sap.com/sap/support/notes/1758091","1758091")</f>
        <v>1758091</v>
      </c>
      <c r="E5583">
        <v>4</v>
      </c>
      <c r="F5583" t="s">
        <v>7310</v>
      </c>
    </row>
    <row r="5584" spans="1:6" x14ac:dyDescent="0.25">
      <c r="A5584" t="s">
        <v>7340</v>
      </c>
      <c r="B5584" t="s">
        <v>179</v>
      </c>
      <c r="C5584" t="s">
        <v>180</v>
      </c>
      <c r="D5584" t="str">
        <f>HYPERLINK("http://service.sap.com/sap/support/notes/1760417","1760417")</f>
        <v>1760417</v>
      </c>
      <c r="E5584">
        <v>2</v>
      </c>
      <c r="F5584" t="s">
        <v>7311</v>
      </c>
    </row>
    <row r="5585" spans="1:6" x14ac:dyDescent="0.25">
      <c r="A5585" t="s">
        <v>7340</v>
      </c>
      <c r="B5585" t="s">
        <v>179</v>
      </c>
      <c r="C5585" t="s">
        <v>180</v>
      </c>
      <c r="D5585" t="str">
        <f>HYPERLINK("http://service.sap.com/sap/support/notes/1762877","1762877")</f>
        <v>1762877</v>
      </c>
      <c r="E5585">
        <v>2</v>
      </c>
      <c r="F5585" t="s">
        <v>6953</v>
      </c>
    </row>
    <row r="5586" spans="1:6" x14ac:dyDescent="0.25">
      <c r="A5586" t="s">
        <v>7340</v>
      </c>
      <c r="B5586" t="s">
        <v>179</v>
      </c>
      <c r="C5586" t="s">
        <v>180</v>
      </c>
      <c r="D5586" t="str">
        <f>HYPERLINK("http://service.sap.com/sap/support/notes/1763131","1763131")</f>
        <v>1763131</v>
      </c>
      <c r="E5586">
        <v>2</v>
      </c>
      <c r="F5586" t="s">
        <v>7312</v>
      </c>
    </row>
    <row r="5587" spans="1:6" x14ac:dyDescent="0.25">
      <c r="A5587" t="s">
        <v>7340</v>
      </c>
      <c r="B5587" t="s">
        <v>179</v>
      </c>
      <c r="C5587" t="s">
        <v>180</v>
      </c>
      <c r="D5587" t="str">
        <f>HYPERLINK("http://service.sap.com/sap/support/notes/1767325","1767325")</f>
        <v>1767325</v>
      </c>
      <c r="E5587">
        <v>2</v>
      </c>
      <c r="F5587" t="s">
        <v>6955</v>
      </c>
    </row>
    <row r="5588" spans="1:6" x14ac:dyDescent="0.25">
      <c r="A5588" t="s">
        <v>7340</v>
      </c>
      <c r="B5588" t="s">
        <v>181</v>
      </c>
      <c r="C5588" t="s">
        <v>182</v>
      </c>
      <c r="D5588" t="str">
        <f>HYPERLINK("http://service.sap.com/sap/support/notes/1722825","1722825")</f>
        <v>1722825</v>
      </c>
      <c r="E5588">
        <v>2</v>
      </c>
      <c r="F5588" t="s">
        <v>7313</v>
      </c>
    </row>
    <row r="5589" spans="1:6" x14ac:dyDescent="0.25">
      <c r="A5589" t="s">
        <v>7340</v>
      </c>
      <c r="B5589" t="s">
        <v>181</v>
      </c>
      <c r="C5589" t="s">
        <v>182</v>
      </c>
      <c r="D5589" t="str">
        <f>HYPERLINK("http://service.sap.com/sap/support/notes/1724887","1724887")</f>
        <v>1724887</v>
      </c>
      <c r="E5589">
        <v>5</v>
      </c>
      <c r="F5589" t="s">
        <v>7314</v>
      </c>
    </row>
    <row r="5590" spans="1:6" x14ac:dyDescent="0.25">
      <c r="A5590" t="s">
        <v>7340</v>
      </c>
      <c r="B5590" t="s">
        <v>181</v>
      </c>
      <c r="C5590" t="s">
        <v>182</v>
      </c>
      <c r="D5590" t="str">
        <f>HYPERLINK("http://service.sap.com/sap/support/notes/1731915","1731915")</f>
        <v>1731915</v>
      </c>
      <c r="E5590">
        <v>2</v>
      </c>
      <c r="F5590" t="s">
        <v>7315</v>
      </c>
    </row>
    <row r="5591" spans="1:6" x14ac:dyDescent="0.25">
      <c r="A5591" t="s">
        <v>7340</v>
      </c>
      <c r="B5591" t="s">
        <v>181</v>
      </c>
      <c r="C5591" t="s">
        <v>182</v>
      </c>
      <c r="D5591" t="str">
        <f>HYPERLINK("http://service.sap.com/sap/support/notes/1753709","1753709")</f>
        <v>1753709</v>
      </c>
      <c r="E5591">
        <v>2</v>
      </c>
      <c r="F5591" t="s">
        <v>7316</v>
      </c>
    </row>
    <row r="5592" spans="1:6" x14ac:dyDescent="0.25">
      <c r="A5592" t="s">
        <v>7340</v>
      </c>
      <c r="B5592" t="s">
        <v>181</v>
      </c>
      <c r="C5592" t="s">
        <v>182</v>
      </c>
      <c r="D5592" t="str">
        <f>HYPERLINK("http://service.sap.com/sap/support/notes/1760531","1760531")</f>
        <v>1760531</v>
      </c>
      <c r="E5592">
        <v>1</v>
      </c>
      <c r="F5592" t="s">
        <v>7317</v>
      </c>
    </row>
    <row r="5593" spans="1:6" x14ac:dyDescent="0.25">
      <c r="A5593" t="s">
        <v>7340</v>
      </c>
      <c r="B5593" t="s">
        <v>185</v>
      </c>
      <c r="C5593" t="s">
        <v>186</v>
      </c>
      <c r="D5593" t="str">
        <f>HYPERLINK("http://service.sap.com/sap/support/notes/1654011","1654011")</f>
        <v>1654011</v>
      </c>
      <c r="E5593">
        <v>2</v>
      </c>
      <c r="F5593" t="s">
        <v>7318</v>
      </c>
    </row>
    <row r="5594" spans="1:6" x14ac:dyDescent="0.25">
      <c r="A5594" t="s">
        <v>7340</v>
      </c>
      <c r="B5594" t="s">
        <v>185</v>
      </c>
      <c r="C5594" t="s">
        <v>186</v>
      </c>
      <c r="D5594" t="str">
        <f>HYPERLINK("http://service.sap.com/sap/support/notes/1708879","1708879")</f>
        <v>1708879</v>
      </c>
      <c r="E5594">
        <v>3</v>
      </c>
      <c r="F5594" t="s">
        <v>7319</v>
      </c>
    </row>
    <row r="5595" spans="1:6" x14ac:dyDescent="0.25">
      <c r="A5595" t="s">
        <v>7340</v>
      </c>
      <c r="B5595" t="s">
        <v>185</v>
      </c>
      <c r="C5595" t="s">
        <v>186</v>
      </c>
      <c r="D5595" t="str">
        <f>HYPERLINK("http://service.sap.com/sap/support/notes/1750734","1750734")</f>
        <v>1750734</v>
      </c>
      <c r="E5595">
        <v>1</v>
      </c>
      <c r="F5595" t="s">
        <v>7320</v>
      </c>
    </row>
    <row r="5596" spans="1:6" x14ac:dyDescent="0.25">
      <c r="A5596" t="s">
        <v>7340</v>
      </c>
      <c r="B5596" t="s">
        <v>185</v>
      </c>
      <c r="C5596" t="s">
        <v>186</v>
      </c>
      <c r="D5596" t="str">
        <f>HYPERLINK("http://service.sap.com/sap/support/notes/1752068","1752068")</f>
        <v>1752068</v>
      </c>
      <c r="E5596">
        <v>1</v>
      </c>
      <c r="F5596" t="s">
        <v>7321</v>
      </c>
    </row>
    <row r="5597" spans="1:6" x14ac:dyDescent="0.25">
      <c r="A5597" t="s">
        <v>7340</v>
      </c>
      <c r="B5597" t="s">
        <v>185</v>
      </c>
      <c r="C5597" t="s">
        <v>186</v>
      </c>
      <c r="D5597" t="str">
        <f>HYPERLINK("http://service.sap.com/sap/support/notes/1755827","1755827")</f>
        <v>1755827</v>
      </c>
      <c r="E5597">
        <v>1</v>
      </c>
      <c r="F5597" t="s">
        <v>7322</v>
      </c>
    </row>
    <row r="5598" spans="1:6" x14ac:dyDescent="0.25">
      <c r="A5598" t="s">
        <v>7340</v>
      </c>
      <c r="B5598" t="s">
        <v>187</v>
      </c>
      <c r="C5598" t="s">
        <v>82</v>
      </c>
      <c r="D5598" t="str">
        <f>HYPERLINK("http://service.sap.com/sap/support/notes/1756135","1756135")</f>
        <v>1756135</v>
      </c>
      <c r="E5598">
        <v>3</v>
      </c>
      <c r="F5598" t="s">
        <v>7323</v>
      </c>
    </row>
    <row r="5599" spans="1:6" x14ac:dyDescent="0.25">
      <c r="A5599" t="s">
        <v>7340</v>
      </c>
      <c r="B5599" t="s">
        <v>189</v>
      </c>
      <c r="C5599" t="s">
        <v>190</v>
      </c>
      <c r="D5599" t="str">
        <f>HYPERLINK("http://service.sap.com/sap/support/notes/1659832","1659832")</f>
        <v>1659832</v>
      </c>
      <c r="E5599">
        <v>5</v>
      </c>
      <c r="F5599" t="s">
        <v>7324</v>
      </c>
    </row>
    <row r="5600" spans="1:6" x14ac:dyDescent="0.25">
      <c r="A5600" t="s">
        <v>7340</v>
      </c>
      <c r="B5600" t="s">
        <v>189</v>
      </c>
      <c r="C5600" t="s">
        <v>190</v>
      </c>
      <c r="D5600" t="str">
        <f>HYPERLINK("http://service.sap.com/sap/support/notes/1697175","1697175")</f>
        <v>1697175</v>
      </c>
      <c r="E5600">
        <v>3</v>
      </c>
      <c r="F5600" t="s">
        <v>7325</v>
      </c>
    </row>
    <row r="5601" spans="1:6" x14ac:dyDescent="0.25">
      <c r="A5601" t="s">
        <v>7340</v>
      </c>
      <c r="B5601" t="s">
        <v>189</v>
      </c>
      <c r="C5601" t="s">
        <v>190</v>
      </c>
      <c r="D5601" t="str">
        <f>HYPERLINK("http://service.sap.com/sap/support/notes/1753047","1753047")</f>
        <v>1753047</v>
      </c>
      <c r="E5601">
        <v>6</v>
      </c>
      <c r="F5601" t="s">
        <v>7326</v>
      </c>
    </row>
    <row r="5602" spans="1:6" x14ac:dyDescent="0.25">
      <c r="A5602" t="s">
        <v>7340</v>
      </c>
      <c r="B5602" t="s">
        <v>191</v>
      </c>
      <c r="C5602" t="s">
        <v>62</v>
      </c>
    </row>
    <row r="5603" spans="1:6" x14ac:dyDescent="0.25">
      <c r="A5603" t="s">
        <v>7340</v>
      </c>
      <c r="B5603" t="s">
        <v>196</v>
      </c>
      <c r="C5603" t="s">
        <v>197</v>
      </c>
      <c r="D5603" t="str">
        <f>HYPERLINK("http://service.sap.com/sap/support/notes/1696557","1696557")</f>
        <v>1696557</v>
      </c>
      <c r="E5603">
        <v>2</v>
      </c>
      <c r="F5603" t="s">
        <v>7327</v>
      </c>
    </row>
    <row r="5604" spans="1:6" x14ac:dyDescent="0.25">
      <c r="A5604" t="s">
        <v>7340</v>
      </c>
      <c r="B5604" t="s">
        <v>196</v>
      </c>
      <c r="C5604" t="s">
        <v>197</v>
      </c>
      <c r="D5604" t="str">
        <f>HYPERLINK("http://service.sap.com/sap/support/notes/1739847","1739847")</f>
        <v>1739847</v>
      </c>
      <c r="E5604">
        <v>2</v>
      </c>
      <c r="F5604" t="s">
        <v>6956</v>
      </c>
    </row>
    <row r="5605" spans="1:6" x14ac:dyDescent="0.25">
      <c r="A5605" t="s">
        <v>7340</v>
      </c>
      <c r="B5605" t="s">
        <v>196</v>
      </c>
      <c r="C5605" t="s">
        <v>197</v>
      </c>
      <c r="D5605" s="1" t="str">
        <f>HYPERLINK("http://service.sap.com/sap/support/notes/1744281","1744281")</f>
        <v>1744281</v>
      </c>
      <c r="E5605">
        <v>1</v>
      </c>
      <c r="F5605" t="s">
        <v>7328</v>
      </c>
    </row>
    <row r="5606" spans="1:6" x14ac:dyDescent="0.25">
      <c r="A5606" t="s">
        <v>7340</v>
      </c>
      <c r="B5606" t="s">
        <v>196</v>
      </c>
      <c r="C5606" t="s">
        <v>197</v>
      </c>
      <c r="D5606" t="str">
        <f>HYPERLINK("http://service.sap.com/sap/support/notes/1748448","1748448")</f>
        <v>1748448</v>
      </c>
      <c r="E5606">
        <v>1</v>
      </c>
      <c r="F5606" t="s">
        <v>7329</v>
      </c>
    </row>
    <row r="5607" spans="1:6" x14ac:dyDescent="0.25">
      <c r="A5607" t="s">
        <v>7340</v>
      </c>
      <c r="B5607" t="s">
        <v>196</v>
      </c>
      <c r="C5607" t="s">
        <v>197</v>
      </c>
      <c r="D5607" t="str">
        <f>HYPERLINK("http://service.sap.com/sap/support/notes/1750792","1750792")</f>
        <v>1750792</v>
      </c>
      <c r="E5607">
        <v>3</v>
      </c>
      <c r="F5607" t="s">
        <v>7330</v>
      </c>
    </row>
    <row r="5608" spans="1:6" x14ac:dyDescent="0.25">
      <c r="A5608" t="s">
        <v>7340</v>
      </c>
      <c r="B5608" t="s">
        <v>200</v>
      </c>
      <c r="C5608" t="s">
        <v>201</v>
      </c>
      <c r="D5608" t="str">
        <f>HYPERLINK("http://service.sap.com/sap/support/notes/1754681","1754681")</f>
        <v>1754681</v>
      </c>
      <c r="E5608">
        <v>5</v>
      </c>
      <c r="F5608" t="s">
        <v>7331</v>
      </c>
    </row>
    <row r="5609" spans="1:6" x14ac:dyDescent="0.25">
      <c r="A5609" t="s">
        <v>7340</v>
      </c>
      <c r="B5609" t="s">
        <v>200</v>
      </c>
      <c r="C5609" t="s">
        <v>201</v>
      </c>
      <c r="D5609" t="str">
        <f>HYPERLINK("http://service.sap.com/sap/support/notes/1755722","1755722")</f>
        <v>1755722</v>
      </c>
      <c r="E5609">
        <v>5</v>
      </c>
      <c r="F5609" t="s">
        <v>7332</v>
      </c>
    </row>
    <row r="5610" spans="1:6" x14ac:dyDescent="0.25">
      <c r="A5610" t="s">
        <v>7340</v>
      </c>
      <c r="B5610" t="s">
        <v>205</v>
      </c>
      <c r="C5610" t="s">
        <v>206</v>
      </c>
      <c r="D5610" t="str">
        <f>HYPERLINK("http://service.sap.com/sap/support/notes/171512","171512")</f>
        <v>171512</v>
      </c>
      <c r="E5610">
        <v>24</v>
      </c>
      <c r="F5610" t="s">
        <v>7333</v>
      </c>
    </row>
    <row r="5611" spans="1:6" x14ac:dyDescent="0.25">
      <c r="A5611" t="s">
        <v>7340</v>
      </c>
      <c r="B5611" t="s">
        <v>205</v>
      </c>
      <c r="C5611" t="s">
        <v>206</v>
      </c>
      <c r="D5611" t="str">
        <f>HYPERLINK("http://service.sap.com/sap/support/notes/1611536","1611536")</f>
        <v>1611536</v>
      </c>
      <c r="E5611">
        <v>1</v>
      </c>
      <c r="F5611" t="s">
        <v>7334</v>
      </c>
    </row>
    <row r="5612" spans="1:6" x14ac:dyDescent="0.25">
      <c r="A5612" t="s">
        <v>7340</v>
      </c>
      <c r="B5612" t="s">
        <v>205</v>
      </c>
      <c r="C5612" t="s">
        <v>206</v>
      </c>
      <c r="D5612" t="str">
        <f>HYPERLINK("http://service.sap.com/sap/support/notes/1755829","1755829")</f>
        <v>1755829</v>
      </c>
      <c r="E5612">
        <v>1</v>
      </c>
      <c r="F5612" t="s">
        <v>7335</v>
      </c>
    </row>
    <row r="5613" spans="1:6" x14ac:dyDescent="0.25">
      <c r="A5613" t="s">
        <v>7340</v>
      </c>
      <c r="B5613" t="s">
        <v>205</v>
      </c>
      <c r="C5613" t="s">
        <v>206</v>
      </c>
      <c r="D5613" t="str">
        <f>HYPERLINK("http://service.sap.com/sap/support/notes/1760032","1760032")</f>
        <v>1760032</v>
      </c>
      <c r="E5613">
        <v>8</v>
      </c>
      <c r="F5613" t="s">
        <v>7336</v>
      </c>
    </row>
    <row r="5614" spans="1:6" x14ac:dyDescent="0.25">
      <c r="A5614" t="s">
        <v>7340</v>
      </c>
      <c r="B5614" t="s">
        <v>205</v>
      </c>
      <c r="C5614" t="s">
        <v>206</v>
      </c>
      <c r="D5614" t="str">
        <f>HYPERLINK("http://service.sap.com/sap/support/notes/1762142","1762142")</f>
        <v>1762142</v>
      </c>
      <c r="E5614">
        <v>1</v>
      </c>
      <c r="F5614" t="s">
        <v>7337</v>
      </c>
    </row>
    <row r="5615" spans="1:6" x14ac:dyDescent="0.25">
      <c r="A5615" t="s">
        <v>7340</v>
      </c>
      <c r="B5615" t="s">
        <v>205</v>
      </c>
      <c r="C5615" t="s">
        <v>206</v>
      </c>
      <c r="D5615" t="str">
        <f>HYPERLINK("http://service.sap.com/sap/support/notes/1762658","1762658")</f>
        <v>1762658</v>
      </c>
      <c r="E5615">
        <v>1</v>
      </c>
      <c r="F5615" t="s">
        <v>7338</v>
      </c>
    </row>
    <row r="5616" spans="1:6" x14ac:dyDescent="0.25">
      <c r="A5616" t="s">
        <v>7340</v>
      </c>
      <c r="B5616" t="s">
        <v>207</v>
      </c>
      <c r="C5616" t="s">
        <v>208</v>
      </c>
    </row>
    <row r="5617" spans="1:6" x14ac:dyDescent="0.25">
      <c r="A5617" t="s">
        <v>7340</v>
      </c>
      <c r="B5617" t="s">
        <v>209</v>
      </c>
      <c r="C5617" t="s">
        <v>210</v>
      </c>
    </row>
    <row r="5618" spans="1:6" x14ac:dyDescent="0.25">
      <c r="A5618" t="s">
        <v>7340</v>
      </c>
      <c r="B5618" t="s">
        <v>5200</v>
      </c>
      <c r="C5618" t="s">
        <v>40</v>
      </c>
    </row>
    <row r="5619" spans="1:6" x14ac:dyDescent="0.25">
      <c r="A5619" t="s">
        <v>7340</v>
      </c>
      <c r="B5619" t="s">
        <v>5201</v>
      </c>
      <c r="C5619" t="s">
        <v>1805</v>
      </c>
      <c r="D5619" t="str">
        <f>HYPERLINK("http://service.sap.com/sap/support/notes/1756643","1756643")</f>
        <v>1756643</v>
      </c>
      <c r="E5619">
        <v>1</v>
      </c>
      <c r="F5619" t="s">
        <v>7339</v>
      </c>
    </row>
    <row r="5620" spans="1:6" x14ac:dyDescent="0.25">
      <c r="A5620" t="s">
        <v>5203</v>
      </c>
      <c r="B5620" t="s">
        <v>225</v>
      </c>
      <c r="C5620" t="s">
        <v>354</v>
      </c>
    </row>
    <row r="5621" spans="1:6" x14ac:dyDescent="0.25">
      <c r="A5621" t="s">
        <v>5203</v>
      </c>
      <c r="B5621" t="s">
        <v>226</v>
      </c>
      <c r="C5621" t="s">
        <v>355</v>
      </c>
    </row>
    <row r="5622" spans="1:6" x14ac:dyDescent="0.25">
      <c r="A5622" t="s">
        <v>5203</v>
      </c>
      <c r="B5622" t="s">
        <v>227</v>
      </c>
      <c r="C5622" t="s">
        <v>356</v>
      </c>
    </row>
    <row r="5623" spans="1:6" x14ac:dyDescent="0.25">
      <c r="A5623" t="s">
        <v>5203</v>
      </c>
      <c r="B5623" t="s">
        <v>228</v>
      </c>
      <c r="C5623" t="s">
        <v>357</v>
      </c>
      <c r="D5623" t="str">
        <f>HYPERLINK("http://service.sap.com/sap/support/notes/1608553","1608553")</f>
        <v>1608553</v>
      </c>
      <c r="E5623">
        <v>3</v>
      </c>
      <c r="F5623" t="s">
        <v>481</v>
      </c>
    </row>
    <row r="5624" spans="1:6" x14ac:dyDescent="0.25">
      <c r="A5624" t="s">
        <v>5203</v>
      </c>
      <c r="B5624" t="s">
        <v>15</v>
      </c>
      <c r="C5624" t="s">
        <v>16</v>
      </c>
    </row>
    <row r="5625" spans="1:6" x14ac:dyDescent="0.25">
      <c r="A5625" t="s">
        <v>5203</v>
      </c>
      <c r="B5625" t="s">
        <v>17</v>
      </c>
      <c r="C5625" t="s">
        <v>18</v>
      </c>
      <c r="D5625" t="str">
        <f>HYPERLINK("http://service.sap.com/sap/support/notes/1583529","1583529")</f>
        <v>1583529</v>
      </c>
      <c r="E5625">
        <v>8</v>
      </c>
      <c r="F5625" t="s">
        <v>408</v>
      </c>
    </row>
    <row r="5626" spans="1:6" x14ac:dyDescent="0.25">
      <c r="A5626" t="s">
        <v>5203</v>
      </c>
      <c r="B5626" t="s">
        <v>17</v>
      </c>
      <c r="C5626" t="s">
        <v>18</v>
      </c>
      <c r="D5626" t="str">
        <f>HYPERLINK("http://service.sap.com/sap/support/notes/1596193","1596193")</f>
        <v>1596193</v>
      </c>
      <c r="E5626">
        <v>2</v>
      </c>
      <c r="F5626" t="s">
        <v>444</v>
      </c>
    </row>
    <row r="5627" spans="1:6" x14ac:dyDescent="0.25">
      <c r="A5627" t="s">
        <v>5203</v>
      </c>
      <c r="B5627" t="s">
        <v>17</v>
      </c>
      <c r="C5627" t="s">
        <v>18</v>
      </c>
      <c r="D5627" t="str">
        <f>HYPERLINK("http://service.sap.com/sap/support/notes/1596779","1596779")</f>
        <v>1596779</v>
      </c>
      <c r="E5627">
        <v>4</v>
      </c>
      <c r="F5627" t="s">
        <v>482</v>
      </c>
    </row>
    <row r="5628" spans="1:6" x14ac:dyDescent="0.25">
      <c r="A5628" t="s">
        <v>5203</v>
      </c>
      <c r="B5628" t="s">
        <v>17</v>
      </c>
      <c r="C5628" t="s">
        <v>18</v>
      </c>
      <c r="D5628" t="str">
        <f>HYPERLINK("http://service.sap.com/sap/support/notes/1603018","1603018")</f>
        <v>1603018</v>
      </c>
      <c r="E5628">
        <v>3</v>
      </c>
      <c r="F5628" t="s">
        <v>483</v>
      </c>
    </row>
    <row r="5629" spans="1:6" x14ac:dyDescent="0.25">
      <c r="A5629" t="s">
        <v>5203</v>
      </c>
      <c r="B5629" t="s">
        <v>17</v>
      </c>
      <c r="C5629" t="s">
        <v>18</v>
      </c>
      <c r="D5629" t="str">
        <f>HYPERLINK("http://service.sap.com/sap/support/notes/1609213","1609213")</f>
        <v>1609213</v>
      </c>
      <c r="E5629">
        <v>1</v>
      </c>
      <c r="F5629" t="s">
        <v>5204</v>
      </c>
    </row>
    <row r="5630" spans="1:6" x14ac:dyDescent="0.25">
      <c r="A5630" t="s">
        <v>5203</v>
      </c>
      <c r="B5630" t="s">
        <v>17</v>
      </c>
      <c r="C5630" t="s">
        <v>18</v>
      </c>
      <c r="D5630" t="str">
        <f>HYPERLINK("http://service.sap.com/sap/support/notes/1618234","1618234")</f>
        <v>1618234</v>
      </c>
      <c r="E5630">
        <v>2</v>
      </c>
      <c r="F5630" t="s">
        <v>546</v>
      </c>
    </row>
    <row r="5631" spans="1:6" x14ac:dyDescent="0.25">
      <c r="A5631" t="s">
        <v>5203</v>
      </c>
      <c r="B5631" t="s">
        <v>17</v>
      </c>
      <c r="C5631" t="s">
        <v>18</v>
      </c>
      <c r="D5631" t="str">
        <f>HYPERLINK("http://service.sap.com/sap/support/notes/1618836","1618836")</f>
        <v>1618836</v>
      </c>
      <c r="E5631">
        <v>2</v>
      </c>
      <c r="F5631" t="s">
        <v>5205</v>
      </c>
    </row>
    <row r="5632" spans="1:6" x14ac:dyDescent="0.25">
      <c r="A5632" t="s">
        <v>5203</v>
      </c>
      <c r="B5632" t="s">
        <v>19</v>
      </c>
      <c r="C5632" t="s">
        <v>20</v>
      </c>
      <c r="D5632" t="str">
        <f>HYPERLINK("http://service.sap.com/sap/support/notes/1588361","1588361")</f>
        <v>1588361</v>
      </c>
      <c r="E5632">
        <v>1</v>
      </c>
      <c r="F5632" t="s">
        <v>484</v>
      </c>
    </row>
    <row r="5633" spans="1:6" x14ac:dyDescent="0.25">
      <c r="A5633" t="s">
        <v>5203</v>
      </c>
      <c r="B5633" t="s">
        <v>19</v>
      </c>
      <c r="C5633" t="s">
        <v>20</v>
      </c>
      <c r="D5633" t="str">
        <f>HYPERLINK("http://service.sap.com/sap/support/notes/1601944","1601944")</f>
        <v>1601944</v>
      </c>
      <c r="E5633">
        <v>4</v>
      </c>
      <c r="F5633" t="s">
        <v>485</v>
      </c>
    </row>
    <row r="5634" spans="1:6" x14ac:dyDescent="0.25">
      <c r="A5634" t="s">
        <v>5203</v>
      </c>
      <c r="B5634" t="s">
        <v>19</v>
      </c>
      <c r="C5634" t="s">
        <v>20</v>
      </c>
      <c r="D5634" t="str">
        <f>HYPERLINK("http://service.sap.com/sap/support/notes/1602314","1602314")</f>
        <v>1602314</v>
      </c>
      <c r="E5634">
        <v>4</v>
      </c>
      <c r="F5634" t="s">
        <v>486</v>
      </c>
    </row>
    <row r="5635" spans="1:6" x14ac:dyDescent="0.25">
      <c r="A5635" t="s">
        <v>5203</v>
      </c>
      <c r="B5635" t="s">
        <v>19</v>
      </c>
      <c r="C5635" t="s">
        <v>20</v>
      </c>
      <c r="D5635" t="str">
        <f>HYPERLINK("http://service.sap.com/sap/support/notes/1603510","1603510")</f>
        <v>1603510</v>
      </c>
      <c r="E5635">
        <v>1</v>
      </c>
      <c r="F5635" t="s">
        <v>487</v>
      </c>
    </row>
    <row r="5636" spans="1:6" x14ac:dyDescent="0.25">
      <c r="A5636" t="s">
        <v>5203</v>
      </c>
      <c r="B5636" t="s">
        <v>19</v>
      </c>
      <c r="C5636" t="s">
        <v>20</v>
      </c>
      <c r="D5636" t="str">
        <f>HYPERLINK("http://service.sap.com/sap/support/notes/1603644","1603644")</f>
        <v>1603644</v>
      </c>
      <c r="E5636">
        <v>4</v>
      </c>
      <c r="F5636" t="s">
        <v>488</v>
      </c>
    </row>
    <row r="5637" spans="1:6" x14ac:dyDescent="0.25">
      <c r="A5637" t="s">
        <v>5203</v>
      </c>
      <c r="B5637" t="s">
        <v>19</v>
      </c>
      <c r="C5637" t="s">
        <v>20</v>
      </c>
      <c r="D5637" t="str">
        <f>HYPERLINK("http://service.sap.com/sap/support/notes/1603649","1603649")</f>
        <v>1603649</v>
      </c>
      <c r="E5637">
        <v>3</v>
      </c>
      <c r="F5637" t="s">
        <v>489</v>
      </c>
    </row>
    <row r="5638" spans="1:6" x14ac:dyDescent="0.25">
      <c r="A5638" t="s">
        <v>5203</v>
      </c>
      <c r="B5638" t="s">
        <v>19</v>
      </c>
      <c r="C5638" t="s">
        <v>20</v>
      </c>
      <c r="D5638" t="str">
        <f>HYPERLINK("http://service.sap.com/sap/support/notes/1604466","1604466")</f>
        <v>1604466</v>
      </c>
      <c r="E5638">
        <v>4</v>
      </c>
      <c r="F5638" t="s">
        <v>548</v>
      </c>
    </row>
    <row r="5639" spans="1:6" x14ac:dyDescent="0.25">
      <c r="A5639" t="s">
        <v>5203</v>
      </c>
      <c r="B5639" t="s">
        <v>19</v>
      </c>
      <c r="C5639" t="s">
        <v>20</v>
      </c>
      <c r="D5639" t="str">
        <f>HYPERLINK("http://service.sap.com/sap/support/notes/1604921","1604921")</f>
        <v>1604921</v>
      </c>
      <c r="E5639">
        <v>1</v>
      </c>
      <c r="F5639" t="s">
        <v>490</v>
      </c>
    </row>
    <row r="5640" spans="1:6" x14ac:dyDescent="0.25">
      <c r="A5640" t="s">
        <v>5203</v>
      </c>
      <c r="B5640" t="s">
        <v>19</v>
      </c>
      <c r="C5640" t="s">
        <v>20</v>
      </c>
      <c r="D5640" t="str">
        <f>HYPERLINK("http://service.sap.com/sap/support/notes/1606074","1606074")</f>
        <v>1606074</v>
      </c>
      <c r="E5640">
        <v>3</v>
      </c>
      <c r="F5640" t="s">
        <v>491</v>
      </c>
    </row>
    <row r="5641" spans="1:6" x14ac:dyDescent="0.25">
      <c r="A5641" t="s">
        <v>5203</v>
      </c>
      <c r="B5641" t="s">
        <v>19</v>
      </c>
      <c r="C5641" t="s">
        <v>20</v>
      </c>
      <c r="D5641" t="str">
        <f>HYPERLINK("http://service.sap.com/sap/support/notes/1606708","1606708")</f>
        <v>1606708</v>
      </c>
      <c r="E5641">
        <v>1</v>
      </c>
      <c r="F5641" t="s">
        <v>492</v>
      </c>
    </row>
    <row r="5642" spans="1:6" x14ac:dyDescent="0.25">
      <c r="A5642" t="s">
        <v>5203</v>
      </c>
      <c r="B5642" t="s">
        <v>19</v>
      </c>
      <c r="C5642" t="s">
        <v>20</v>
      </c>
      <c r="D5642" t="str">
        <f>HYPERLINK("http://service.sap.com/sap/support/notes/1606761","1606761")</f>
        <v>1606761</v>
      </c>
      <c r="E5642">
        <v>1</v>
      </c>
      <c r="F5642" t="s">
        <v>493</v>
      </c>
    </row>
    <row r="5643" spans="1:6" x14ac:dyDescent="0.25">
      <c r="A5643" t="s">
        <v>5203</v>
      </c>
      <c r="B5643" t="s">
        <v>19</v>
      </c>
      <c r="C5643" t="s">
        <v>20</v>
      </c>
      <c r="D5643" t="str">
        <f>HYPERLINK("http://service.sap.com/sap/support/notes/1607924","1607924")</f>
        <v>1607924</v>
      </c>
      <c r="E5643">
        <v>3</v>
      </c>
      <c r="F5643" t="s">
        <v>494</v>
      </c>
    </row>
    <row r="5644" spans="1:6" x14ac:dyDescent="0.25">
      <c r="A5644" t="s">
        <v>5203</v>
      </c>
      <c r="B5644" t="s">
        <v>19</v>
      </c>
      <c r="C5644" t="s">
        <v>20</v>
      </c>
      <c r="D5644" t="str">
        <f>HYPERLINK("http://service.sap.com/sap/support/notes/1608331","1608331")</f>
        <v>1608331</v>
      </c>
      <c r="E5644">
        <v>1</v>
      </c>
      <c r="F5644" t="s">
        <v>495</v>
      </c>
    </row>
    <row r="5645" spans="1:6" x14ac:dyDescent="0.25">
      <c r="A5645" t="s">
        <v>5203</v>
      </c>
      <c r="B5645" t="s">
        <v>19</v>
      </c>
      <c r="C5645" t="s">
        <v>20</v>
      </c>
      <c r="D5645" t="str">
        <f>HYPERLINK("http://service.sap.com/sap/support/notes/1609838","1609838")</f>
        <v>1609838</v>
      </c>
      <c r="E5645">
        <v>2</v>
      </c>
      <c r="F5645" t="s">
        <v>496</v>
      </c>
    </row>
    <row r="5646" spans="1:6" x14ac:dyDescent="0.25">
      <c r="A5646" t="s">
        <v>5203</v>
      </c>
      <c r="B5646" t="s">
        <v>19</v>
      </c>
      <c r="C5646" t="s">
        <v>20</v>
      </c>
      <c r="D5646" t="str">
        <f>HYPERLINK("http://service.sap.com/sap/support/notes/1610807","1610807")</f>
        <v>1610807</v>
      </c>
      <c r="E5646">
        <v>1</v>
      </c>
      <c r="F5646" t="s">
        <v>497</v>
      </c>
    </row>
    <row r="5647" spans="1:6" x14ac:dyDescent="0.25">
      <c r="A5647" t="s">
        <v>5203</v>
      </c>
      <c r="B5647" t="s">
        <v>19</v>
      </c>
      <c r="C5647" t="s">
        <v>20</v>
      </c>
      <c r="D5647" t="str">
        <f>HYPERLINK("http://service.sap.com/sap/support/notes/1611473","1611473")</f>
        <v>1611473</v>
      </c>
      <c r="E5647">
        <v>1</v>
      </c>
      <c r="F5647" t="s">
        <v>498</v>
      </c>
    </row>
    <row r="5648" spans="1:6" x14ac:dyDescent="0.25">
      <c r="A5648" t="s">
        <v>5203</v>
      </c>
      <c r="B5648" t="s">
        <v>19</v>
      </c>
      <c r="C5648" t="s">
        <v>20</v>
      </c>
      <c r="D5648" t="str">
        <f>HYPERLINK("http://service.sap.com/sap/support/notes/1615331","1615331")</f>
        <v>1615331</v>
      </c>
      <c r="E5648">
        <v>4</v>
      </c>
      <c r="F5648" t="s">
        <v>549</v>
      </c>
    </row>
    <row r="5649" spans="1:6" x14ac:dyDescent="0.25">
      <c r="A5649" t="s">
        <v>5203</v>
      </c>
      <c r="B5649" t="s">
        <v>19</v>
      </c>
      <c r="C5649" t="s">
        <v>20</v>
      </c>
      <c r="D5649" t="str">
        <f>HYPERLINK("http://service.sap.com/sap/support/notes/1616146","1616146")</f>
        <v>1616146</v>
      </c>
      <c r="E5649">
        <v>2</v>
      </c>
      <c r="F5649" t="s">
        <v>550</v>
      </c>
    </row>
    <row r="5650" spans="1:6" x14ac:dyDescent="0.25">
      <c r="A5650" t="s">
        <v>5203</v>
      </c>
      <c r="B5650" t="s">
        <v>446</v>
      </c>
      <c r="C5650" t="s">
        <v>447</v>
      </c>
      <c r="D5650" t="str">
        <f>HYPERLINK("http://service.sap.com/sap/support/notes/1581544","1581544")</f>
        <v>1581544</v>
      </c>
      <c r="E5650">
        <v>1</v>
      </c>
      <c r="F5650" t="s">
        <v>5206</v>
      </c>
    </row>
    <row r="5651" spans="1:6" x14ac:dyDescent="0.25">
      <c r="A5651" t="s">
        <v>5203</v>
      </c>
      <c r="B5651" t="s">
        <v>446</v>
      </c>
      <c r="C5651" t="s">
        <v>447</v>
      </c>
      <c r="D5651" t="str">
        <f>HYPERLINK("http://service.sap.com/sap/support/notes/1583030","1583030")</f>
        <v>1583030</v>
      </c>
      <c r="E5651">
        <v>2</v>
      </c>
      <c r="F5651" t="s">
        <v>499</v>
      </c>
    </row>
    <row r="5652" spans="1:6" x14ac:dyDescent="0.25">
      <c r="A5652" t="s">
        <v>5203</v>
      </c>
      <c r="B5652" t="s">
        <v>446</v>
      </c>
      <c r="C5652" t="s">
        <v>447</v>
      </c>
      <c r="D5652" t="str">
        <f>HYPERLINK("http://service.sap.com/sap/support/notes/1599860","1599860")</f>
        <v>1599860</v>
      </c>
      <c r="E5652">
        <v>1</v>
      </c>
      <c r="F5652" t="s">
        <v>5207</v>
      </c>
    </row>
    <row r="5653" spans="1:6" x14ac:dyDescent="0.25">
      <c r="A5653" t="s">
        <v>5203</v>
      </c>
      <c r="B5653" t="s">
        <v>446</v>
      </c>
      <c r="C5653" t="s">
        <v>447</v>
      </c>
      <c r="D5653" t="str">
        <f>HYPERLINK("http://service.sap.com/sap/support/notes/1600511","1600511")</f>
        <v>1600511</v>
      </c>
      <c r="E5653">
        <v>3</v>
      </c>
      <c r="F5653" t="s">
        <v>500</v>
      </c>
    </row>
    <row r="5654" spans="1:6" x14ac:dyDescent="0.25">
      <c r="A5654" t="s">
        <v>5203</v>
      </c>
      <c r="B5654" t="s">
        <v>446</v>
      </c>
      <c r="C5654" t="s">
        <v>447</v>
      </c>
      <c r="D5654" t="str">
        <f>HYPERLINK("http://service.sap.com/sap/support/notes/1605083","1605083")</f>
        <v>1605083</v>
      </c>
      <c r="E5654">
        <v>1</v>
      </c>
      <c r="F5654" t="s">
        <v>501</v>
      </c>
    </row>
    <row r="5655" spans="1:6" x14ac:dyDescent="0.25">
      <c r="A5655" t="s">
        <v>5203</v>
      </c>
      <c r="B5655" t="s">
        <v>446</v>
      </c>
      <c r="C5655" t="s">
        <v>447</v>
      </c>
      <c r="D5655" t="str">
        <f>HYPERLINK("http://service.sap.com/sap/support/notes/1606919","1606919")</f>
        <v>1606919</v>
      </c>
      <c r="E5655">
        <v>1</v>
      </c>
      <c r="F5655" t="s">
        <v>5208</v>
      </c>
    </row>
    <row r="5656" spans="1:6" x14ac:dyDescent="0.25">
      <c r="A5656" t="s">
        <v>5203</v>
      </c>
      <c r="B5656" t="s">
        <v>446</v>
      </c>
      <c r="C5656" t="s">
        <v>447</v>
      </c>
      <c r="D5656" t="str">
        <f>HYPERLINK("http://service.sap.com/sap/support/notes/1608176","1608176")</f>
        <v>1608176</v>
      </c>
      <c r="E5656">
        <v>2</v>
      </c>
      <c r="F5656" t="s">
        <v>5209</v>
      </c>
    </row>
    <row r="5657" spans="1:6" x14ac:dyDescent="0.25">
      <c r="A5657" t="s">
        <v>5203</v>
      </c>
      <c r="B5657" t="s">
        <v>446</v>
      </c>
      <c r="C5657" t="s">
        <v>447</v>
      </c>
      <c r="D5657" t="str">
        <f>HYPERLINK("http://service.sap.com/sap/support/notes/1609446","1609446")</f>
        <v>1609446</v>
      </c>
      <c r="E5657">
        <v>2</v>
      </c>
      <c r="F5657" t="s">
        <v>502</v>
      </c>
    </row>
    <row r="5658" spans="1:6" x14ac:dyDescent="0.25">
      <c r="A5658" t="s">
        <v>5203</v>
      </c>
      <c r="B5658" t="s">
        <v>446</v>
      </c>
      <c r="C5658" t="s">
        <v>447</v>
      </c>
      <c r="D5658" t="str">
        <f>HYPERLINK("http://service.sap.com/sap/support/notes/1610336","1610336")</f>
        <v>1610336</v>
      </c>
      <c r="E5658">
        <v>1</v>
      </c>
      <c r="F5658" t="s">
        <v>5210</v>
      </c>
    </row>
    <row r="5659" spans="1:6" x14ac:dyDescent="0.25">
      <c r="A5659" t="s">
        <v>5203</v>
      </c>
      <c r="B5659" t="s">
        <v>446</v>
      </c>
      <c r="C5659" t="s">
        <v>447</v>
      </c>
      <c r="D5659" t="str">
        <f>HYPERLINK("http://service.sap.com/sap/support/notes/1612242","1612242")</f>
        <v>1612242</v>
      </c>
      <c r="E5659">
        <v>2</v>
      </c>
      <c r="F5659" t="s">
        <v>5211</v>
      </c>
    </row>
    <row r="5660" spans="1:6" x14ac:dyDescent="0.25">
      <c r="A5660" t="s">
        <v>5203</v>
      </c>
      <c r="B5660" t="s">
        <v>448</v>
      </c>
      <c r="C5660" t="s">
        <v>449</v>
      </c>
      <c r="D5660" t="str">
        <f>HYPERLINK("http://service.sap.com/sap/support/notes/1606583","1606583")</f>
        <v>1606583</v>
      </c>
      <c r="E5660">
        <v>1</v>
      </c>
      <c r="F5660" t="s">
        <v>503</v>
      </c>
    </row>
    <row r="5661" spans="1:6" x14ac:dyDescent="0.25">
      <c r="A5661" t="s">
        <v>5203</v>
      </c>
      <c r="B5661" t="s">
        <v>448</v>
      </c>
      <c r="C5661" t="s">
        <v>449</v>
      </c>
      <c r="D5661" t="str">
        <f>HYPERLINK("http://service.sap.com/sap/support/notes/1610790","1610790")</f>
        <v>1610790</v>
      </c>
      <c r="E5661">
        <v>5</v>
      </c>
      <c r="F5661" t="s">
        <v>504</v>
      </c>
    </row>
    <row r="5662" spans="1:6" x14ac:dyDescent="0.25">
      <c r="A5662" t="s">
        <v>5203</v>
      </c>
      <c r="B5662" t="s">
        <v>552</v>
      </c>
      <c r="C5662" t="s">
        <v>553</v>
      </c>
      <c r="D5662" t="str">
        <f>HYPERLINK("http://service.sap.com/sap/support/notes/1614876","1614876")</f>
        <v>1614876</v>
      </c>
      <c r="E5662">
        <v>3</v>
      </c>
      <c r="F5662" t="s">
        <v>554</v>
      </c>
    </row>
    <row r="5663" spans="1:6" x14ac:dyDescent="0.25">
      <c r="A5663" t="s">
        <v>5203</v>
      </c>
      <c r="B5663" t="s">
        <v>21</v>
      </c>
      <c r="C5663" t="s">
        <v>12</v>
      </c>
    </row>
    <row r="5664" spans="1:6" x14ac:dyDescent="0.25">
      <c r="A5664" t="s">
        <v>5203</v>
      </c>
      <c r="B5664" t="s">
        <v>455</v>
      </c>
      <c r="C5664" t="s">
        <v>456</v>
      </c>
      <c r="D5664" t="str">
        <f>HYPERLINK("http://service.sap.com/sap/support/notes/1539246","1539246")</f>
        <v>1539246</v>
      </c>
      <c r="E5664">
        <v>5</v>
      </c>
      <c r="F5664" t="s">
        <v>679</v>
      </c>
    </row>
    <row r="5665" spans="1:6" x14ac:dyDescent="0.25">
      <c r="A5665" t="s">
        <v>5203</v>
      </c>
      <c r="B5665" t="s">
        <v>455</v>
      </c>
      <c r="C5665" t="s">
        <v>456</v>
      </c>
      <c r="D5665" t="str">
        <f>HYPERLINK("http://service.sap.com/sap/support/notes/1542829","1542829")</f>
        <v>1542829</v>
      </c>
      <c r="E5665">
        <v>4</v>
      </c>
      <c r="F5665" t="s">
        <v>5212</v>
      </c>
    </row>
    <row r="5666" spans="1:6" x14ac:dyDescent="0.25">
      <c r="A5666" t="s">
        <v>5203</v>
      </c>
      <c r="B5666" t="s">
        <v>455</v>
      </c>
      <c r="C5666" t="s">
        <v>456</v>
      </c>
      <c r="D5666" t="str">
        <f>HYPERLINK("http://service.sap.com/sap/support/notes/1563192","1563192")</f>
        <v>1563192</v>
      </c>
      <c r="E5666">
        <v>4</v>
      </c>
      <c r="F5666" t="s">
        <v>507</v>
      </c>
    </row>
    <row r="5667" spans="1:6" x14ac:dyDescent="0.25">
      <c r="A5667" t="s">
        <v>5203</v>
      </c>
      <c r="B5667" t="s">
        <v>455</v>
      </c>
      <c r="C5667" t="s">
        <v>456</v>
      </c>
      <c r="D5667" t="str">
        <f>HYPERLINK("http://service.sap.com/sap/support/notes/1593950","1593950")</f>
        <v>1593950</v>
      </c>
      <c r="E5667">
        <v>2</v>
      </c>
      <c r="F5667" t="s">
        <v>457</v>
      </c>
    </row>
    <row r="5668" spans="1:6" x14ac:dyDescent="0.25">
      <c r="A5668" t="s">
        <v>5203</v>
      </c>
      <c r="B5668" t="s">
        <v>455</v>
      </c>
      <c r="C5668" t="s">
        <v>456</v>
      </c>
      <c r="D5668" t="str">
        <f>HYPERLINK("http://service.sap.com/sap/support/notes/1601019","1601019")</f>
        <v>1601019</v>
      </c>
      <c r="E5668">
        <v>3</v>
      </c>
      <c r="F5668" t="s">
        <v>555</v>
      </c>
    </row>
    <row r="5669" spans="1:6" x14ac:dyDescent="0.25">
      <c r="A5669" t="s">
        <v>5203</v>
      </c>
      <c r="B5669" t="s">
        <v>455</v>
      </c>
      <c r="C5669" t="s">
        <v>456</v>
      </c>
      <c r="D5669" t="str">
        <f>HYPERLINK("http://service.sap.com/sap/support/notes/1605558","1605558")</f>
        <v>1605558</v>
      </c>
      <c r="E5669">
        <v>4</v>
      </c>
      <c r="F5669" t="s">
        <v>5213</v>
      </c>
    </row>
    <row r="5670" spans="1:6" x14ac:dyDescent="0.25">
      <c r="A5670" t="s">
        <v>5203</v>
      </c>
      <c r="B5670" t="s">
        <v>455</v>
      </c>
      <c r="C5670" t="s">
        <v>456</v>
      </c>
      <c r="D5670" t="str">
        <f>HYPERLINK("http://service.sap.com/sap/support/notes/1608699","1608699")</f>
        <v>1608699</v>
      </c>
      <c r="E5670">
        <v>4</v>
      </c>
      <c r="F5670" t="s">
        <v>508</v>
      </c>
    </row>
    <row r="5671" spans="1:6" x14ac:dyDescent="0.25">
      <c r="A5671" t="s">
        <v>5203</v>
      </c>
      <c r="B5671" t="s">
        <v>455</v>
      </c>
      <c r="C5671" t="s">
        <v>456</v>
      </c>
      <c r="D5671" t="str">
        <f>HYPERLINK("http://service.sap.com/sap/support/notes/1616458","1616458")</f>
        <v>1616458</v>
      </c>
      <c r="E5671">
        <v>3</v>
      </c>
      <c r="F5671" t="s">
        <v>5214</v>
      </c>
    </row>
    <row r="5672" spans="1:6" x14ac:dyDescent="0.25">
      <c r="A5672" t="s">
        <v>5203</v>
      </c>
      <c r="B5672" t="s">
        <v>378</v>
      </c>
      <c r="C5672" t="s">
        <v>379</v>
      </c>
      <c r="D5672" t="str">
        <f>HYPERLINK("http://service.sap.com/sap/support/notes/1602553","1602553")</f>
        <v>1602553</v>
      </c>
      <c r="E5672">
        <v>2</v>
      </c>
      <c r="F5672" t="s">
        <v>509</v>
      </c>
    </row>
    <row r="5673" spans="1:6" x14ac:dyDescent="0.25">
      <c r="A5673" t="s">
        <v>5203</v>
      </c>
      <c r="B5673" t="s">
        <v>458</v>
      </c>
      <c r="C5673" t="s">
        <v>459</v>
      </c>
      <c r="D5673" t="str">
        <f>HYPERLINK("http://service.sap.com/sap/support/notes/1611549","1611549")</f>
        <v>1611549</v>
      </c>
      <c r="E5673">
        <v>1</v>
      </c>
      <c r="F5673" t="s">
        <v>510</v>
      </c>
    </row>
    <row r="5674" spans="1:6" x14ac:dyDescent="0.25">
      <c r="A5674" t="s">
        <v>5203</v>
      </c>
      <c r="B5674" t="s">
        <v>460</v>
      </c>
      <c r="C5674" t="s">
        <v>461</v>
      </c>
      <c r="D5674" t="str">
        <f>HYPERLINK("http://service.sap.com/sap/support/notes/1607304","1607304")</f>
        <v>1607304</v>
      </c>
      <c r="E5674">
        <v>1</v>
      </c>
      <c r="F5674" t="s">
        <v>511</v>
      </c>
    </row>
    <row r="5675" spans="1:6" x14ac:dyDescent="0.25">
      <c r="A5675" t="s">
        <v>5203</v>
      </c>
      <c r="B5675" t="s">
        <v>512</v>
      </c>
      <c r="C5675" t="s">
        <v>513</v>
      </c>
      <c r="D5675" t="str">
        <f>HYPERLINK("http://service.sap.com/sap/support/notes/1605374","1605374")</f>
        <v>1605374</v>
      </c>
      <c r="E5675">
        <v>1</v>
      </c>
      <c r="F5675" t="s">
        <v>514</v>
      </c>
    </row>
    <row r="5676" spans="1:6" x14ac:dyDescent="0.25">
      <c r="A5676" t="s">
        <v>5203</v>
      </c>
      <c r="B5676" t="s">
        <v>462</v>
      </c>
      <c r="C5676" t="s">
        <v>463</v>
      </c>
      <c r="D5676" t="str">
        <f>HYPERLINK("http://service.sap.com/sap/support/notes/1606614","1606614")</f>
        <v>1606614</v>
      </c>
      <c r="E5676">
        <v>2</v>
      </c>
      <c r="F5676" t="s">
        <v>515</v>
      </c>
    </row>
    <row r="5677" spans="1:6" x14ac:dyDescent="0.25">
      <c r="A5677" t="s">
        <v>5203</v>
      </c>
      <c r="B5677" t="s">
        <v>462</v>
      </c>
      <c r="C5677" t="s">
        <v>463</v>
      </c>
      <c r="D5677" t="str">
        <f>HYPERLINK("http://service.sap.com/sap/support/notes/1619374","1619374")</f>
        <v>1619374</v>
      </c>
      <c r="E5677">
        <v>2</v>
      </c>
      <c r="F5677" t="s">
        <v>558</v>
      </c>
    </row>
    <row r="5678" spans="1:6" x14ac:dyDescent="0.25">
      <c r="A5678" t="s">
        <v>5203</v>
      </c>
      <c r="B5678" t="s">
        <v>245</v>
      </c>
      <c r="C5678" t="s">
        <v>5215</v>
      </c>
      <c r="D5678" t="str">
        <f>HYPERLINK("http://service.sap.com/sap/support/notes/1607657","1607657")</f>
        <v>1607657</v>
      </c>
      <c r="E5678">
        <v>1</v>
      </c>
      <c r="F5678" t="s">
        <v>5216</v>
      </c>
    </row>
    <row r="5679" spans="1:6" x14ac:dyDescent="0.25">
      <c r="A5679" t="s">
        <v>5203</v>
      </c>
      <c r="B5679" t="s">
        <v>24</v>
      </c>
      <c r="C5679" t="s">
        <v>25</v>
      </c>
      <c r="D5679" t="str">
        <f>HYPERLINK("http://service.sap.com/sap/support/notes/1607752","1607752")</f>
        <v>1607752</v>
      </c>
      <c r="E5679">
        <v>3</v>
      </c>
      <c r="F5679" t="s">
        <v>560</v>
      </c>
    </row>
    <row r="5680" spans="1:6" x14ac:dyDescent="0.25">
      <c r="A5680" t="s">
        <v>5203</v>
      </c>
      <c r="B5680" t="s">
        <v>29</v>
      </c>
      <c r="C5680" t="s">
        <v>30</v>
      </c>
    </row>
    <row r="5681" spans="1:6" x14ac:dyDescent="0.25">
      <c r="A5681" t="s">
        <v>5203</v>
      </c>
      <c r="B5681" t="s">
        <v>57</v>
      </c>
      <c r="C5681" t="s">
        <v>58</v>
      </c>
      <c r="D5681" t="str">
        <f>HYPERLINK("http://service.sap.com/sap/support/notes/1605356","1605356")</f>
        <v>1605356</v>
      </c>
      <c r="E5681">
        <v>2</v>
      </c>
      <c r="F5681" t="s">
        <v>516</v>
      </c>
    </row>
    <row r="5682" spans="1:6" x14ac:dyDescent="0.25">
      <c r="A5682" t="s">
        <v>5203</v>
      </c>
      <c r="B5682" t="s">
        <v>57</v>
      </c>
      <c r="C5682" t="s">
        <v>58</v>
      </c>
      <c r="D5682" t="str">
        <f>HYPERLINK("http://service.sap.com/sap/support/notes/1606393","1606393")</f>
        <v>1606393</v>
      </c>
      <c r="E5682">
        <v>1</v>
      </c>
      <c r="F5682" t="s">
        <v>517</v>
      </c>
    </row>
    <row r="5683" spans="1:6" x14ac:dyDescent="0.25">
      <c r="A5683" t="s">
        <v>5203</v>
      </c>
      <c r="B5683" t="s">
        <v>61</v>
      </c>
      <c r="C5683" t="s">
        <v>62</v>
      </c>
      <c r="D5683" t="str">
        <f>HYPERLINK("http://service.sap.com/sap/support/notes/1555555","1555555")</f>
        <v>1555555</v>
      </c>
      <c r="E5683">
        <v>3</v>
      </c>
      <c r="F5683" t="s">
        <v>465</v>
      </c>
    </row>
    <row r="5684" spans="1:6" x14ac:dyDescent="0.25">
      <c r="A5684" t="s">
        <v>5203</v>
      </c>
      <c r="B5684" t="s">
        <v>61</v>
      </c>
      <c r="C5684" t="s">
        <v>62</v>
      </c>
      <c r="D5684" t="str">
        <f>HYPERLINK("http://service.sap.com/sap/support/notes/1583047","1583047")</f>
        <v>1583047</v>
      </c>
      <c r="E5684">
        <v>2</v>
      </c>
      <c r="F5684" t="s">
        <v>518</v>
      </c>
    </row>
    <row r="5685" spans="1:6" x14ac:dyDescent="0.25">
      <c r="A5685" t="s">
        <v>5203</v>
      </c>
      <c r="B5685" t="s">
        <v>267</v>
      </c>
      <c r="C5685" t="s">
        <v>466</v>
      </c>
    </row>
    <row r="5686" spans="1:6" x14ac:dyDescent="0.25">
      <c r="A5686" t="s">
        <v>5203</v>
      </c>
      <c r="B5686" t="s">
        <v>268</v>
      </c>
      <c r="C5686" t="s">
        <v>467</v>
      </c>
      <c r="D5686" t="str">
        <f>HYPERLINK("http://service.sap.com/sap/support/notes/1593866","1593866")</f>
        <v>1593866</v>
      </c>
      <c r="E5686">
        <v>6</v>
      </c>
      <c r="F5686" t="s">
        <v>519</v>
      </c>
    </row>
    <row r="5687" spans="1:6" x14ac:dyDescent="0.25">
      <c r="A5687" t="s">
        <v>5203</v>
      </c>
      <c r="B5687" t="s">
        <v>268</v>
      </c>
      <c r="C5687" t="s">
        <v>467</v>
      </c>
      <c r="D5687" t="str">
        <f>HYPERLINK("http://service.sap.com/sap/support/notes/1602282","1602282")</f>
        <v>1602282</v>
      </c>
      <c r="E5687">
        <v>1</v>
      </c>
      <c r="F5687" t="s">
        <v>520</v>
      </c>
    </row>
    <row r="5688" spans="1:6" x14ac:dyDescent="0.25">
      <c r="A5688" t="s">
        <v>5203</v>
      </c>
      <c r="B5688" t="s">
        <v>268</v>
      </c>
      <c r="C5688" t="s">
        <v>467</v>
      </c>
      <c r="D5688" t="str">
        <f>HYPERLINK("http://service.sap.com/sap/support/notes/1605606","1605606")</f>
        <v>1605606</v>
      </c>
      <c r="E5688">
        <v>1</v>
      </c>
      <c r="F5688" t="s">
        <v>521</v>
      </c>
    </row>
    <row r="5689" spans="1:6" x14ac:dyDescent="0.25">
      <c r="A5689" t="s">
        <v>5203</v>
      </c>
      <c r="B5689" t="s">
        <v>268</v>
      </c>
      <c r="C5689" t="s">
        <v>467</v>
      </c>
      <c r="D5689" t="str">
        <f>HYPERLINK("http://service.sap.com/sap/support/notes/1605979","1605979")</f>
        <v>1605979</v>
      </c>
      <c r="E5689">
        <v>1</v>
      </c>
      <c r="F5689" t="s">
        <v>522</v>
      </c>
    </row>
    <row r="5690" spans="1:6" x14ac:dyDescent="0.25">
      <c r="A5690" t="s">
        <v>5203</v>
      </c>
      <c r="B5690" t="s">
        <v>268</v>
      </c>
      <c r="C5690" t="s">
        <v>467</v>
      </c>
      <c r="D5690" t="str">
        <f>HYPERLINK("http://service.sap.com/sap/support/notes/1607502","1607502")</f>
        <v>1607502</v>
      </c>
      <c r="E5690">
        <v>2</v>
      </c>
      <c r="F5690" t="s">
        <v>523</v>
      </c>
    </row>
    <row r="5691" spans="1:6" x14ac:dyDescent="0.25">
      <c r="A5691" t="s">
        <v>5203</v>
      </c>
      <c r="B5691" t="s">
        <v>273</v>
      </c>
      <c r="C5691" t="s">
        <v>469</v>
      </c>
    </row>
    <row r="5692" spans="1:6" x14ac:dyDescent="0.25">
      <c r="A5692" t="s">
        <v>5203</v>
      </c>
      <c r="B5692" t="s">
        <v>274</v>
      </c>
      <c r="C5692" t="s">
        <v>470</v>
      </c>
      <c r="D5692" t="str">
        <f>HYPERLINK("http://service.sap.com/sap/support/notes/1577314","1577314")</f>
        <v>1577314</v>
      </c>
      <c r="E5692">
        <v>8</v>
      </c>
      <c r="F5692" t="s">
        <v>5217</v>
      </c>
    </row>
    <row r="5693" spans="1:6" x14ac:dyDescent="0.25">
      <c r="A5693" t="s">
        <v>5203</v>
      </c>
      <c r="B5693" t="s">
        <v>474</v>
      </c>
      <c r="C5693" t="s">
        <v>475</v>
      </c>
      <c r="D5693" t="str">
        <f>HYPERLINK("http://service.sap.com/sap/support/notes/1575158","1575158")</f>
        <v>1575158</v>
      </c>
      <c r="E5693">
        <v>1</v>
      </c>
      <c r="F5693" t="s">
        <v>524</v>
      </c>
    </row>
    <row r="5694" spans="1:6" x14ac:dyDescent="0.25">
      <c r="A5694" t="s">
        <v>5203</v>
      </c>
      <c r="B5694" t="s">
        <v>474</v>
      </c>
      <c r="C5694" t="s">
        <v>475</v>
      </c>
      <c r="D5694" t="str">
        <f>HYPERLINK("http://service.sap.com/sap/support/notes/1601265","1601265")</f>
        <v>1601265</v>
      </c>
      <c r="E5694">
        <v>2</v>
      </c>
      <c r="F5694" t="s">
        <v>525</v>
      </c>
    </row>
    <row r="5695" spans="1:6" x14ac:dyDescent="0.25">
      <c r="A5695" t="s">
        <v>5203</v>
      </c>
      <c r="B5695" t="s">
        <v>474</v>
      </c>
      <c r="C5695" t="s">
        <v>475</v>
      </c>
      <c r="D5695" t="str">
        <f>HYPERLINK("http://service.sap.com/sap/support/notes/1609481","1609481")</f>
        <v>1609481</v>
      </c>
      <c r="E5695">
        <v>1</v>
      </c>
      <c r="F5695" t="s">
        <v>526</v>
      </c>
    </row>
    <row r="5696" spans="1:6" x14ac:dyDescent="0.25">
      <c r="A5696" t="s">
        <v>5203</v>
      </c>
      <c r="B5696" t="s">
        <v>474</v>
      </c>
      <c r="C5696" t="s">
        <v>475</v>
      </c>
      <c r="D5696" t="str">
        <f>HYPERLINK("http://service.sap.com/sap/support/notes/1609890","1609890")</f>
        <v>1609890</v>
      </c>
      <c r="E5696">
        <v>1</v>
      </c>
      <c r="F5696" t="s">
        <v>765</v>
      </c>
    </row>
    <row r="5697" spans="1:6" x14ac:dyDescent="0.25">
      <c r="A5697" t="s">
        <v>5203</v>
      </c>
      <c r="B5697" t="s">
        <v>474</v>
      </c>
      <c r="C5697" t="s">
        <v>475</v>
      </c>
      <c r="D5697" t="str">
        <f>HYPERLINK("http://service.sap.com/sap/support/notes/1610817","1610817")</f>
        <v>1610817</v>
      </c>
      <c r="E5697">
        <v>1</v>
      </c>
      <c r="F5697" t="s">
        <v>5218</v>
      </c>
    </row>
    <row r="5698" spans="1:6" x14ac:dyDescent="0.25">
      <c r="A5698" t="s">
        <v>5203</v>
      </c>
      <c r="B5698" t="s">
        <v>72</v>
      </c>
      <c r="C5698" t="s">
        <v>73</v>
      </c>
    </row>
    <row r="5699" spans="1:6" x14ac:dyDescent="0.25">
      <c r="A5699" t="s">
        <v>5203</v>
      </c>
      <c r="B5699" t="s">
        <v>364</v>
      </c>
      <c r="C5699" t="s">
        <v>365</v>
      </c>
    </row>
    <row r="5700" spans="1:6" x14ac:dyDescent="0.25">
      <c r="A5700" t="s">
        <v>5203</v>
      </c>
      <c r="B5700" t="s">
        <v>366</v>
      </c>
      <c r="C5700" t="s">
        <v>367</v>
      </c>
      <c r="D5700" t="str">
        <f>HYPERLINK("http://service.sap.com/sap/support/notes/1598017","1598017")</f>
        <v>1598017</v>
      </c>
      <c r="E5700">
        <v>3</v>
      </c>
      <c r="F5700" t="s">
        <v>562</v>
      </c>
    </row>
    <row r="5701" spans="1:6" x14ac:dyDescent="0.25">
      <c r="A5701" t="s">
        <v>5203</v>
      </c>
      <c r="B5701" t="s">
        <v>366</v>
      </c>
      <c r="C5701" t="s">
        <v>367</v>
      </c>
      <c r="D5701" t="str">
        <f>HYPERLINK("http://service.sap.com/sap/support/notes/1612096","1612096")</f>
        <v>1612096</v>
      </c>
      <c r="E5701">
        <v>2</v>
      </c>
      <c r="F5701" t="s">
        <v>563</v>
      </c>
    </row>
    <row r="5702" spans="1:6" x14ac:dyDescent="0.25">
      <c r="A5702" t="s">
        <v>5203</v>
      </c>
      <c r="B5702" t="s">
        <v>281</v>
      </c>
      <c r="C5702" t="s">
        <v>368</v>
      </c>
    </row>
    <row r="5703" spans="1:6" x14ac:dyDescent="0.25">
      <c r="A5703" t="s">
        <v>5203</v>
      </c>
      <c r="B5703" t="s">
        <v>566</v>
      </c>
      <c r="C5703" t="s">
        <v>567</v>
      </c>
      <c r="D5703" t="str">
        <f>HYPERLINK("http://service.sap.com/sap/support/notes/1590134","1590134")</f>
        <v>1590134</v>
      </c>
      <c r="E5703">
        <v>3</v>
      </c>
      <c r="F5703" t="s">
        <v>568</v>
      </c>
    </row>
    <row r="5704" spans="1:6" x14ac:dyDescent="0.25">
      <c r="A5704" t="s">
        <v>5203</v>
      </c>
      <c r="B5704" t="s">
        <v>476</v>
      </c>
      <c r="C5704" t="s">
        <v>477</v>
      </c>
      <c r="D5704" t="str">
        <f>HYPERLINK("http://service.sap.com/sap/support/notes/1607308","1607308")</f>
        <v>1607308</v>
      </c>
      <c r="E5704">
        <v>2</v>
      </c>
      <c r="F5704" t="s">
        <v>569</v>
      </c>
    </row>
    <row r="5705" spans="1:6" x14ac:dyDescent="0.25">
      <c r="A5705" t="s">
        <v>5203</v>
      </c>
      <c r="B5705" t="s">
        <v>476</v>
      </c>
      <c r="C5705" t="s">
        <v>477</v>
      </c>
      <c r="D5705" t="str">
        <f>HYPERLINK("http://service.sap.com/sap/support/notes/1612100","1612100")</f>
        <v>1612100</v>
      </c>
      <c r="E5705">
        <v>2</v>
      </c>
      <c r="F5705" t="s">
        <v>570</v>
      </c>
    </row>
    <row r="5706" spans="1:6" x14ac:dyDescent="0.25">
      <c r="A5706" t="s">
        <v>5203</v>
      </c>
      <c r="B5706" t="s">
        <v>282</v>
      </c>
      <c r="C5706" t="s">
        <v>369</v>
      </c>
      <c r="D5706" t="str">
        <f>HYPERLINK("http://service.sap.com/sap/support/notes/1529020","1529020")</f>
        <v>1529020</v>
      </c>
      <c r="E5706">
        <v>2</v>
      </c>
      <c r="F5706" t="s">
        <v>527</v>
      </c>
    </row>
    <row r="5707" spans="1:6" x14ac:dyDescent="0.25">
      <c r="A5707" t="s">
        <v>5203</v>
      </c>
      <c r="B5707" t="s">
        <v>282</v>
      </c>
      <c r="C5707" t="s">
        <v>369</v>
      </c>
      <c r="D5707" t="str">
        <f>HYPERLINK("http://service.sap.com/sap/support/notes/1564139","1564139")</f>
        <v>1564139</v>
      </c>
      <c r="E5707">
        <v>2</v>
      </c>
      <c r="F5707" t="s">
        <v>528</v>
      </c>
    </row>
    <row r="5708" spans="1:6" x14ac:dyDescent="0.25">
      <c r="A5708" t="s">
        <v>5203</v>
      </c>
      <c r="B5708" t="s">
        <v>282</v>
      </c>
      <c r="C5708" t="s">
        <v>369</v>
      </c>
      <c r="D5708" t="str">
        <f>HYPERLINK("http://service.sap.com/sap/support/notes/1574606","1574606")</f>
        <v>1574606</v>
      </c>
      <c r="E5708">
        <v>3</v>
      </c>
      <c r="F5708" t="s">
        <v>571</v>
      </c>
    </row>
    <row r="5709" spans="1:6" x14ac:dyDescent="0.25">
      <c r="A5709" t="s">
        <v>5203</v>
      </c>
      <c r="B5709" t="s">
        <v>282</v>
      </c>
      <c r="C5709" t="s">
        <v>369</v>
      </c>
      <c r="D5709" t="str">
        <f>HYPERLINK("http://service.sap.com/sap/support/notes/1577148","1577148")</f>
        <v>1577148</v>
      </c>
      <c r="E5709">
        <v>3</v>
      </c>
      <c r="F5709" t="s">
        <v>529</v>
      </c>
    </row>
    <row r="5710" spans="1:6" x14ac:dyDescent="0.25">
      <c r="A5710" t="s">
        <v>5203</v>
      </c>
      <c r="B5710" t="s">
        <v>282</v>
      </c>
      <c r="C5710" t="s">
        <v>369</v>
      </c>
      <c r="D5710" t="str">
        <f>HYPERLINK("http://service.sap.com/sap/support/notes/1579968","1579968")</f>
        <v>1579968</v>
      </c>
      <c r="E5710">
        <v>9</v>
      </c>
      <c r="F5710" t="s">
        <v>572</v>
      </c>
    </row>
    <row r="5711" spans="1:6" x14ac:dyDescent="0.25">
      <c r="A5711" t="s">
        <v>5203</v>
      </c>
      <c r="B5711" t="s">
        <v>282</v>
      </c>
      <c r="C5711" t="s">
        <v>369</v>
      </c>
      <c r="D5711" t="str">
        <f>HYPERLINK("http://service.sap.com/sap/support/notes/1584121","1584121")</f>
        <v>1584121</v>
      </c>
      <c r="E5711">
        <v>4</v>
      </c>
      <c r="F5711" t="s">
        <v>573</v>
      </c>
    </row>
    <row r="5712" spans="1:6" x14ac:dyDescent="0.25">
      <c r="A5712" t="s">
        <v>5203</v>
      </c>
      <c r="B5712" t="s">
        <v>282</v>
      </c>
      <c r="C5712" t="s">
        <v>369</v>
      </c>
      <c r="D5712" t="str">
        <f>HYPERLINK("http://service.sap.com/sap/support/notes/1592153","1592153")</f>
        <v>1592153</v>
      </c>
      <c r="E5712">
        <v>5</v>
      </c>
      <c r="F5712" t="s">
        <v>574</v>
      </c>
    </row>
    <row r="5713" spans="1:6" x14ac:dyDescent="0.25">
      <c r="A5713" t="s">
        <v>5203</v>
      </c>
      <c r="B5713" t="s">
        <v>282</v>
      </c>
      <c r="C5713" t="s">
        <v>369</v>
      </c>
      <c r="D5713" t="str">
        <f>HYPERLINK("http://service.sap.com/sap/support/notes/1592233","1592233")</f>
        <v>1592233</v>
      </c>
      <c r="E5713">
        <v>5</v>
      </c>
      <c r="F5713" t="s">
        <v>575</v>
      </c>
    </row>
    <row r="5714" spans="1:6" x14ac:dyDescent="0.25">
      <c r="A5714" t="s">
        <v>5203</v>
      </c>
      <c r="B5714" t="s">
        <v>282</v>
      </c>
      <c r="C5714" t="s">
        <v>369</v>
      </c>
      <c r="D5714" t="str">
        <f>HYPERLINK("http://service.sap.com/sap/support/notes/1593375","1593375")</f>
        <v>1593375</v>
      </c>
      <c r="E5714">
        <v>2</v>
      </c>
      <c r="F5714" t="s">
        <v>530</v>
      </c>
    </row>
    <row r="5715" spans="1:6" x14ac:dyDescent="0.25">
      <c r="A5715" t="s">
        <v>5203</v>
      </c>
      <c r="B5715" t="s">
        <v>282</v>
      </c>
      <c r="C5715" t="s">
        <v>369</v>
      </c>
      <c r="D5715" t="str">
        <f>HYPERLINK("http://service.sap.com/sap/support/notes/1597012","1597012")</f>
        <v>1597012</v>
      </c>
      <c r="E5715">
        <v>4</v>
      </c>
      <c r="F5715" t="s">
        <v>576</v>
      </c>
    </row>
    <row r="5716" spans="1:6" x14ac:dyDescent="0.25">
      <c r="A5716" t="s">
        <v>5203</v>
      </c>
      <c r="B5716" t="s">
        <v>282</v>
      </c>
      <c r="C5716" t="s">
        <v>369</v>
      </c>
      <c r="D5716" t="str">
        <f>HYPERLINK("http://service.sap.com/sap/support/notes/1597143","1597143")</f>
        <v>1597143</v>
      </c>
      <c r="E5716">
        <v>1</v>
      </c>
      <c r="F5716" t="s">
        <v>531</v>
      </c>
    </row>
    <row r="5717" spans="1:6" x14ac:dyDescent="0.25">
      <c r="A5717" t="s">
        <v>5203</v>
      </c>
      <c r="B5717" t="s">
        <v>282</v>
      </c>
      <c r="C5717" t="s">
        <v>369</v>
      </c>
      <c r="D5717" t="str">
        <f>HYPERLINK("http://service.sap.com/sap/support/notes/1600344","1600344")</f>
        <v>1600344</v>
      </c>
      <c r="E5717">
        <v>3</v>
      </c>
      <c r="F5717" t="s">
        <v>577</v>
      </c>
    </row>
    <row r="5718" spans="1:6" x14ac:dyDescent="0.25">
      <c r="A5718" t="s">
        <v>5203</v>
      </c>
      <c r="B5718" t="s">
        <v>282</v>
      </c>
      <c r="C5718" t="s">
        <v>369</v>
      </c>
      <c r="D5718" t="str">
        <f>HYPERLINK("http://service.sap.com/sap/support/notes/1601168","1601168")</f>
        <v>1601168</v>
      </c>
      <c r="E5718">
        <v>3</v>
      </c>
      <c r="F5718" t="s">
        <v>578</v>
      </c>
    </row>
    <row r="5719" spans="1:6" x14ac:dyDescent="0.25">
      <c r="A5719" t="s">
        <v>5203</v>
      </c>
      <c r="B5719" t="s">
        <v>282</v>
      </c>
      <c r="C5719" t="s">
        <v>369</v>
      </c>
      <c r="D5719" t="str">
        <f>HYPERLINK("http://service.sap.com/sap/support/notes/1601764","1601764")</f>
        <v>1601764</v>
      </c>
      <c r="E5719">
        <v>2</v>
      </c>
      <c r="F5719" t="s">
        <v>532</v>
      </c>
    </row>
    <row r="5720" spans="1:6" x14ac:dyDescent="0.25">
      <c r="A5720" t="s">
        <v>5203</v>
      </c>
      <c r="B5720" t="s">
        <v>282</v>
      </c>
      <c r="C5720" t="s">
        <v>369</v>
      </c>
      <c r="D5720" t="str">
        <f>HYPERLINK("http://service.sap.com/sap/support/notes/1609306","1609306")</f>
        <v>1609306</v>
      </c>
      <c r="E5720">
        <v>2</v>
      </c>
      <c r="F5720" t="s">
        <v>579</v>
      </c>
    </row>
    <row r="5721" spans="1:6" x14ac:dyDescent="0.25">
      <c r="A5721" t="s">
        <v>5203</v>
      </c>
      <c r="B5721" t="s">
        <v>370</v>
      </c>
      <c r="C5721" t="s">
        <v>371</v>
      </c>
      <c r="D5721" t="str">
        <f>HYPERLINK("http://service.sap.com/sap/support/notes/1588571","1588571")</f>
        <v>1588571</v>
      </c>
      <c r="E5721">
        <v>3</v>
      </c>
      <c r="F5721" t="s">
        <v>586</v>
      </c>
    </row>
    <row r="5722" spans="1:6" x14ac:dyDescent="0.25">
      <c r="A5722" t="s">
        <v>5203</v>
      </c>
      <c r="B5722" t="s">
        <v>284</v>
      </c>
      <c r="C5722" t="s">
        <v>393</v>
      </c>
    </row>
    <row r="5723" spans="1:6" x14ac:dyDescent="0.25">
      <c r="A5723" t="s">
        <v>5203</v>
      </c>
      <c r="B5723" t="s">
        <v>293</v>
      </c>
      <c r="C5723" t="s">
        <v>587</v>
      </c>
    </row>
    <row r="5724" spans="1:6" x14ac:dyDescent="0.25">
      <c r="A5724" t="s">
        <v>5203</v>
      </c>
      <c r="B5724" t="s">
        <v>298</v>
      </c>
      <c r="C5724" t="s">
        <v>588</v>
      </c>
    </row>
    <row r="5725" spans="1:6" x14ac:dyDescent="0.25">
      <c r="A5725" t="s">
        <v>5203</v>
      </c>
      <c r="B5725" t="s">
        <v>589</v>
      </c>
      <c r="C5725" t="s">
        <v>443</v>
      </c>
      <c r="D5725" t="str">
        <f>HYPERLINK("http://service.sap.com/sap/support/notes/1609613","1609613")</f>
        <v>1609613</v>
      </c>
      <c r="E5725">
        <v>1</v>
      </c>
      <c r="F5725" t="s">
        <v>5219</v>
      </c>
    </row>
    <row r="5726" spans="1:6" x14ac:dyDescent="0.25">
      <c r="A5726" t="s">
        <v>5203</v>
      </c>
      <c r="B5726" t="s">
        <v>76</v>
      </c>
      <c r="C5726" t="s">
        <v>77</v>
      </c>
    </row>
    <row r="5727" spans="1:6" x14ac:dyDescent="0.25">
      <c r="A5727" t="s">
        <v>5203</v>
      </c>
      <c r="B5727" t="s">
        <v>152</v>
      </c>
      <c r="C5727" t="s">
        <v>47</v>
      </c>
    </row>
    <row r="5728" spans="1:6" x14ac:dyDescent="0.25">
      <c r="A5728" t="s">
        <v>5203</v>
      </c>
      <c r="B5728" t="s">
        <v>153</v>
      </c>
      <c r="C5728" t="s">
        <v>154</v>
      </c>
      <c r="D5728" t="str">
        <f>HYPERLINK("http://service.sap.com/sap/support/notes/1592443","1592443")</f>
        <v>1592443</v>
      </c>
      <c r="E5728">
        <v>4</v>
      </c>
      <c r="F5728" t="s">
        <v>533</v>
      </c>
    </row>
    <row r="5729" spans="1:6" x14ac:dyDescent="0.25">
      <c r="A5729" t="s">
        <v>5203</v>
      </c>
      <c r="B5729" t="s">
        <v>179</v>
      </c>
      <c r="C5729" t="s">
        <v>180</v>
      </c>
      <c r="D5729" t="str">
        <f>HYPERLINK("http://service.sap.com/sap/support/notes/1603735","1603735")</f>
        <v>1603735</v>
      </c>
      <c r="E5729">
        <v>4</v>
      </c>
      <c r="F5729" t="s">
        <v>534</v>
      </c>
    </row>
    <row r="5730" spans="1:6" x14ac:dyDescent="0.25">
      <c r="A5730" t="s">
        <v>5203</v>
      </c>
      <c r="B5730" t="s">
        <v>179</v>
      </c>
      <c r="C5730" t="s">
        <v>180</v>
      </c>
      <c r="D5730" t="str">
        <f>HYPERLINK("http://service.sap.com/sap/support/notes/1608723","1608723")</f>
        <v>1608723</v>
      </c>
      <c r="E5730">
        <v>1</v>
      </c>
      <c r="F5730" t="s">
        <v>535</v>
      </c>
    </row>
    <row r="5731" spans="1:6" x14ac:dyDescent="0.25">
      <c r="A5731" t="s">
        <v>5203</v>
      </c>
      <c r="B5731" t="s">
        <v>191</v>
      </c>
      <c r="C5731" t="s">
        <v>62</v>
      </c>
    </row>
    <row r="5732" spans="1:6" x14ac:dyDescent="0.25">
      <c r="A5732" t="s">
        <v>5203</v>
      </c>
      <c r="B5732" t="s">
        <v>195</v>
      </c>
      <c r="C5732" t="s">
        <v>132</v>
      </c>
      <c r="D5732" t="str">
        <f>HYPERLINK("http://service.sap.com/sap/support/notes/1604316","1604316")</f>
        <v>1604316</v>
      </c>
      <c r="E5732">
        <v>3</v>
      </c>
      <c r="F5732" t="s">
        <v>604</v>
      </c>
    </row>
    <row r="5733" spans="1:6" x14ac:dyDescent="0.25">
      <c r="A5733" t="s">
        <v>5203</v>
      </c>
      <c r="B5733" t="s">
        <v>195</v>
      </c>
      <c r="C5733" t="s">
        <v>132</v>
      </c>
      <c r="D5733" t="str">
        <f>HYPERLINK("http://service.sap.com/sap/support/notes/1605754","1605754")</f>
        <v>1605754</v>
      </c>
      <c r="E5733">
        <v>4</v>
      </c>
      <c r="F5733" t="s">
        <v>536</v>
      </c>
    </row>
    <row r="5734" spans="1:6" x14ac:dyDescent="0.25">
      <c r="A5734" t="s">
        <v>5203</v>
      </c>
      <c r="B5734" t="s">
        <v>203</v>
      </c>
      <c r="C5734" t="s">
        <v>204</v>
      </c>
    </row>
    <row r="5735" spans="1:6" x14ac:dyDescent="0.25">
      <c r="A5735" t="s">
        <v>5203</v>
      </c>
      <c r="B5735" t="s">
        <v>537</v>
      </c>
      <c r="C5735" t="s">
        <v>538</v>
      </c>
      <c r="D5735" t="str">
        <f>HYPERLINK("http://service.sap.com/sap/support/notes/1581310","1581310")</f>
        <v>1581310</v>
      </c>
      <c r="E5735">
        <v>1</v>
      </c>
      <c r="F5735" t="s">
        <v>539</v>
      </c>
    </row>
    <row r="5736" spans="1:6" x14ac:dyDescent="0.25">
      <c r="A5736" t="s">
        <v>5220</v>
      </c>
      <c r="B5736" t="s">
        <v>220</v>
      </c>
      <c r="C5736" t="s">
        <v>435</v>
      </c>
    </row>
    <row r="5737" spans="1:6" x14ac:dyDescent="0.25">
      <c r="A5737" t="s">
        <v>5220</v>
      </c>
      <c r="B5737" t="s">
        <v>438</v>
      </c>
      <c r="C5737" t="s">
        <v>439</v>
      </c>
    </row>
    <row r="5738" spans="1:6" x14ac:dyDescent="0.25">
      <c r="A5738" t="s">
        <v>5220</v>
      </c>
      <c r="B5738" t="s">
        <v>440</v>
      </c>
      <c r="C5738" t="s">
        <v>441</v>
      </c>
    </row>
    <row r="5739" spans="1:6" x14ac:dyDescent="0.25">
      <c r="A5739" t="s">
        <v>5220</v>
      </c>
      <c r="B5739" t="s">
        <v>442</v>
      </c>
      <c r="C5739" t="s">
        <v>443</v>
      </c>
      <c r="D5739" t="str">
        <f>HYPERLINK("http://service.sap.com/sap/support/notes/1629829","1629829")</f>
        <v>1629829</v>
      </c>
      <c r="E5739">
        <v>1</v>
      </c>
      <c r="F5739" t="s">
        <v>687</v>
      </c>
    </row>
    <row r="5740" spans="1:6" x14ac:dyDescent="0.25">
      <c r="A5740" t="s">
        <v>5220</v>
      </c>
      <c r="B5740" t="s">
        <v>225</v>
      </c>
      <c r="C5740" t="s">
        <v>354</v>
      </c>
    </row>
    <row r="5741" spans="1:6" x14ac:dyDescent="0.25">
      <c r="A5741" t="s">
        <v>5220</v>
      </c>
      <c r="B5741" t="s">
        <v>226</v>
      </c>
      <c r="C5741" t="s">
        <v>355</v>
      </c>
    </row>
    <row r="5742" spans="1:6" x14ac:dyDescent="0.25">
      <c r="A5742" t="s">
        <v>5220</v>
      </c>
      <c r="B5742" t="s">
        <v>227</v>
      </c>
      <c r="C5742" t="s">
        <v>356</v>
      </c>
    </row>
    <row r="5743" spans="1:6" x14ac:dyDescent="0.25">
      <c r="A5743" t="s">
        <v>5220</v>
      </c>
      <c r="B5743" t="s">
        <v>228</v>
      </c>
      <c r="C5743" t="s">
        <v>357</v>
      </c>
      <c r="D5743" t="str">
        <f>HYPERLINK("http://service.sap.com/sap/support/notes/1625879","1625879")</f>
        <v>1625879</v>
      </c>
      <c r="E5743">
        <v>1</v>
      </c>
      <c r="F5743" t="s">
        <v>5221</v>
      </c>
    </row>
    <row r="5744" spans="1:6" x14ac:dyDescent="0.25">
      <c r="A5744" t="s">
        <v>5220</v>
      </c>
      <c r="B5744" t="s">
        <v>15</v>
      </c>
      <c r="C5744" t="s">
        <v>16</v>
      </c>
    </row>
    <row r="5745" spans="1:6" x14ac:dyDescent="0.25">
      <c r="A5745" t="s">
        <v>5220</v>
      </c>
      <c r="B5745" t="s">
        <v>17</v>
      </c>
      <c r="C5745" t="s">
        <v>18</v>
      </c>
      <c r="D5745" t="str">
        <f>HYPERLINK("http://service.sap.com/sap/support/notes/1576279","1576279")</f>
        <v>1576279</v>
      </c>
      <c r="E5745">
        <v>4</v>
      </c>
      <c r="F5745" t="s">
        <v>688</v>
      </c>
    </row>
    <row r="5746" spans="1:6" x14ac:dyDescent="0.25">
      <c r="A5746" t="s">
        <v>5220</v>
      </c>
      <c r="B5746" t="s">
        <v>17</v>
      </c>
      <c r="C5746" t="s">
        <v>18</v>
      </c>
      <c r="D5746" t="str">
        <f>HYPERLINK("http://service.sap.com/sap/support/notes/1605508","1605508")</f>
        <v>1605508</v>
      </c>
      <c r="E5746">
        <v>2</v>
      </c>
      <c r="F5746" t="s">
        <v>689</v>
      </c>
    </row>
    <row r="5747" spans="1:6" x14ac:dyDescent="0.25">
      <c r="A5747" t="s">
        <v>5220</v>
      </c>
      <c r="B5747" t="s">
        <v>17</v>
      </c>
      <c r="C5747" t="s">
        <v>18</v>
      </c>
      <c r="D5747" t="str">
        <f>HYPERLINK("http://service.sap.com/sap/support/notes/1622380","1622380")</f>
        <v>1622380</v>
      </c>
      <c r="E5747">
        <v>1</v>
      </c>
      <c r="F5747" t="s">
        <v>547</v>
      </c>
    </row>
    <row r="5748" spans="1:6" x14ac:dyDescent="0.25">
      <c r="A5748" t="s">
        <v>5220</v>
      </c>
      <c r="B5748" t="s">
        <v>17</v>
      </c>
      <c r="C5748" t="s">
        <v>18</v>
      </c>
      <c r="D5748" t="str">
        <f>HYPERLINK("http://service.sap.com/sap/support/notes/1629165","1629165")</f>
        <v>1629165</v>
      </c>
      <c r="E5748">
        <v>4</v>
      </c>
      <c r="F5748" t="s">
        <v>690</v>
      </c>
    </row>
    <row r="5749" spans="1:6" x14ac:dyDescent="0.25">
      <c r="A5749" t="s">
        <v>5220</v>
      </c>
      <c r="B5749" t="s">
        <v>17</v>
      </c>
      <c r="C5749" t="s">
        <v>18</v>
      </c>
      <c r="D5749" t="str">
        <f>HYPERLINK("http://service.sap.com/sap/support/notes/1629948","1629948")</f>
        <v>1629948</v>
      </c>
      <c r="E5749">
        <v>2</v>
      </c>
      <c r="F5749" t="s">
        <v>691</v>
      </c>
    </row>
    <row r="5750" spans="1:6" x14ac:dyDescent="0.25">
      <c r="A5750" t="s">
        <v>5220</v>
      </c>
      <c r="B5750" t="s">
        <v>17</v>
      </c>
      <c r="C5750" t="s">
        <v>18</v>
      </c>
      <c r="D5750" t="str">
        <f>HYPERLINK("http://service.sap.com/sap/support/notes/1630914","1630914")</f>
        <v>1630914</v>
      </c>
      <c r="E5750">
        <v>1</v>
      </c>
      <c r="F5750" t="s">
        <v>692</v>
      </c>
    </row>
    <row r="5751" spans="1:6" x14ac:dyDescent="0.25">
      <c r="A5751" t="s">
        <v>5220</v>
      </c>
      <c r="B5751" t="s">
        <v>17</v>
      </c>
      <c r="C5751" t="s">
        <v>18</v>
      </c>
      <c r="D5751" t="str">
        <f>HYPERLINK("http://service.sap.com/sap/support/notes/1633189","1633189")</f>
        <v>1633189</v>
      </c>
      <c r="E5751">
        <v>2</v>
      </c>
      <c r="F5751" t="s">
        <v>693</v>
      </c>
    </row>
    <row r="5752" spans="1:6" x14ac:dyDescent="0.25">
      <c r="A5752" t="s">
        <v>5220</v>
      </c>
      <c r="B5752" t="s">
        <v>19</v>
      </c>
      <c r="C5752" t="s">
        <v>20</v>
      </c>
      <c r="D5752" t="str">
        <f>HYPERLINK("http://service.sap.com/sap/support/notes/1353741","1353741")</f>
        <v>1353741</v>
      </c>
      <c r="E5752">
        <v>4</v>
      </c>
      <c r="F5752" t="s">
        <v>694</v>
      </c>
    </row>
    <row r="5753" spans="1:6" x14ac:dyDescent="0.25">
      <c r="A5753" t="s">
        <v>5220</v>
      </c>
      <c r="B5753" t="s">
        <v>19</v>
      </c>
      <c r="C5753" t="s">
        <v>20</v>
      </c>
      <c r="D5753" t="str">
        <f>HYPERLINK("http://service.sap.com/sap/support/notes/1509307","1509307")</f>
        <v>1509307</v>
      </c>
      <c r="E5753">
        <v>2</v>
      </c>
      <c r="F5753" t="s">
        <v>695</v>
      </c>
    </row>
    <row r="5754" spans="1:6" x14ac:dyDescent="0.25">
      <c r="A5754" t="s">
        <v>5220</v>
      </c>
      <c r="B5754" t="s">
        <v>19</v>
      </c>
      <c r="C5754" t="s">
        <v>20</v>
      </c>
      <c r="D5754" t="str">
        <f>HYPERLINK("http://service.sap.com/sap/support/notes/1607288","1607288")</f>
        <v>1607288</v>
      </c>
      <c r="E5754">
        <v>1</v>
      </c>
      <c r="F5754" t="s">
        <v>696</v>
      </c>
    </row>
    <row r="5755" spans="1:6" x14ac:dyDescent="0.25">
      <c r="A5755" t="s">
        <v>5220</v>
      </c>
      <c r="B5755" t="s">
        <v>19</v>
      </c>
      <c r="C5755" t="s">
        <v>20</v>
      </c>
      <c r="D5755" t="str">
        <f>HYPERLINK("http://service.sap.com/sap/support/notes/1613198","1613198")</f>
        <v>1613198</v>
      </c>
      <c r="E5755">
        <v>9</v>
      </c>
      <c r="F5755" t="s">
        <v>697</v>
      </c>
    </row>
    <row r="5756" spans="1:6" x14ac:dyDescent="0.25">
      <c r="A5756" t="s">
        <v>5220</v>
      </c>
      <c r="B5756" t="s">
        <v>19</v>
      </c>
      <c r="C5756" t="s">
        <v>20</v>
      </c>
      <c r="D5756" t="str">
        <f>HYPERLINK("http://service.sap.com/sap/support/notes/1619558","1619558")</f>
        <v>1619558</v>
      </c>
      <c r="E5756">
        <v>4</v>
      </c>
      <c r="F5756" t="s">
        <v>698</v>
      </c>
    </row>
    <row r="5757" spans="1:6" x14ac:dyDescent="0.25">
      <c r="A5757" t="s">
        <v>5220</v>
      </c>
      <c r="B5757" t="s">
        <v>19</v>
      </c>
      <c r="C5757" t="s">
        <v>20</v>
      </c>
      <c r="D5757" t="str">
        <f>HYPERLINK("http://service.sap.com/sap/support/notes/1621779","1621779")</f>
        <v>1621779</v>
      </c>
      <c r="E5757">
        <v>3</v>
      </c>
      <c r="F5757" t="s">
        <v>699</v>
      </c>
    </row>
    <row r="5758" spans="1:6" x14ac:dyDescent="0.25">
      <c r="A5758" t="s">
        <v>5220</v>
      </c>
      <c r="B5758" t="s">
        <v>19</v>
      </c>
      <c r="C5758" t="s">
        <v>20</v>
      </c>
      <c r="D5758" t="str">
        <f>HYPERLINK("http://service.sap.com/sap/support/notes/1622592","1622592")</f>
        <v>1622592</v>
      </c>
      <c r="E5758">
        <v>2</v>
      </c>
      <c r="F5758" t="s">
        <v>700</v>
      </c>
    </row>
    <row r="5759" spans="1:6" x14ac:dyDescent="0.25">
      <c r="A5759" t="s">
        <v>5220</v>
      </c>
      <c r="B5759" t="s">
        <v>19</v>
      </c>
      <c r="C5759" t="s">
        <v>20</v>
      </c>
      <c r="D5759" t="str">
        <f>HYPERLINK("http://service.sap.com/sap/support/notes/1623194","1623194")</f>
        <v>1623194</v>
      </c>
      <c r="E5759">
        <v>2</v>
      </c>
      <c r="F5759" t="s">
        <v>701</v>
      </c>
    </row>
    <row r="5760" spans="1:6" x14ac:dyDescent="0.25">
      <c r="A5760" t="s">
        <v>5220</v>
      </c>
      <c r="B5760" t="s">
        <v>19</v>
      </c>
      <c r="C5760" t="s">
        <v>20</v>
      </c>
      <c r="D5760" t="str">
        <f>HYPERLINK("http://service.sap.com/sap/support/notes/1624367","1624367")</f>
        <v>1624367</v>
      </c>
      <c r="E5760">
        <v>2</v>
      </c>
      <c r="F5760" t="s">
        <v>702</v>
      </c>
    </row>
    <row r="5761" spans="1:6" x14ac:dyDescent="0.25">
      <c r="A5761" t="s">
        <v>5220</v>
      </c>
      <c r="B5761" t="s">
        <v>19</v>
      </c>
      <c r="C5761" t="s">
        <v>20</v>
      </c>
      <c r="D5761" t="str">
        <f>HYPERLINK("http://service.sap.com/sap/support/notes/1625746","1625746")</f>
        <v>1625746</v>
      </c>
      <c r="E5761">
        <v>1</v>
      </c>
      <c r="F5761" t="s">
        <v>703</v>
      </c>
    </row>
    <row r="5762" spans="1:6" x14ac:dyDescent="0.25">
      <c r="A5762" t="s">
        <v>5220</v>
      </c>
      <c r="B5762" t="s">
        <v>19</v>
      </c>
      <c r="C5762" t="s">
        <v>20</v>
      </c>
      <c r="D5762" t="str">
        <f>HYPERLINK("http://service.sap.com/sap/support/notes/1625813","1625813")</f>
        <v>1625813</v>
      </c>
      <c r="E5762">
        <v>2</v>
      </c>
      <c r="F5762" t="s">
        <v>704</v>
      </c>
    </row>
    <row r="5763" spans="1:6" x14ac:dyDescent="0.25">
      <c r="A5763" t="s">
        <v>5220</v>
      </c>
      <c r="B5763" t="s">
        <v>19</v>
      </c>
      <c r="C5763" t="s">
        <v>20</v>
      </c>
      <c r="D5763" t="str">
        <f>HYPERLINK("http://service.sap.com/sap/support/notes/1626062","1626062")</f>
        <v>1626062</v>
      </c>
      <c r="E5763">
        <v>1</v>
      </c>
      <c r="F5763" t="s">
        <v>705</v>
      </c>
    </row>
    <row r="5764" spans="1:6" x14ac:dyDescent="0.25">
      <c r="A5764" t="s">
        <v>5220</v>
      </c>
      <c r="B5764" t="s">
        <v>19</v>
      </c>
      <c r="C5764" t="s">
        <v>20</v>
      </c>
      <c r="D5764" t="str">
        <f>HYPERLINK("http://service.sap.com/sap/support/notes/1626272","1626272")</f>
        <v>1626272</v>
      </c>
      <c r="E5764">
        <v>1</v>
      </c>
      <c r="F5764" t="s">
        <v>706</v>
      </c>
    </row>
    <row r="5765" spans="1:6" x14ac:dyDescent="0.25">
      <c r="A5765" t="s">
        <v>5220</v>
      </c>
      <c r="B5765" t="s">
        <v>19</v>
      </c>
      <c r="C5765" t="s">
        <v>20</v>
      </c>
      <c r="D5765" t="str">
        <f>HYPERLINK("http://service.sap.com/sap/support/notes/1626367","1626367")</f>
        <v>1626367</v>
      </c>
      <c r="E5765">
        <v>5</v>
      </c>
      <c r="F5765" t="s">
        <v>707</v>
      </c>
    </row>
    <row r="5766" spans="1:6" x14ac:dyDescent="0.25">
      <c r="A5766" t="s">
        <v>5220</v>
      </c>
      <c r="B5766" t="s">
        <v>19</v>
      </c>
      <c r="C5766" t="s">
        <v>20</v>
      </c>
      <c r="D5766" t="str">
        <f>HYPERLINK("http://service.sap.com/sap/support/notes/1626760","1626760")</f>
        <v>1626760</v>
      </c>
      <c r="E5766">
        <v>2</v>
      </c>
      <c r="F5766" t="s">
        <v>708</v>
      </c>
    </row>
    <row r="5767" spans="1:6" x14ac:dyDescent="0.25">
      <c r="A5767" t="s">
        <v>5220</v>
      </c>
      <c r="B5767" t="s">
        <v>19</v>
      </c>
      <c r="C5767" t="s">
        <v>20</v>
      </c>
      <c r="D5767" t="str">
        <f>HYPERLINK("http://service.sap.com/sap/support/notes/1627033","1627033")</f>
        <v>1627033</v>
      </c>
      <c r="E5767">
        <v>1</v>
      </c>
      <c r="F5767" t="s">
        <v>709</v>
      </c>
    </row>
    <row r="5768" spans="1:6" x14ac:dyDescent="0.25">
      <c r="A5768" t="s">
        <v>5220</v>
      </c>
      <c r="B5768" t="s">
        <v>19</v>
      </c>
      <c r="C5768" t="s">
        <v>20</v>
      </c>
      <c r="D5768" t="str">
        <f>HYPERLINK("http://service.sap.com/sap/support/notes/1627056","1627056")</f>
        <v>1627056</v>
      </c>
      <c r="E5768">
        <v>1</v>
      </c>
      <c r="F5768" t="s">
        <v>710</v>
      </c>
    </row>
    <row r="5769" spans="1:6" x14ac:dyDescent="0.25">
      <c r="A5769" t="s">
        <v>5220</v>
      </c>
      <c r="B5769" t="s">
        <v>19</v>
      </c>
      <c r="C5769" t="s">
        <v>20</v>
      </c>
      <c r="D5769" t="str">
        <f>HYPERLINK("http://service.sap.com/sap/support/notes/1627060","1627060")</f>
        <v>1627060</v>
      </c>
      <c r="E5769">
        <v>4</v>
      </c>
      <c r="F5769" t="s">
        <v>711</v>
      </c>
    </row>
    <row r="5770" spans="1:6" x14ac:dyDescent="0.25">
      <c r="A5770" t="s">
        <v>5220</v>
      </c>
      <c r="B5770" t="s">
        <v>19</v>
      </c>
      <c r="C5770" t="s">
        <v>20</v>
      </c>
      <c r="D5770" t="str">
        <f>HYPERLINK("http://service.sap.com/sap/support/notes/1627154","1627154")</f>
        <v>1627154</v>
      </c>
      <c r="E5770">
        <v>2</v>
      </c>
      <c r="F5770" t="s">
        <v>5222</v>
      </c>
    </row>
    <row r="5771" spans="1:6" x14ac:dyDescent="0.25">
      <c r="A5771" t="s">
        <v>5220</v>
      </c>
      <c r="B5771" t="s">
        <v>19</v>
      </c>
      <c r="C5771" t="s">
        <v>20</v>
      </c>
      <c r="D5771" t="str">
        <f>HYPERLINK("http://service.sap.com/sap/support/notes/1627294","1627294")</f>
        <v>1627294</v>
      </c>
      <c r="E5771">
        <v>5</v>
      </c>
      <c r="F5771" t="s">
        <v>712</v>
      </c>
    </row>
    <row r="5772" spans="1:6" x14ac:dyDescent="0.25">
      <c r="A5772" t="s">
        <v>5220</v>
      </c>
      <c r="B5772" t="s">
        <v>19</v>
      </c>
      <c r="C5772" t="s">
        <v>20</v>
      </c>
      <c r="D5772" t="str">
        <f>HYPERLINK("http://service.sap.com/sap/support/notes/1628223","1628223")</f>
        <v>1628223</v>
      </c>
      <c r="E5772">
        <v>5</v>
      </c>
      <c r="F5772" t="s">
        <v>713</v>
      </c>
    </row>
    <row r="5773" spans="1:6" x14ac:dyDescent="0.25">
      <c r="A5773" t="s">
        <v>5220</v>
      </c>
      <c r="B5773" t="s">
        <v>19</v>
      </c>
      <c r="C5773" t="s">
        <v>20</v>
      </c>
      <c r="D5773" t="str">
        <f>HYPERLINK("http://service.sap.com/sap/support/notes/1629234","1629234")</f>
        <v>1629234</v>
      </c>
      <c r="E5773">
        <v>1</v>
      </c>
      <c r="F5773" t="s">
        <v>5223</v>
      </c>
    </row>
    <row r="5774" spans="1:6" x14ac:dyDescent="0.25">
      <c r="A5774" t="s">
        <v>5220</v>
      </c>
      <c r="B5774" t="s">
        <v>19</v>
      </c>
      <c r="C5774" t="s">
        <v>20</v>
      </c>
      <c r="D5774" t="str">
        <f>HYPERLINK("http://service.sap.com/sap/support/notes/1629575","1629575")</f>
        <v>1629575</v>
      </c>
      <c r="E5774">
        <v>1</v>
      </c>
      <c r="F5774" t="s">
        <v>714</v>
      </c>
    </row>
    <row r="5775" spans="1:6" x14ac:dyDescent="0.25">
      <c r="A5775" t="s">
        <v>5220</v>
      </c>
      <c r="B5775" t="s">
        <v>19</v>
      </c>
      <c r="C5775" t="s">
        <v>20</v>
      </c>
      <c r="D5775" t="str">
        <f>HYPERLINK("http://service.sap.com/sap/support/notes/1632713","1632713")</f>
        <v>1632713</v>
      </c>
      <c r="E5775">
        <v>1</v>
      </c>
      <c r="F5775" t="s">
        <v>5224</v>
      </c>
    </row>
    <row r="5776" spans="1:6" x14ac:dyDescent="0.25">
      <c r="A5776" t="s">
        <v>5220</v>
      </c>
      <c r="B5776" t="s">
        <v>19</v>
      </c>
      <c r="C5776" t="s">
        <v>20</v>
      </c>
      <c r="D5776" t="str">
        <f>HYPERLINK("http://service.sap.com/sap/support/notes/1633958","1633958")</f>
        <v>1633958</v>
      </c>
      <c r="E5776">
        <v>1</v>
      </c>
      <c r="F5776" t="s">
        <v>715</v>
      </c>
    </row>
    <row r="5777" spans="1:6" x14ac:dyDescent="0.25">
      <c r="A5777" t="s">
        <v>5220</v>
      </c>
      <c r="B5777" t="s">
        <v>19</v>
      </c>
      <c r="C5777" t="s">
        <v>20</v>
      </c>
      <c r="D5777" t="str">
        <f>HYPERLINK("http://service.sap.com/sap/support/notes/1634025","1634025")</f>
        <v>1634025</v>
      </c>
      <c r="E5777">
        <v>1</v>
      </c>
      <c r="F5777" t="s">
        <v>5225</v>
      </c>
    </row>
    <row r="5778" spans="1:6" x14ac:dyDescent="0.25">
      <c r="A5778" t="s">
        <v>5220</v>
      </c>
      <c r="B5778" t="s">
        <v>446</v>
      </c>
      <c r="C5778" t="s">
        <v>447</v>
      </c>
      <c r="D5778" t="str">
        <f>HYPERLINK("http://service.sap.com/sap/support/notes/1563081","1563081")</f>
        <v>1563081</v>
      </c>
      <c r="E5778">
        <v>2</v>
      </c>
      <c r="F5778" t="s">
        <v>716</v>
      </c>
    </row>
    <row r="5779" spans="1:6" x14ac:dyDescent="0.25">
      <c r="A5779" t="s">
        <v>5220</v>
      </c>
      <c r="B5779" t="s">
        <v>446</v>
      </c>
      <c r="C5779" t="s">
        <v>447</v>
      </c>
      <c r="D5779" t="str">
        <f>HYPERLINK("http://service.sap.com/sap/support/notes/1621314","1621314")</f>
        <v>1621314</v>
      </c>
      <c r="E5779">
        <v>2</v>
      </c>
      <c r="F5779" t="s">
        <v>717</v>
      </c>
    </row>
    <row r="5780" spans="1:6" x14ac:dyDescent="0.25">
      <c r="A5780" t="s">
        <v>5220</v>
      </c>
      <c r="B5780" t="s">
        <v>446</v>
      </c>
      <c r="C5780" t="s">
        <v>447</v>
      </c>
      <c r="D5780" t="str">
        <f>HYPERLINK("http://service.sap.com/sap/support/notes/1621362","1621362")</f>
        <v>1621362</v>
      </c>
      <c r="E5780">
        <v>1</v>
      </c>
      <c r="F5780" t="s">
        <v>718</v>
      </c>
    </row>
    <row r="5781" spans="1:6" x14ac:dyDescent="0.25">
      <c r="A5781" t="s">
        <v>5220</v>
      </c>
      <c r="B5781" t="s">
        <v>446</v>
      </c>
      <c r="C5781" t="s">
        <v>447</v>
      </c>
      <c r="D5781" t="str">
        <f>HYPERLINK("http://service.sap.com/sap/support/notes/1624729","1624729")</f>
        <v>1624729</v>
      </c>
      <c r="E5781">
        <v>2</v>
      </c>
      <c r="F5781" t="s">
        <v>5226</v>
      </c>
    </row>
    <row r="5782" spans="1:6" x14ac:dyDescent="0.25">
      <c r="A5782" t="s">
        <v>5220</v>
      </c>
      <c r="B5782" t="s">
        <v>446</v>
      </c>
      <c r="C5782" t="s">
        <v>447</v>
      </c>
      <c r="D5782" t="str">
        <f>HYPERLINK("http://service.sap.com/sap/support/notes/1626111","1626111")</f>
        <v>1626111</v>
      </c>
      <c r="E5782">
        <v>1</v>
      </c>
      <c r="F5782" t="s">
        <v>5227</v>
      </c>
    </row>
    <row r="5783" spans="1:6" x14ac:dyDescent="0.25">
      <c r="A5783" t="s">
        <v>5220</v>
      </c>
      <c r="B5783" t="s">
        <v>446</v>
      </c>
      <c r="C5783" t="s">
        <v>447</v>
      </c>
      <c r="D5783" t="str">
        <f>HYPERLINK("http://service.sap.com/sap/support/notes/1626281","1626281")</f>
        <v>1626281</v>
      </c>
      <c r="E5783">
        <v>2</v>
      </c>
      <c r="F5783" t="s">
        <v>5228</v>
      </c>
    </row>
    <row r="5784" spans="1:6" x14ac:dyDescent="0.25">
      <c r="A5784" t="s">
        <v>5220</v>
      </c>
      <c r="B5784" t="s">
        <v>446</v>
      </c>
      <c r="C5784" t="s">
        <v>447</v>
      </c>
      <c r="D5784" t="str">
        <f>HYPERLINK("http://service.sap.com/sap/support/notes/1626341","1626341")</f>
        <v>1626341</v>
      </c>
      <c r="E5784">
        <v>1</v>
      </c>
      <c r="F5784" t="s">
        <v>719</v>
      </c>
    </row>
    <row r="5785" spans="1:6" x14ac:dyDescent="0.25">
      <c r="A5785" t="s">
        <v>5220</v>
      </c>
      <c r="B5785" t="s">
        <v>446</v>
      </c>
      <c r="C5785" t="s">
        <v>447</v>
      </c>
      <c r="D5785" t="str">
        <f>HYPERLINK("http://service.sap.com/sap/support/notes/1627432","1627432")</f>
        <v>1627432</v>
      </c>
      <c r="E5785">
        <v>2</v>
      </c>
      <c r="F5785" t="s">
        <v>5229</v>
      </c>
    </row>
    <row r="5786" spans="1:6" x14ac:dyDescent="0.25">
      <c r="A5786" t="s">
        <v>5220</v>
      </c>
      <c r="B5786" t="s">
        <v>446</v>
      </c>
      <c r="C5786" t="s">
        <v>447</v>
      </c>
      <c r="D5786" t="str">
        <f>HYPERLINK("http://service.sap.com/sap/support/notes/1629876","1629876")</f>
        <v>1629876</v>
      </c>
      <c r="E5786">
        <v>1</v>
      </c>
      <c r="F5786" t="s">
        <v>720</v>
      </c>
    </row>
    <row r="5787" spans="1:6" x14ac:dyDescent="0.25">
      <c r="A5787" t="s">
        <v>5220</v>
      </c>
      <c r="B5787" t="s">
        <v>446</v>
      </c>
      <c r="C5787" t="s">
        <v>447</v>
      </c>
      <c r="D5787" t="str">
        <f>HYPERLINK("http://service.sap.com/sap/support/notes/1630015","1630015")</f>
        <v>1630015</v>
      </c>
      <c r="E5787">
        <v>1</v>
      </c>
      <c r="F5787" t="s">
        <v>721</v>
      </c>
    </row>
    <row r="5788" spans="1:6" x14ac:dyDescent="0.25">
      <c r="A5788" t="s">
        <v>5220</v>
      </c>
      <c r="B5788" t="s">
        <v>446</v>
      </c>
      <c r="C5788" t="s">
        <v>447</v>
      </c>
      <c r="D5788" t="str">
        <f>HYPERLINK("http://service.sap.com/sap/support/notes/1630441","1630441")</f>
        <v>1630441</v>
      </c>
      <c r="E5788">
        <v>1</v>
      </c>
      <c r="F5788" t="s">
        <v>722</v>
      </c>
    </row>
    <row r="5789" spans="1:6" x14ac:dyDescent="0.25">
      <c r="A5789" t="s">
        <v>5220</v>
      </c>
      <c r="B5789" t="s">
        <v>446</v>
      </c>
      <c r="C5789" t="s">
        <v>447</v>
      </c>
      <c r="D5789" t="str">
        <f>HYPERLINK("http://service.sap.com/sap/support/notes/1630565","1630565")</f>
        <v>1630565</v>
      </c>
      <c r="E5789">
        <v>1</v>
      </c>
      <c r="F5789" t="s">
        <v>723</v>
      </c>
    </row>
    <row r="5790" spans="1:6" x14ac:dyDescent="0.25">
      <c r="A5790" t="s">
        <v>5220</v>
      </c>
      <c r="B5790" t="s">
        <v>446</v>
      </c>
      <c r="C5790" t="s">
        <v>447</v>
      </c>
      <c r="D5790" t="str">
        <f>HYPERLINK("http://service.sap.com/sap/support/notes/1631019","1631019")</f>
        <v>1631019</v>
      </c>
      <c r="E5790">
        <v>1</v>
      </c>
      <c r="F5790" t="s">
        <v>724</v>
      </c>
    </row>
    <row r="5791" spans="1:6" x14ac:dyDescent="0.25">
      <c r="A5791" t="s">
        <v>5220</v>
      </c>
      <c r="B5791" t="s">
        <v>446</v>
      </c>
      <c r="C5791" t="s">
        <v>447</v>
      </c>
      <c r="D5791" t="str">
        <f>HYPERLINK("http://service.sap.com/sap/support/notes/1631026","1631026")</f>
        <v>1631026</v>
      </c>
      <c r="E5791">
        <v>1</v>
      </c>
      <c r="F5791" t="s">
        <v>725</v>
      </c>
    </row>
    <row r="5792" spans="1:6" x14ac:dyDescent="0.25">
      <c r="A5792" t="s">
        <v>5220</v>
      </c>
      <c r="B5792" t="s">
        <v>446</v>
      </c>
      <c r="C5792" t="s">
        <v>447</v>
      </c>
      <c r="D5792" t="str">
        <f>HYPERLINK("http://service.sap.com/sap/support/notes/1631598","1631598")</f>
        <v>1631598</v>
      </c>
      <c r="E5792">
        <v>1</v>
      </c>
      <c r="F5792" t="s">
        <v>726</v>
      </c>
    </row>
    <row r="5793" spans="1:6" x14ac:dyDescent="0.25">
      <c r="A5793" t="s">
        <v>5220</v>
      </c>
      <c r="B5793" t="s">
        <v>446</v>
      </c>
      <c r="C5793" t="s">
        <v>447</v>
      </c>
      <c r="D5793" t="str">
        <f>HYPERLINK("http://service.sap.com/sap/support/notes/1633014","1633014")</f>
        <v>1633014</v>
      </c>
      <c r="E5793">
        <v>3</v>
      </c>
      <c r="F5793" t="s">
        <v>5230</v>
      </c>
    </row>
    <row r="5794" spans="1:6" x14ac:dyDescent="0.25">
      <c r="A5794" t="s">
        <v>5220</v>
      </c>
      <c r="B5794" t="s">
        <v>448</v>
      </c>
      <c r="C5794" t="s">
        <v>449</v>
      </c>
      <c r="D5794" t="str">
        <f>HYPERLINK("http://service.sap.com/sap/support/notes/1609342","1609342")</f>
        <v>1609342</v>
      </c>
      <c r="E5794">
        <v>2</v>
      </c>
      <c r="F5794" t="s">
        <v>551</v>
      </c>
    </row>
    <row r="5795" spans="1:6" x14ac:dyDescent="0.25">
      <c r="A5795" t="s">
        <v>5220</v>
      </c>
      <c r="B5795" t="s">
        <v>448</v>
      </c>
      <c r="C5795" t="s">
        <v>449</v>
      </c>
      <c r="D5795" t="str">
        <f>HYPERLINK("http://service.sap.com/sap/support/notes/1621546","1621546")</f>
        <v>1621546</v>
      </c>
      <c r="E5795">
        <v>2</v>
      </c>
      <c r="F5795" t="s">
        <v>727</v>
      </c>
    </row>
    <row r="5796" spans="1:6" x14ac:dyDescent="0.25">
      <c r="A5796" t="s">
        <v>5220</v>
      </c>
      <c r="B5796" t="s">
        <v>448</v>
      </c>
      <c r="C5796" t="s">
        <v>449</v>
      </c>
      <c r="D5796" t="str">
        <f>HYPERLINK("http://service.sap.com/sap/support/notes/1623593","1623593")</f>
        <v>1623593</v>
      </c>
      <c r="E5796">
        <v>2</v>
      </c>
      <c r="F5796" t="s">
        <v>728</v>
      </c>
    </row>
    <row r="5797" spans="1:6" x14ac:dyDescent="0.25">
      <c r="A5797" t="s">
        <v>5220</v>
      </c>
      <c r="B5797" t="s">
        <v>448</v>
      </c>
      <c r="C5797" t="s">
        <v>449</v>
      </c>
      <c r="D5797" t="str">
        <f>HYPERLINK("http://service.sap.com/sap/support/notes/1624417","1624417")</f>
        <v>1624417</v>
      </c>
      <c r="E5797">
        <v>2</v>
      </c>
      <c r="F5797" t="s">
        <v>5231</v>
      </c>
    </row>
    <row r="5798" spans="1:6" x14ac:dyDescent="0.25">
      <c r="A5798" t="s">
        <v>5220</v>
      </c>
      <c r="B5798" t="s">
        <v>448</v>
      </c>
      <c r="C5798" t="s">
        <v>449</v>
      </c>
      <c r="D5798" t="str">
        <f>HYPERLINK("http://service.sap.com/sap/support/notes/1627150","1627150")</f>
        <v>1627150</v>
      </c>
      <c r="E5798">
        <v>2</v>
      </c>
      <c r="F5798" t="s">
        <v>729</v>
      </c>
    </row>
    <row r="5799" spans="1:6" x14ac:dyDescent="0.25">
      <c r="A5799" t="s">
        <v>5220</v>
      </c>
      <c r="B5799" t="s">
        <v>448</v>
      </c>
      <c r="C5799" t="s">
        <v>449</v>
      </c>
      <c r="D5799" t="str">
        <f>HYPERLINK("http://service.sap.com/sap/support/notes/1627171","1627171")</f>
        <v>1627171</v>
      </c>
      <c r="E5799">
        <v>1</v>
      </c>
      <c r="F5799" t="s">
        <v>730</v>
      </c>
    </row>
    <row r="5800" spans="1:6" x14ac:dyDescent="0.25">
      <c r="A5800" t="s">
        <v>5220</v>
      </c>
      <c r="B5800" t="s">
        <v>448</v>
      </c>
      <c r="C5800" t="s">
        <v>449</v>
      </c>
      <c r="D5800" t="str">
        <f>HYPERLINK("http://service.sap.com/sap/support/notes/1627647","1627647")</f>
        <v>1627647</v>
      </c>
      <c r="E5800">
        <v>2</v>
      </c>
      <c r="F5800" t="s">
        <v>731</v>
      </c>
    </row>
    <row r="5801" spans="1:6" x14ac:dyDescent="0.25">
      <c r="A5801" t="s">
        <v>5220</v>
      </c>
      <c r="B5801" t="s">
        <v>448</v>
      </c>
      <c r="C5801" t="s">
        <v>449</v>
      </c>
      <c r="D5801" t="str">
        <f>HYPERLINK("http://service.sap.com/sap/support/notes/1630124","1630124")</f>
        <v>1630124</v>
      </c>
      <c r="E5801">
        <v>1</v>
      </c>
      <c r="F5801" t="s">
        <v>732</v>
      </c>
    </row>
    <row r="5802" spans="1:6" x14ac:dyDescent="0.25">
      <c r="A5802" t="s">
        <v>5220</v>
      </c>
      <c r="B5802" t="s">
        <v>450</v>
      </c>
      <c r="C5802" t="s">
        <v>451</v>
      </c>
      <c r="D5802" t="str">
        <f>HYPERLINK("http://service.sap.com/sap/support/notes/1600019","1600019")</f>
        <v>1600019</v>
      </c>
      <c r="E5802">
        <v>2</v>
      </c>
      <c r="F5802" t="s">
        <v>452</v>
      </c>
    </row>
    <row r="5803" spans="1:6" x14ac:dyDescent="0.25">
      <c r="A5803" t="s">
        <v>5220</v>
      </c>
      <c r="B5803" t="s">
        <v>21</v>
      </c>
      <c r="C5803" t="s">
        <v>12</v>
      </c>
    </row>
    <row r="5804" spans="1:6" x14ac:dyDescent="0.25">
      <c r="A5804" t="s">
        <v>5220</v>
      </c>
      <c r="B5804" t="s">
        <v>455</v>
      </c>
      <c r="C5804" t="s">
        <v>456</v>
      </c>
      <c r="D5804" t="str">
        <f>HYPERLINK("http://service.sap.com/sap/support/notes/1617944","1617944")</f>
        <v>1617944</v>
      </c>
      <c r="E5804">
        <v>2</v>
      </c>
      <c r="F5804" t="s">
        <v>733</v>
      </c>
    </row>
    <row r="5805" spans="1:6" x14ac:dyDescent="0.25">
      <c r="A5805" t="s">
        <v>5220</v>
      </c>
      <c r="B5805" t="s">
        <v>455</v>
      </c>
      <c r="C5805" t="s">
        <v>456</v>
      </c>
      <c r="D5805" t="str">
        <f>HYPERLINK("http://service.sap.com/sap/support/notes/1622089","1622089")</f>
        <v>1622089</v>
      </c>
      <c r="E5805">
        <v>2</v>
      </c>
      <c r="F5805" t="s">
        <v>734</v>
      </c>
    </row>
    <row r="5806" spans="1:6" x14ac:dyDescent="0.25">
      <c r="A5806" t="s">
        <v>5220</v>
      </c>
      <c r="B5806" t="s">
        <v>455</v>
      </c>
      <c r="C5806" t="s">
        <v>456</v>
      </c>
      <c r="D5806" t="str">
        <f>HYPERLINK("http://service.sap.com/sap/support/notes/1625111","1625111")</f>
        <v>1625111</v>
      </c>
      <c r="E5806">
        <v>1</v>
      </c>
      <c r="F5806" t="s">
        <v>735</v>
      </c>
    </row>
    <row r="5807" spans="1:6" x14ac:dyDescent="0.25">
      <c r="A5807" t="s">
        <v>5220</v>
      </c>
      <c r="B5807" t="s">
        <v>455</v>
      </c>
      <c r="C5807" t="s">
        <v>456</v>
      </c>
      <c r="D5807" t="str">
        <f>HYPERLINK("http://service.sap.com/sap/support/notes/1631302","1631302")</f>
        <v>1631302</v>
      </c>
      <c r="E5807">
        <v>2</v>
      </c>
      <c r="F5807" t="s">
        <v>736</v>
      </c>
    </row>
    <row r="5808" spans="1:6" x14ac:dyDescent="0.25">
      <c r="A5808" t="s">
        <v>5220</v>
      </c>
      <c r="B5808" t="s">
        <v>378</v>
      </c>
      <c r="C5808" t="s">
        <v>379</v>
      </c>
      <c r="D5808" t="str">
        <f>HYPERLINK("http://service.sap.com/sap/support/notes/1622225","1622225")</f>
        <v>1622225</v>
      </c>
      <c r="E5808">
        <v>2</v>
      </c>
      <c r="F5808" t="s">
        <v>737</v>
      </c>
    </row>
    <row r="5809" spans="1:6" x14ac:dyDescent="0.25">
      <c r="A5809" t="s">
        <v>5220</v>
      </c>
      <c r="B5809" t="s">
        <v>378</v>
      </c>
      <c r="C5809" t="s">
        <v>379</v>
      </c>
      <c r="D5809" t="str">
        <f>HYPERLINK("http://service.sap.com/sap/support/notes/1623790","1623790")</f>
        <v>1623790</v>
      </c>
      <c r="E5809">
        <v>3</v>
      </c>
      <c r="F5809" t="s">
        <v>738</v>
      </c>
    </row>
    <row r="5810" spans="1:6" x14ac:dyDescent="0.25">
      <c r="A5810" t="s">
        <v>5220</v>
      </c>
      <c r="B5810" t="s">
        <v>378</v>
      </c>
      <c r="C5810" t="s">
        <v>379</v>
      </c>
      <c r="D5810" t="str">
        <f>HYPERLINK("http://service.sap.com/sap/support/notes/1627467","1627467")</f>
        <v>1627467</v>
      </c>
      <c r="E5810">
        <v>3</v>
      </c>
      <c r="F5810" t="s">
        <v>739</v>
      </c>
    </row>
    <row r="5811" spans="1:6" x14ac:dyDescent="0.25">
      <c r="A5811" t="s">
        <v>5220</v>
      </c>
      <c r="B5811" t="s">
        <v>458</v>
      </c>
      <c r="C5811" t="s">
        <v>459</v>
      </c>
      <c r="D5811" t="str">
        <f>HYPERLINK("http://service.sap.com/sap/support/notes/1626324","1626324")</f>
        <v>1626324</v>
      </c>
      <c r="E5811">
        <v>1</v>
      </c>
      <c r="F5811" t="s">
        <v>740</v>
      </c>
    </row>
    <row r="5812" spans="1:6" x14ac:dyDescent="0.25">
      <c r="A5812" t="s">
        <v>5220</v>
      </c>
      <c r="B5812" t="s">
        <v>458</v>
      </c>
      <c r="C5812" t="s">
        <v>459</v>
      </c>
      <c r="D5812" t="str">
        <f>HYPERLINK("http://service.sap.com/sap/support/notes/1626992","1626992")</f>
        <v>1626992</v>
      </c>
      <c r="E5812">
        <v>1</v>
      </c>
      <c r="F5812" t="s">
        <v>741</v>
      </c>
    </row>
    <row r="5813" spans="1:6" x14ac:dyDescent="0.25">
      <c r="A5813" t="s">
        <v>5220</v>
      </c>
      <c r="B5813" t="s">
        <v>458</v>
      </c>
      <c r="C5813" t="s">
        <v>459</v>
      </c>
      <c r="D5813" t="str">
        <f>HYPERLINK("http://service.sap.com/sap/support/notes/1628010","1628010")</f>
        <v>1628010</v>
      </c>
      <c r="E5813">
        <v>1</v>
      </c>
      <c r="F5813" t="s">
        <v>742</v>
      </c>
    </row>
    <row r="5814" spans="1:6" x14ac:dyDescent="0.25">
      <c r="A5814" t="s">
        <v>5220</v>
      </c>
      <c r="B5814" t="s">
        <v>458</v>
      </c>
      <c r="C5814" t="s">
        <v>459</v>
      </c>
      <c r="D5814" t="str">
        <f>HYPERLINK("http://service.sap.com/sap/support/notes/1630373","1630373")</f>
        <v>1630373</v>
      </c>
      <c r="E5814">
        <v>1</v>
      </c>
      <c r="F5814" t="s">
        <v>743</v>
      </c>
    </row>
    <row r="5815" spans="1:6" x14ac:dyDescent="0.25">
      <c r="A5815" t="s">
        <v>5220</v>
      </c>
      <c r="B5815" t="s">
        <v>512</v>
      </c>
      <c r="C5815" t="s">
        <v>513</v>
      </c>
      <c r="D5815" t="str">
        <f>HYPERLINK("http://service.sap.com/sap/support/notes/1614743","1614743")</f>
        <v>1614743</v>
      </c>
      <c r="E5815">
        <v>3</v>
      </c>
      <c r="F5815" t="s">
        <v>744</v>
      </c>
    </row>
    <row r="5816" spans="1:6" x14ac:dyDescent="0.25">
      <c r="A5816" t="s">
        <v>5220</v>
      </c>
      <c r="B5816" t="s">
        <v>512</v>
      </c>
      <c r="C5816" t="s">
        <v>513</v>
      </c>
      <c r="D5816" t="str">
        <f>HYPERLINK("http://service.sap.com/sap/support/notes/1629018","1629018")</f>
        <v>1629018</v>
      </c>
      <c r="E5816">
        <v>2</v>
      </c>
      <c r="F5816" t="s">
        <v>745</v>
      </c>
    </row>
    <row r="5817" spans="1:6" x14ac:dyDescent="0.25">
      <c r="A5817" t="s">
        <v>5220</v>
      </c>
      <c r="B5817" t="s">
        <v>512</v>
      </c>
      <c r="C5817" t="s">
        <v>513</v>
      </c>
      <c r="D5817" t="str">
        <f>HYPERLINK("http://service.sap.com/sap/support/notes/1629077","1629077")</f>
        <v>1629077</v>
      </c>
      <c r="E5817">
        <v>1</v>
      </c>
      <c r="F5817" t="s">
        <v>746</v>
      </c>
    </row>
    <row r="5818" spans="1:6" x14ac:dyDescent="0.25">
      <c r="A5818" t="s">
        <v>5220</v>
      </c>
      <c r="B5818" t="s">
        <v>462</v>
      </c>
      <c r="C5818" t="s">
        <v>463</v>
      </c>
      <c r="D5818" t="str">
        <f>HYPERLINK("http://service.sap.com/sap/support/notes/1622054","1622054")</f>
        <v>1622054</v>
      </c>
      <c r="E5818">
        <v>1</v>
      </c>
      <c r="F5818" t="s">
        <v>559</v>
      </c>
    </row>
    <row r="5819" spans="1:6" x14ac:dyDescent="0.25">
      <c r="A5819" t="s">
        <v>5220</v>
      </c>
      <c r="B5819" t="s">
        <v>462</v>
      </c>
      <c r="C5819" t="s">
        <v>463</v>
      </c>
      <c r="D5819" t="str">
        <f>HYPERLINK("http://service.sap.com/sap/support/notes/1631160","1631160")</f>
        <v>1631160</v>
      </c>
      <c r="E5819">
        <v>1</v>
      </c>
      <c r="F5819" t="s">
        <v>747</v>
      </c>
    </row>
    <row r="5820" spans="1:6" x14ac:dyDescent="0.25">
      <c r="A5820" t="s">
        <v>5220</v>
      </c>
      <c r="B5820" t="s">
        <v>462</v>
      </c>
      <c r="C5820" t="s">
        <v>463</v>
      </c>
      <c r="D5820" t="str">
        <f>HYPERLINK("http://service.sap.com/sap/support/notes/1634348","1634348")</f>
        <v>1634348</v>
      </c>
      <c r="E5820">
        <v>2</v>
      </c>
      <c r="F5820" t="s">
        <v>748</v>
      </c>
    </row>
    <row r="5821" spans="1:6" x14ac:dyDescent="0.25">
      <c r="A5821" t="s">
        <v>5220</v>
      </c>
      <c r="B5821" t="s">
        <v>623</v>
      </c>
      <c r="C5821" t="s">
        <v>624</v>
      </c>
    </row>
    <row r="5822" spans="1:6" x14ac:dyDescent="0.25">
      <c r="A5822" t="s">
        <v>5220</v>
      </c>
      <c r="B5822" t="s">
        <v>625</v>
      </c>
      <c r="C5822" t="s">
        <v>626</v>
      </c>
      <c r="D5822" t="str">
        <f>HYPERLINK("http://service.sap.com/sap/support/notes/1617975","1617975")</f>
        <v>1617975</v>
      </c>
      <c r="E5822">
        <v>1</v>
      </c>
      <c r="F5822" t="s">
        <v>5232</v>
      </c>
    </row>
    <row r="5823" spans="1:6" x14ac:dyDescent="0.25">
      <c r="A5823" t="s">
        <v>5220</v>
      </c>
      <c r="B5823" t="s">
        <v>625</v>
      </c>
      <c r="C5823" t="s">
        <v>626</v>
      </c>
      <c r="D5823" t="str">
        <f>HYPERLINK("http://service.sap.com/sap/support/notes/1632946","1632946")</f>
        <v>1632946</v>
      </c>
      <c r="E5823">
        <v>2</v>
      </c>
      <c r="F5823" t="s">
        <v>5233</v>
      </c>
    </row>
    <row r="5824" spans="1:6" x14ac:dyDescent="0.25">
      <c r="A5824" t="s">
        <v>5220</v>
      </c>
      <c r="B5824" t="s">
        <v>29</v>
      </c>
      <c r="C5824" t="s">
        <v>30</v>
      </c>
    </row>
    <row r="5825" spans="1:6" x14ac:dyDescent="0.25">
      <c r="A5825" t="s">
        <v>5220</v>
      </c>
      <c r="B5825" t="s">
        <v>35</v>
      </c>
      <c r="C5825" t="s">
        <v>36</v>
      </c>
      <c r="D5825" t="str">
        <f>HYPERLINK("http://service.sap.com/sap/support/notes/1587545","1587545")</f>
        <v>1587545</v>
      </c>
      <c r="E5825">
        <v>4</v>
      </c>
      <c r="F5825" t="s">
        <v>464</v>
      </c>
    </row>
    <row r="5826" spans="1:6" x14ac:dyDescent="0.25">
      <c r="A5826" t="s">
        <v>5220</v>
      </c>
      <c r="B5826" t="s">
        <v>35</v>
      </c>
      <c r="C5826" t="s">
        <v>36</v>
      </c>
      <c r="D5826" t="str">
        <f>HYPERLINK("http://service.sap.com/sap/support/notes/1632904","1632904")</f>
        <v>1632904</v>
      </c>
      <c r="E5826">
        <v>1</v>
      </c>
      <c r="F5826" t="s">
        <v>5234</v>
      </c>
    </row>
    <row r="5827" spans="1:6" x14ac:dyDescent="0.25">
      <c r="A5827" t="s">
        <v>5220</v>
      </c>
      <c r="B5827" t="s">
        <v>41</v>
      </c>
      <c r="C5827" t="s">
        <v>42</v>
      </c>
    </row>
    <row r="5828" spans="1:6" x14ac:dyDescent="0.25">
      <c r="A5828" t="s">
        <v>5220</v>
      </c>
      <c r="B5828" t="s">
        <v>43</v>
      </c>
      <c r="C5828" t="s">
        <v>44</v>
      </c>
      <c r="D5828" t="str">
        <f>HYPERLINK("http://service.sap.com/sap/support/notes/1622396","1622396")</f>
        <v>1622396</v>
      </c>
      <c r="E5828">
        <v>1</v>
      </c>
      <c r="F5828" t="s">
        <v>750</v>
      </c>
    </row>
    <row r="5829" spans="1:6" x14ac:dyDescent="0.25">
      <c r="A5829" t="s">
        <v>5220</v>
      </c>
      <c r="B5829" t="s">
        <v>51</v>
      </c>
      <c r="C5829" t="s">
        <v>52</v>
      </c>
      <c r="D5829" t="str">
        <f>HYPERLINK("http://service.sap.com/sap/support/notes/1631938","1631938")</f>
        <v>1631938</v>
      </c>
      <c r="E5829">
        <v>1</v>
      </c>
      <c r="F5829" t="s">
        <v>752</v>
      </c>
    </row>
    <row r="5830" spans="1:6" x14ac:dyDescent="0.25">
      <c r="A5830" t="s">
        <v>5220</v>
      </c>
      <c r="B5830" t="s">
        <v>753</v>
      </c>
      <c r="C5830" t="s">
        <v>754</v>
      </c>
      <c r="D5830" t="str">
        <f>HYPERLINK("http://service.sap.com/sap/support/notes/1629816","1629816")</f>
        <v>1629816</v>
      </c>
      <c r="E5830">
        <v>1</v>
      </c>
      <c r="F5830" t="s">
        <v>755</v>
      </c>
    </row>
    <row r="5831" spans="1:6" x14ac:dyDescent="0.25">
      <c r="A5831" t="s">
        <v>5220</v>
      </c>
      <c r="B5831" t="s">
        <v>256</v>
      </c>
      <c r="C5831" t="s">
        <v>165</v>
      </c>
      <c r="D5831" t="str">
        <f>HYPERLINK("http://service.sap.com/sap/support/notes/1628574","1628574")</f>
        <v>1628574</v>
      </c>
      <c r="E5831">
        <v>1</v>
      </c>
      <c r="F5831" t="s">
        <v>757</v>
      </c>
    </row>
    <row r="5832" spans="1:6" x14ac:dyDescent="0.25">
      <c r="A5832" t="s">
        <v>5220</v>
      </c>
      <c r="B5832" t="s">
        <v>358</v>
      </c>
      <c r="C5832" t="s">
        <v>176</v>
      </c>
      <c r="D5832" t="str">
        <f>HYPERLINK("http://service.sap.com/sap/support/notes/1625908","1625908")</f>
        <v>1625908</v>
      </c>
      <c r="E5832">
        <v>2</v>
      </c>
      <c r="F5832" t="s">
        <v>758</v>
      </c>
    </row>
    <row r="5833" spans="1:6" x14ac:dyDescent="0.25">
      <c r="A5833" t="s">
        <v>5220</v>
      </c>
      <c r="B5833" t="s">
        <v>57</v>
      </c>
      <c r="C5833" t="s">
        <v>58</v>
      </c>
      <c r="D5833" t="str">
        <f>HYPERLINK("http://service.sap.com/sap/support/notes/1626686","1626686")</f>
        <v>1626686</v>
      </c>
      <c r="E5833">
        <v>1</v>
      </c>
      <c r="F5833" t="s">
        <v>759</v>
      </c>
    </row>
    <row r="5834" spans="1:6" x14ac:dyDescent="0.25">
      <c r="A5834" t="s">
        <v>5220</v>
      </c>
      <c r="B5834" t="s">
        <v>760</v>
      </c>
      <c r="C5834" t="s">
        <v>201</v>
      </c>
      <c r="D5834" t="str">
        <f>HYPERLINK("http://service.sap.com/sap/support/notes/1504165","1504165")</f>
        <v>1504165</v>
      </c>
      <c r="E5834">
        <v>3</v>
      </c>
      <c r="F5834" t="s">
        <v>761</v>
      </c>
    </row>
    <row r="5835" spans="1:6" x14ac:dyDescent="0.25">
      <c r="A5835" t="s">
        <v>5220</v>
      </c>
      <c r="B5835" t="s">
        <v>760</v>
      </c>
      <c r="C5835" t="s">
        <v>201</v>
      </c>
      <c r="D5835" t="str">
        <f>HYPERLINK("http://service.sap.com/sap/support/notes/1620321","1620321")</f>
        <v>1620321</v>
      </c>
      <c r="E5835">
        <v>2</v>
      </c>
      <c r="F5835" t="s">
        <v>762</v>
      </c>
    </row>
    <row r="5836" spans="1:6" x14ac:dyDescent="0.25">
      <c r="A5836" t="s">
        <v>5220</v>
      </c>
      <c r="B5836" t="s">
        <v>267</v>
      </c>
      <c r="C5836" t="s">
        <v>466</v>
      </c>
    </row>
    <row r="5837" spans="1:6" x14ac:dyDescent="0.25">
      <c r="A5837" t="s">
        <v>5220</v>
      </c>
      <c r="B5837" t="s">
        <v>268</v>
      </c>
      <c r="C5837" t="s">
        <v>467</v>
      </c>
      <c r="D5837" t="str">
        <f>HYPERLINK("http://service.sap.com/sap/support/notes/1619784","1619784")</f>
        <v>1619784</v>
      </c>
      <c r="E5837">
        <v>2</v>
      </c>
      <c r="F5837" t="s">
        <v>5235</v>
      </c>
    </row>
    <row r="5838" spans="1:6" x14ac:dyDescent="0.25">
      <c r="A5838" t="s">
        <v>5220</v>
      </c>
      <c r="B5838" t="s">
        <v>268</v>
      </c>
      <c r="C5838" t="s">
        <v>467</v>
      </c>
      <c r="D5838" t="str">
        <f>HYPERLINK("http://service.sap.com/sap/support/notes/1621973","1621973")</f>
        <v>1621973</v>
      </c>
      <c r="E5838">
        <v>2</v>
      </c>
      <c r="F5838" t="s">
        <v>763</v>
      </c>
    </row>
    <row r="5839" spans="1:6" x14ac:dyDescent="0.25">
      <c r="A5839" t="s">
        <v>5220</v>
      </c>
      <c r="B5839" t="s">
        <v>268</v>
      </c>
      <c r="C5839" t="s">
        <v>467</v>
      </c>
      <c r="D5839" t="str">
        <f>HYPERLINK("http://service.sap.com/sap/support/notes/1631170","1631170")</f>
        <v>1631170</v>
      </c>
      <c r="E5839">
        <v>1</v>
      </c>
      <c r="F5839" t="s">
        <v>5236</v>
      </c>
    </row>
    <row r="5840" spans="1:6" x14ac:dyDescent="0.25">
      <c r="A5840" t="s">
        <v>5220</v>
      </c>
      <c r="B5840" t="s">
        <v>268</v>
      </c>
      <c r="C5840" t="s">
        <v>467</v>
      </c>
      <c r="D5840" t="str">
        <f>HYPERLINK("http://service.sap.com/sap/support/notes/1632078","1632078")</f>
        <v>1632078</v>
      </c>
      <c r="E5840">
        <v>1</v>
      </c>
      <c r="F5840" t="s">
        <v>764</v>
      </c>
    </row>
    <row r="5841" spans="1:6" x14ac:dyDescent="0.25">
      <c r="A5841" t="s">
        <v>5220</v>
      </c>
      <c r="B5841" t="s">
        <v>273</v>
      </c>
      <c r="C5841" t="s">
        <v>469</v>
      </c>
    </row>
    <row r="5842" spans="1:6" x14ac:dyDescent="0.25">
      <c r="A5842" t="s">
        <v>5220</v>
      </c>
      <c r="B5842" t="s">
        <v>471</v>
      </c>
      <c r="C5842" t="s">
        <v>472</v>
      </c>
      <c r="D5842" t="str">
        <f>HYPERLINK("http://service.sap.com/sap/support/notes/1624111","1624111")</f>
        <v>1624111</v>
      </c>
      <c r="E5842">
        <v>2</v>
      </c>
      <c r="F5842" t="s">
        <v>5237</v>
      </c>
    </row>
    <row r="5843" spans="1:6" x14ac:dyDescent="0.25">
      <c r="A5843" t="s">
        <v>5220</v>
      </c>
      <c r="B5843" t="s">
        <v>474</v>
      </c>
      <c r="C5843" t="s">
        <v>475</v>
      </c>
      <c r="D5843" t="str">
        <f>HYPERLINK("http://service.sap.com/sap/support/notes/1623977","1623977")</f>
        <v>1623977</v>
      </c>
      <c r="E5843">
        <v>2</v>
      </c>
      <c r="F5843" t="s">
        <v>766</v>
      </c>
    </row>
    <row r="5844" spans="1:6" x14ac:dyDescent="0.25">
      <c r="A5844" t="s">
        <v>5220</v>
      </c>
      <c r="B5844" t="s">
        <v>474</v>
      </c>
      <c r="C5844" t="s">
        <v>475</v>
      </c>
      <c r="D5844" t="str">
        <f>HYPERLINK("http://service.sap.com/sap/support/notes/1626792","1626792")</f>
        <v>1626792</v>
      </c>
      <c r="E5844">
        <v>1</v>
      </c>
      <c r="F5844" t="s">
        <v>5238</v>
      </c>
    </row>
    <row r="5845" spans="1:6" x14ac:dyDescent="0.25">
      <c r="A5845" t="s">
        <v>5220</v>
      </c>
      <c r="B5845" t="s">
        <v>474</v>
      </c>
      <c r="C5845" t="s">
        <v>475</v>
      </c>
      <c r="D5845" t="str">
        <f>HYPERLINK("http://service.sap.com/sap/support/notes/1630070","1630070")</f>
        <v>1630070</v>
      </c>
      <c r="E5845">
        <v>1</v>
      </c>
      <c r="F5845" t="s">
        <v>767</v>
      </c>
    </row>
    <row r="5846" spans="1:6" x14ac:dyDescent="0.25">
      <c r="A5846" t="s">
        <v>5220</v>
      </c>
      <c r="B5846" t="s">
        <v>474</v>
      </c>
      <c r="C5846" t="s">
        <v>475</v>
      </c>
      <c r="D5846" t="str">
        <f>HYPERLINK("http://service.sap.com/sap/support/notes/1630889","1630889")</f>
        <v>1630889</v>
      </c>
      <c r="E5846">
        <v>2</v>
      </c>
      <c r="F5846" t="s">
        <v>5239</v>
      </c>
    </row>
    <row r="5847" spans="1:6" x14ac:dyDescent="0.25">
      <c r="A5847" t="s">
        <v>5220</v>
      </c>
      <c r="B5847" t="s">
        <v>474</v>
      </c>
      <c r="C5847" t="s">
        <v>475</v>
      </c>
      <c r="D5847" t="str">
        <f>HYPERLINK("http://service.sap.com/sap/support/notes/1633530","1633530")</f>
        <v>1633530</v>
      </c>
      <c r="E5847">
        <v>2</v>
      </c>
      <c r="F5847" t="s">
        <v>768</v>
      </c>
    </row>
    <row r="5848" spans="1:6" x14ac:dyDescent="0.25">
      <c r="A5848" t="s">
        <v>5220</v>
      </c>
      <c r="B5848" t="s">
        <v>474</v>
      </c>
      <c r="C5848" t="s">
        <v>475</v>
      </c>
      <c r="D5848" t="str">
        <f>HYPERLINK("http://service.sap.com/sap/support/notes/1635033","1635033")</f>
        <v>1635033</v>
      </c>
      <c r="E5848">
        <v>1</v>
      </c>
      <c r="F5848" t="s">
        <v>769</v>
      </c>
    </row>
    <row r="5849" spans="1:6" x14ac:dyDescent="0.25">
      <c r="A5849" t="s">
        <v>5220</v>
      </c>
      <c r="B5849" t="s">
        <v>72</v>
      </c>
      <c r="C5849" t="s">
        <v>73</v>
      </c>
    </row>
    <row r="5850" spans="1:6" x14ac:dyDescent="0.25">
      <c r="A5850" t="s">
        <v>5220</v>
      </c>
      <c r="B5850" t="s">
        <v>281</v>
      </c>
      <c r="C5850" t="s">
        <v>368</v>
      </c>
    </row>
    <row r="5851" spans="1:6" x14ac:dyDescent="0.25">
      <c r="A5851" t="s">
        <v>5220</v>
      </c>
      <c r="B5851" t="s">
        <v>282</v>
      </c>
      <c r="C5851" t="s">
        <v>369</v>
      </c>
      <c r="D5851" t="str">
        <f>HYPERLINK("http://service.sap.com/sap/support/notes/1612185","1612185")</f>
        <v>1612185</v>
      </c>
      <c r="E5851">
        <v>3</v>
      </c>
      <c r="F5851" t="s">
        <v>770</v>
      </c>
    </row>
    <row r="5852" spans="1:6" x14ac:dyDescent="0.25">
      <c r="A5852" t="s">
        <v>5220</v>
      </c>
      <c r="B5852" t="s">
        <v>282</v>
      </c>
      <c r="C5852" t="s">
        <v>369</v>
      </c>
      <c r="D5852" t="str">
        <f>HYPERLINK("http://service.sap.com/sap/support/notes/1615191","1615191")</f>
        <v>1615191</v>
      </c>
      <c r="E5852">
        <v>1</v>
      </c>
      <c r="F5852" t="s">
        <v>771</v>
      </c>
    </row>
    <row r="5853" spans="1:6" x14ac:dyDescent="0.25">
      <c r="A5853" t="s">
        <v>5220</v>
      </c>
      <c r="B5853" t="s">
        <v>282</v>
      </c>
      <c r="C5853" t="s">
        <v>369</v>
      </c>
      <c r="D5853" t="str">
        <f>HYPERLINK("http://service.sap.com/sap/support/notes/1620456","1620456")</f>
        <v>1620456</v>
      </c>
      <c r="E5853">
        <v>1</v>
      </c>
      <c r="F5853" t="s">
        <v>772</v>
      </c>
    </row>
    <row r="5854" spans="1:6" x14ac:dyDescent="0.25">
      <c r="A5854" t="s">
        <v>5220</v>
      </c>
      <c r="B5854" t="s">
        <v>282</v>
      </c>
      <c r="C5854" t="s">
        <v>369</v>
      </c>
      <c r="D5854" t="str">
        <f>HYPERLINK("http://service.sap.com/sap/support/notes/1622316","1622316")</f>
        <v>1622316</v>
      </c>
      <c r="E5854">
        <v>1</v>
      </c>
      <c r="F5854" t="s">
        <v>773</v>
      </c>
    </row>
    <row r="5855" spans="1:6" x14ac:dyDescent="0.25">
      <c r="A5855" t="s">
        <v>5220</v>
      </c>
      <c r="B5855" t="s">
        <v>282</v>
      </c>
      <c r="C5855" t="s">
        <v>369</v>
      </c>
      <c r="D5855" t="str">
        <f>HYPERLINK("http://service.sap.com/sap/support/notes/1622576","1622576")</f>
        <v>1622576</v>
      </c>
      <c r="E5855">
        <v>1</v>
      </c>
      <c r="F5855" t="s">
        <v>774</v>
      </c>
    </row>
    <row r="5856" spans="1:6" x14ac:dyDescent="0.25">
      <c r="A5856" t="s">
        <v>5220</v>
      </c>
      <c r="B5856" t="s">
        <v>282</v>
      </c>
      <c r="C5856" t="s">
        <v>369</v>
      </c>
      <c r="D5856" t="str">
        <f>HYPERLINK("http://service.sap.com/sap/support/notes/1627918","1627918")</f>
        <v>1627918</v>
      </c>
      <c r="E5856">
        <v>1</v>
      </c>
      <c r="F5856" t="s">
        <v>775</v>
      </c>
    </row>
    <row r="5857" spans="1:6" x14ac:dyDescent="0.25">
      <c r="A5857" t="s">
        <v>5220</v>
      </c>
      <c r="B5857" t="s">
        <v>283</v>
      </c>
      <c r="C5857" t="s">
        <v>365</v>
      </c>
      <c r="D5857" t="str">
        <f>HYPERLINK("http://service.sap.com/sap/support/notes/1165020","1165020")</f>
        <v>1165020</v>
      </c>
      <c r="E5857">
        <v>4</v>
      </c>
      <c r="F5857" t="s">
        <v>777</v>
      </c>
    </row>
    <row r="5858" spans="1:6" x14ac:dyDescent="0.25">
      <c r="A5858" t="s">
        <v>5220</v>
      </c>
      <c r="B5858" t="s">
        <v>284</v>
      </c>
      <c r="C5858" t="s">
        <v>393</v>
      </c>
    </row>
    <row r="5859" spans="1:6" x14ac:dyDescent="0.25">
      <c r="A5859" t="s">
        <v>5220</v>
      </c>
      <c r="B5859" t="s">
        <v>285</v>
      </c>
      <c r="C5859" t="s">
        <v>658</v>
      </c>
      <c r="D5859" t="str">
        <f>HYPERLINK("http://service.sap.com/sap/support/notes/1606619","1606619")</f>
        <v>1606619</v>
      </c>
      <c r="E5859">
        <v>2</v>
      </c>
      <c r="F5859" t="s">
        <v>5240</v>
      </c>
    </row>
    <row r="5860" spans="1:6" x14ac:dyDescent="0.25">
      <c r="A5860" t="s">
        <v>5220</v>
      </c>
      <c r="B5860" t="s">
        <v>293</v>
      </c>
      <c r="C5860" t="s">
        <v>587</v>
      </c>
    </row>
    <row r="5861" spans="1:6" x14ac:dyDescent="0.25">
      <c r="A5861" t="s">
        <v>5220</v>
      </c>
      <c r="B5861" t="s">
        <v>298</v>
      </c>
      <c r="C5861" t="s">
        <v>588</v>
      </c>
    </row>
    <row r="5862" spans="1:6" x14ac:dyDescent="0.25">
      <c r="A5862" t="s">
        <v>5220</v>
      </c>
      <c r="B5862" t="s">
        <v>589</v>
      </c>
      <c r="C5862" t="s">
        <v>443</v>
      </c>
      <c r="D5862" t="str">
        <f>HYPERLINK("http://service.sap.com/sap/support/notes/1613840","1613840")</f>
        <v>1613840</v>
      </c>
      <c r="E5862">
        <v>1</v>
      </c>
      <c r="F5862" t="s">
        <v>5241</v>
      </c>
    </row>
    <row r="5863" spans="1:6" x14ac:dyDescent="0.25">
      <c r="A5863" t="s">
        <v>5220</v>
      </c>
      <c r="B5863" t="s">
        <v>589</v>
      </c>
      <c r="C5863" t="s">
        <v>443</v>
      </c>
      <c r="D5863" t="str">
        <f>HYPERLINK("http://service.sap.com/sap/support/notes/1624962","1624962")</f>
        <v>1624962</v>
      </c>
      <c r="E5863">
        <v>1</v>
      </c>
      <c r="F5863" t="s">
        <v>5242</v>
      </c>
    </row>
    <row r="5864" spans="1:6" x14ac:dyDescent="0.25">
      <c r="A5864" t="s">
        <v>5220</v>
      </c>
      <c r="B5864" t="s">
        <v>589</v>
      </c>
      <c r="C5864" t="s">
        <v>443</v>
      </c>
      <c r="D5864" t="str">
        <f>HYPERLINK("http://service.sap.com/sap/support/notes/1628027","1628027")</f>
        <v>1628027</v>
      </c>
      <c r="E5864">
        <v>1</v>
      </c>
      <c r="F5864" t="s">
        <v>5243</v>
      </c>
    </row>
    <row r="5865" spans="1:6" x14ac:dyDescent="0.25">
      <c r="A5865" t="s">
        <v>5220</v>
      </c>
      <c r="B5865" t="s">
        <v>589</v>
      </c>
      <c r="C5865" t="s">
        <v>443</v>
      </c>
      <c r="D5865" t="str">
        <f>HYPERLINK("http://service.sap.com/sap/support/notes/1630305","1630305")</f>
        <v>1630305</v>
      </c>
      <c r="E5865">
        <v>2</v>
      </c>
      <c r="F5865" t="s">
        <v>5244</v>
      </c>
    </row>
    <row r="5866" spans="1:6" x14ac:dyDescent="0.25">
      <c r="A5866" t="s">
        <v>5220</v>
      </c>
      <c r="B5866" t="s">
        <v>76</v>
      </c>
      <c r="C5866" t="s">
        <v>77</v>
      </c>
    </row>
    <row r="5867" spans="1:6" x14ac:dyDescent="0.25">
      <c r="A5867" t="s">
        <v>5220</v>
      </c>
      <c r="B5867" t="s">
        <v>83</v>
      </c>
      <c r="C5867" t="s">
        <v>84</v>
      </c>
      <c r="D5867" t="str">
        <f>HYPERLINK("http://service.sap.com/sap/support/notes/1620580","1620580")</f>
        <v>1620580</v>
      </c>
      <c r="E5867">
        <v>2</v>
      </c>
      <c r="F5867" t="s">
        <v>590</v>
      </c>
    </row>
    <row r="5868" spans="1:6" x14ac:dyDescent="0.25">
      <c r="A5868" t="s">
        <v>5220</v>
      </c>
      <c r="B5868" t="s">
        <v>86</v>
      </c>
      <c r="C5868" t="s">
        <v>87</v>
      </c>
      <c r="D5868" t="str">
        <f>HYPERLINK("http://service.sap.com/sap/support/notes/1589399","1589399")</f>
        <v>1589399</v>
      </c>
      <c r="E5868">
        <v>1</v>
      </c>
      <c r="F5868" t="s">
        <v>778</v>
      </c>
    </row>
    <row r="5869" spans="1:6" x14ac:dyDescent="0.25">
      <c r="A5869" t="s">
        <v>5220</v>
      </c>
      <c r="B5869" t="s">
        <v>94</v>
      </c>
      <c r="C5869" t="s">
        <v>95</v>
      </c>
    </row>
    <row r="5870" spans="1:6" x14ac:dyDescent="0.25">
      <c r="A5870" t="s">
        <v>5220</v>
      </c>
      <c r="B5870" t="s">
        <v>306</v>
      </c>
      <c r="C5870" t="s">
        <v>132</v>
      </c>
      <c r="D5870" t="str">
        <f>HYPERLINK("http://service.sap.com/sap/support/notes/1603914","1603914")</f>
        <v>1603914</v>
      </c>
      <c r="E5870">
        <v>1</v>
      </c>
      <c r="F5870" t="s">
        <v>781</v>
      </c>
    </row>
    <row r="5871" spans="1:6" x14ac:dyDescent="0.25">
      <c r="A5871" t="s">
        <v>5220</v>
      </c>
      <c r="B5871" t="s">
        <v>100</v>
      </c>
      <c r="C5871" t="s">
        <v>36</v>
      </c>
      <c r="D5871" t="str">
        <f>HYPERLINK("http://service.sap.com/sap/support/notes/1578359","1578359")</f>
        <v>1578359</v>
      </c>
      <c r="E5871">
        <v>2</v>
      </c>
      <c r="F5871" t="s">
        <v>425</v>
      </c>
    </row>
    <row r="5872" spans="1:6" x14ac:dyDescent="0.25">
      <c r="A5872" t="s">
        <v>5220</v>
      </c>
      <c r="B5872" t="s">
        <v>101</v>
      </c>
      <c r="C5872" t="s">
        <v>38</v>
      </c>
    </row>
    <row r="5873" spans="1:6" x14ac:dyDescent="0.25">
      <c r="A5873" t="s">
        <v>5220</v>
      </c>
      <c r="B5873" t="s">
        <v>106</v>
      </c>
      <c r="C5873" t="s">
        <v>107</v>
      </c>
    </row>
    <row r="5874" spans="1:6" x14ac:dyDescent="0.25">
      <c r="A5874" t="s">
        <v>5220</v>
      </c>
      <c r="B5874" t="s">
        <v>108</v>
      </c>
      <c r="C5874" t="s">
        <v>109</v>
      </c>
      <c r="D5874" t="str">
        <f>HYPERLINK("http://service.sap.com/sap/support/notes/1624487","1624487")</f>
        <v>1624487</v>
      </c>
      <c r="E5874">
        <v>2</v>
      </c>
      <c r="F5874" t="s">
        <v>5245</v>
      </c>
    </row>
    <row r="5875" spans="1:6" x14ac:dyDescent="0.25">
      <c r="A5875" t="s">
        <v>5220</v>
      </c>
      <c r="B5875" t="s">
        <v>112</v>
      </c>
      <c r="C5875" t="s">
        <v>113</v>
      </c>
      <c r="D5875" t="str">
        <f>HYPERLINK("http://service.sap.com/sap/support/notes/1607225","1607225")</f>
        <v>1607225</v>
      </c>
      <c r="E5875">
        <v>2</v>
      </c>
      <c r="F5875" t="s">
        <v>782</v>
      </c>
    </row>
    <row r="5876" spans="1:6" x14ac:dyDescent="0.25">
      <c r="A5876" t="s">
        <v>5220</v>
      </c>
      <c r="B5876" t="s">
        <v>152</v>
      </c>
      <c r="C5876" t="s">
        <v>47</v>
      </c>
      <c r="D5876" t="str">
        <f>HYPERLINK("http://service.sap.com/sap/support/notes/1617082","1617082")</f>
        <v>1617082</v>
      </c>
      <c r="E5876">
        <v>2</v>
      </c>
      <c r="F5876" t="s">
        <v>783</v>
      </c>
    </row>
    <row r="5877" spans="1:6" x14ac:dyDescent="0.25">
      <c r="A5877" t="s">
        <v>5220</v>
      </c>
      <c r="B5877" t="s">
        <v>152</v>
      </c>
      <c r="C5877" t="s">
        <v>47</v>
      </c>
      <c r="D5877" t="str">
        <f>HYPERLINK("http://service.sap.com/sap/support/notes/1625696","1625696")</f>
        <v>1625696</v>
      </c>
      <c r="E5877">
        <v>2</v>
      </c>
      <c r="F5877" t="s">
        <v>784</v>
      </c>
    </row>
    <row r="5878" spans="1:6" x14ac:dyDescent="0.25">
      <c r="A5878" t="s">
        <v>5220</v>
      </c>
      <c r="B5878" t="s">
        <v>179</v>
      </c>
      <c r="C5878" t="s">
        <v>180</v>
      </c>
      <c r="D5878" t="str">
        <f>HYPERLINK("http://service.sap.com/sap/support/notes/1630086","1630086")</f>
        <v>1630086</v>
      </c>
      <c r="E5878">
        <v>3</v>
      </c>
      <c r="F5878" t="s">
        <v>785</v>
      </c>
    </row>
    <row r="5879" spans="1:6" x14ac:dyDescent="0.25">
      <c r="A5879" t="s">
        <v>5220</v>
      </c>
      <c r="B5879" t="s">
        <v>179</v>
      </c>
      <c r="C5879" t="s">
        <v>180</v>
      </c>
      <c r="D5879" t="str">
        <f>HYPERLINK("http://service.sap.com/sap/support/notes/1630087","1630087")</f>
        <v>1630087</v>
      </c>
      <c r="E5879">
        <v>2</v>
      </c>
      <c r="F5879" t="s">
        <v>786</v>
      </c>
    </row>
    <row r="5880" spans="1:6" x14ac:dyDescent="0.25">
      <c r="A5880" t="s">
        <v>5220</v>
      </c>
      <c r="B5880" t="s">
        <v>179</v>
      </c>
      <c r="C5880" t="s">
        <v>180</v>
      </c>
      <c r="D5880" t="str">
        <f>HYPERLINK("http://service.sap.com/sap/support/notes/1632383","1632383")</f>
        <v>1632383</v>
      </c>
      <c r="E5880">
        <v>2</v>
      </c>
      <c r="F5880" t="s">
        <v>787</v>
      </c>
    </row>
    <row r="5881" spans="1:6" x14ac:dyDescent="0.25">
      <c r="A5881" t="s">
        <v>5220</v>
      </c>
      <c r="B5881" t="s">
        <v>181</v>
      </c>
      <c r="C5881" t="s">
        <v>182</v>
      </c>
    </row>
    <row r="5882" spans="1:6" x14ac:dyDescent="0.25">
      <c r="A5882" t="s">
        <v>5220</v>
      </c>
      <c r="B5882" t="s">
        <v>183</v>
      </c>
      <c r="C5882" t="s">
        <v>184</v>
      </c>
      <c r="D5882" t="str">
        <f>HYPERLINK("http://service.sap.com/sap/support/notes/1604364","1604364")</f>
        <v>1604364</v>
      </c>
      <c r="E5882">
        <v>2</v>
      </c>
      <c r="F5882" t="s">
        <v>788</v>
      </c>
    </row>
    <row r="5883" spans="1:6" x14ac:dyDescent="0.25">
      <c r="A5883" t="s">
        <v>5220</v>
      </c>
      <c r="B5883" t="s">
        <v>191</v>
      </c>
      <c r="C5883" t="s">
        <v>62</v>
      </c>
    </row>
    <row r="5884" spans="1:6" x14ac:dyDescent="0.25">
      <c r="A5884" t="s">
        <v>5220</v>
      </c>
      <c r="B5884" t="s">
        <v>195</v>
      </c>
      <c r="C5884" t="s">
        <v>132</v>
      </c>
      <c r="D5884" t="str">
        <f>HYPERLINK("http://service.sap.com/sap/support/notes/1611959","1611959")</f>
        <v>1611959</v>
      </c>
      <c r="E5884">
        <v>3</v>
      </c>
      <c r="F5884" t="s">
        <v>591</v>
      </c>
    </row>
    <row r="5885" spans="1:6" x14ac:dyDescent="0.25">
      <c r="A5885" t="s">
        <v>5220</v>
      </c>
      <c r="B5885" t="s">
        <v>195</v>
      </c>
      <c r="C5885" t="s">
        <v>132</v>
      </c>
      <c r="D5885" t="str">
        <f>HYPERLINK("http://service.sap.com/sap/support/notes/1622419","1622419")</f>
        <v>1622419</v>
      </c>
      <c r="E5885">
        <v>1</v>
      </c>
      <c r="F5885" t="s">
        <v>789</v>
      </c>
    </row>
    <row r="5886" spans="1:6" x14ac:dyDescent="0.25">
      <c r="A5886" t="s">
        <v>5220</v>
      </c>
      <c r="B5886" t="s">
        <v>196</v>
      </c>
      <c r="C5886" t="s">
        <v>197</v>
      </c>
      <c r="D5886" t="str">
        <f>HYPERLINK("http://service.sap.com/sap/support/notes/1633358","1633358")</f>
        <v>1633358</v>
      </c>
      <c r="E5886">
        <v>1</v>
      </c>
      <c r="F5886" t="s">
        <v>1121</v>
      </c>
    </row>
    <row r="5887" spans="1:6" x14ac:dyDescent="0.25">
      <c r="A5887" t="s">
        <v>5220</v>
      </c>
      <c r="B5887" t="s">
        <v>203</v>
      </c>
      <c r="C5887" t="s">
        <v>204</v>
      </c>
    </row>
    <row r="5888" spans="1:6" x14ac:dyDescent="0.25">
      <c r="A5888" t="s">
        <v>5220</v>
      </c>
      <c r="B5888" t="s">
        <v>337</v>
      </c>
      <c r="C5888" t="s">
        <v>634</v>
      </c>
      <c r="D5888" t="str">
        <f>HYPERLINK("http://service.sap.com/sap/support/notes/1618723","1618723")</f>
        <v>1618723</v>
      </c>
      <c r="E5888">
        <v>2</v>
      </c>
      <c r="F5888" t="s">
        <v>5246</v>
      </c>
    </row>
    <row r="5889" spans="1:6" x14ac:dyDescent="0.25">
      <c r="A5889" t="s">
        <v>5220</v>
      </c>
      <c r="B5889" t="s">
        <v>346</v>
      </c>
      <c r="C5889" t="s">
        <v>347</v>
      </c>
      <c r="D5889" t="str">
        <f>HYPERLINK("http://service.sap.com/sap/support/notes/1612586","1612586")</f>
        <v>1612586</v>
      </c>
      <c r="E5889">
        <v>3</v>
      </c>
      <c r="F5889" t="s">
        <v>1759</v>
      </c>
    </row>
    <row r="5890" spans="1:6" x14ac:dyDescent="0.25">
      <c r="A5890" t="s">
        <v>5220</v>
      </c>
      <c r="B5890" t="s">
        <v>207</v>
      </c>
      <c r="C5890" t="s">
        <v>208</v>
      </c>
    </row>
    <row r="5891" spans="1:6" x14ac:dyDescent="0.25">
      <c r="A5891" t="s">
        <v>5220</v>
      </c>
      <c r="B5891" t="s">
        <v>209</v>
      </c>
      <c r="C5891" t="s">
        <v>210</v>
      </c>
    </row>
    <row r="5892" spans="1:6" x14ac:dyDescent="0.25">
      <c r="A5892" t="s">
        <v>5220</v>
      </c>
      <c r="B5892" t="s">
        <v>790</v>
      </c>
      <c r="C5892" t="s">
        <v>791</v>
      </c>
    </row>
    <row r="5893" spans="1:6" x14ac:dyDescent="0.25">
      <c r="A5893" t="s">
        <v>5220</v>
      </c>
      <c r="B5893" t="s">
        <v>792</v>
      </c>
      <c r="C5893" t="s">
        <v>655</v>
      </c>
      <c r="D5893" t="str">
        <f>HYPERLINK("http://service.sap.com/sap/support/notes/1631135","1631135")</f>
        <v>1631135</v>
      </c>
      <c r="E5893">
        <v>1</v>
      </c>
      <c r="F5893" t="s">
        <v>793</v>
      </c>
    </row>
    <row r="5894" spans="1:6" x14ac:dyDescent="0.25">
      <c r="A5894" t="s">
        <v>5220</v>
      </c>
      <c r="B5894" t="s">
        <v>792</v>
      </c>
      <c r="C5894" t="s">
        <v>655</v>
      </c>
      <c r="D5894" t="str">
        <f>HYPERLINK("http://service.sap.com/sap/support/notes/1632021","1632021")</f>
        <v>1632021</v>
      </c>
      <c r="E5894">
        <v>2</v>
      </c>
      <c r="F5894" t="s">
        <v>794</v>
      </c>
    </row>
    <row r="5895" spans="1:6" x14ac:dyDescent="0.25">
      <c r="A5895" t="s">
        <v>5220</v>
      </c>
      <c r="B5895" t="s">
        <v>5247</v>
      </c>
      <c r="C5895" t="s">
        <v>5248</v>
      </c>
    </row>
    <row r="5896" spans="1:6" x14ac:dyDescent="0.25">
      <c r="A5896" t="s">
        <v>5220</v>
      </c>
      <c r="B5896" t="s">
        <v>5249</v>
      </c>
      <c r="C5896" t="s">
        <v>655</v>
      </c>
      <c r="D5896" t="str">
        <f>HYPERLINK("http://service.sap.com/sap/support/notes/1631505","1631505")</f>
        <v>1631505</v>
      </c>
      <c r="E5896">
        <v>1</v>
      </c>
      <c r="F5896" t="s">
        <v>5250</v>
      </c>
    </row>
    <row r="5897" spans="1:6" x14ac:dyDescent="0.25">
      <c r="A5897" t="s">
        <v>5220</v>
      </c>
      <c r="B5897" t="s">
        <v>652</v>
      </c>
      <c r="C5897" t="s">
        <v>653</v>
      </c>
    </row>
    <row r="5898" spans="1:6" x14ac:dyDescent="0.25">
      <c r="A5898" t="s">
        <v>5220</v>
      </c>
      <c r="B5898" t="s">
        <v>654</v>
      </c>
      <c r="C5898" t="s">
        <v>655</v>
      </c>
      <c r="D5898" t="str">
        <f>HYPERLINK("http://service.sap.com/sap/support/notes/1627228","1627228")</f>
        <v>1627228</v>
      </c>
      <c r="E5898">
        <v>1</v>
      </c>
      <c r="F5898" t="s">
        <v>795</v>
      </c>
    </row>
    <row r="5899" spans="1:6" x14ac:dyDescent="0.25">
      <c r="A5899" t="s">
        <v>5220</v>
      </c>
      <c r="B5899" t="s">
        <v>389</v>
      </c>
      <c r="C5899" t="s">
        <v>390</v>
      </c>
    </row>
    <row r="5900" spans="1:6" x14ac:dyDescent="0.25">
      <c r="A5900" t="s">
        <v>5220</v>
      </c>
      <c r="B5900" t="s">
        <v>666</v>
      </c>
      <c r="C5900" t="s">
        <v>667</v>
      </c>
      <c r="D5900" t="str">
        <f>HYPERLINK("http://service.sap.com/sap/support/notes/1628661","1628661")</f>
        <v>1628661</v>
      </c>
      <c r="E5900">
        <v>2</v>
      </c>
      <c r="F5900" t="s">
        <v>796</v>
      </c>
    </row>
    <row r="5901" spans="1:6" x14ac:dyDescent="0.25">
      <c r="A5901" t="s">
        <v>5251</v>
      </c>
      <c r="B5901" t="s">
        <v>220</v>
      </c>
      <c r="C5901" t="s">
        <v>435</v>
      </c>
    </row>
    <row r="5902" spans="1:6" x14ac:dyDescent="0.25">
      <c r="A5902" t="s">
        <v>5251</v>
      </c>
      <c r="B5902" t="s">
        <v>436</v>
      </c>
      <c r="C5902" t="s">
        <v>437</v>
      </c>
    </row>
    <row r="5903" spans="1:6" x14ac:dyDescent="0.25">
      <c r="A5903" t="s">
        <v>5251</v>
      </c>
      <c r="B5903" t="s">
        <v>635</v>
      </c>
      <c r="C5903" t="s">
        <v>636</v>
      </c>
      <c r="D5903" t="str">
        <f>HYPERLINK("http://service.sap.com/sap/support/notes/1546076","1546076")</f>
        <v>1546076</v>
      </c>
      <c r="E5903">
        <v>6</v>
      </c>
      <c r="F5903" t="s">
        <v>673</v>
      </c>
    </row>
    <row r="5904" spans="1:6" x14ac:dyDescent="0.25">
      <c r="A5904" t="s">
        <v>5251</v>
      </c>
      <c r="B5904" t="s">
        <v>225</v>
      </c>
      <c r="C5904" t="s">
        <v>354</v>
      </c>
    </row>
    <row r="5905" spans="1:6" x14ac:dyDescent="0.25">
      <c r="A5905" t="s">
        <v>5251</v>
      </c>
      <c r="B5905" t="s">
        <v>226</v>
      </c>
      <c r="C5905" t="s">
        <v>355</v>
      </c>
    </row>
    <row r="5906" spans="1:6" x14ac:dyDescent="0.25">
      <c r="A5906" t="s">
        <v>5251</v>
      </c>
      <c r="B5906" t="s">
        <v>227</v>
      </c>
      <c r="C5906" t="s">
        <v>356</v>
      </c>
    </row>
    <row r="5907" spans="1:6" x14ac:dyDescent="0.25">
      <c r="A5907" t="s">
        <v>5251</v>
      </c>
      <c r="B5907" t="s">
        <v>228</v>
      </c>
      <c r="C5907" t="s">
        <v>357</v>
      </c>
      <c r="D5907" t="str">
        <f>HYPERLINK("http://service.sap.com/sap/support/notes/1637512","1637512")</f>
        <v>1637512</v>
      </c>
      <c r="E5907">
        <v>1</v>
      </c>
      <c r="F5907" t="s">
        <v>5252</v>
      </c>
    </row>
    <row r="5908" spans="1:6" x14ac:dyDescent="0.25">
      <c r="A5908" t="s">
        <v>5251</v>
      </c>
      <c r="B5908" t="s">
        <v>228</v>
      </c>
      <c r="C5908" t="s">
        <v>357</v>
      </c>
      <c r="D5908" t="str">
        <f>HYPERLINK("http://service.sap.com/sap/support/notes/1639494","1639494")</f>
        <v>1639494</v>
      </c>
      <c r="E5908">
        <v>1</v>
      </c>
      <c r="F5908" t="s">
        <v>5253</v>
      </c>
    </row>
    <row r="5909" spans="1:6" x14ac:dyDescent="0.25">
      <c r="A5909" t="s">
        <v>5251</v>
      </c>
      <c r="B5909" t="s">
        <v>228</v>
      </c>
      <c r="C5909" t="s">
        <v>357</v>
      </c>
      <c r="D5909" t="str">
        <f>HYPERLINK("http://service.sap.com/sap/support/notes/1639741","1639741")</f>
        <v>1639741</v>
      </c>
      <c r="E5909">
        <v>1</v>
      </c>
      <c r="F5909" t="s">
        <v>5254</v>
      </c>
    </row>
    <row r="5910" spans="1:6" x14ac:dyDescent="0.25">
      <c r="A5910" t="s">
        <v>5251</v>
      </c>
      <c r="B5910" t="s">
        <v>228</v>
      </c>
      <c r="C5910" t="s">
        <v>357</v>
      </c>
      <c r="D5910" t="str">
        <f>HYPERLINK("http://service.sap.com/sap/support/notes/1643466","1643466")</f>
        <v>1643466</v>
      </c>
      <c r="E5910">
        <v>1</v>
      </c>
      <c r="F5910" t="s">
        <v>5255</v>
      </c>
    </row>
    <row r="5911" spans="1:6" x14ac:dyDescent="0.25">
      <c r="A5911" t="s">
        <v>5251</v>
      </c>
      <c r="B5911" t="s">
        <v>15</v>
      </c>
      <c r="C5911" t="s">
        <v>16</v>
      </c>
    </row>
    <row r="5912" spans="1:6" x14ac:dyDescent="0.25">
      <c r="A5912" t="s">
        <v>5251</v>
      </c>
      <c r="B5912" t="s">
        <v>17</v>
      </c>
      <c r="C5912" t="s">
        <v>18</v>
      </c>
      <c r="D5912" t="str">
        <f>HYPERLINK("http://service.sap.com/sap/support/notes/1614488","1614488")</f>
        <v>1614488</v>
      </c>
      <c r="E5912">
        <v>5</v>
      </c>
      <c r="F5912" t="s">
        <v>5256</v>
      </c>
    </row>
    <row r="5913" spans="1:6" x14ac:dyDescent="0.25">
      <c r="A5913" t="s">
        <v>5251</v>
      </c>
      <c r="B5913" t="s">
        <v>17</v>
      </c>
      <c r="C5913" t="s">
        <v>18</v>
      </c>
      <c r="D5913" t="str">
        <f>HYPERLINK("http://service.sap.com/sap/support/notes/1622444","1622444")</f>
        <v>1622444</v>
      </c>
      <c r="E5913">
        <v>2</v>
      </c>
      <c r="F5913" t="s">
        <v>5257</v>
      </c>
    </row>
    <row r="5914" spans="1:6" x14ac:dyDescent="0.25">
      <c r="A5914" t="s">
        <v>5251</v>
      </c>
      <c r="B5914" t="s">
        <v>17</v>
      </c>
      <c r="C5914" t="s">
        <v>18</v>
      </c>
      <c r="D5914" t="str">
        <f>HYPERLINK("http://service.sap.com/sap/support/notes/1629131","1629131")</f>
        <v>1629131</v>
      </c>
      <c r="E5914">
        <v>2</v>
      </c>
      <c r="F5914" t="s">
        <v>5258</v>
      </c>
    </row>
    <row r="5915" spans="1:6" x14ac:dyDescent="0.25">
      <c r="A5915" t="s">
        <v>5251</v>
      </c>
      <c r="B5915" t="s">
        <v>17</v>
      </c>
      <c r="C5915" t="s">
        <v>18</v>
      </c>
      <c r="D5915" t="str">
        <f>HYPERLINK("http://service.sap.com/sap/support/notes/1630877","1630877")</f>
        <v>1630877</v>
      </c>
      <c r="E5915">
        <v>3</v>
      </c>
      <c r="F5915" t="s">
        <v>5259</v>
      </c>
    </row>
    <row r="5916" spans="1:6" x14ac:dyDescent="0.25">
      <c r="A5916" t="s">
        <v>5251</v>
      </c>
      <c r="B5916" t="s">
        <v>17</v>
      </c>
      <c r="C5916" t="s">
        <v>18</v>
      </c>
      <c r="D5916" t="str">
        <f>HYPERLINK("http://service.sap.com/sap/support/notes/1632685","1632685")</f>
        <v>1632685</v>
      </c>
      <c r="E5916">
        <v>1</v>
      </c>
      <c r="F5916" t="s">
        <v>5260</v>
      </c>
    </row>
    <row r="5917" spans="1:6" x14ac:dyDescent="0.25">
      <c r="A5917" t="s">
        <v>5251</v>
      </c>
      <c r="B5917" t="s">
        <v>17</v>
      </c>
      <c r="C5917" t="s">
        <v>18</v>
      </c>
      <c r="D5917" t="str">
        <f>HYPERLINK("http://service.sap.com/sap/support/notes/1638704","1638704")</f>
        <v>1638704</v>
      </c>
      <c r="E5917">
        <v>2</v>
      </c>
      <c r="F5917" t="s">
        <v>5261</v>
      </c>
    </row>
    <row r="5918" spans="1:6" x14ac:dyDescent="0.25">
      <c r="A5918" t="s">
        <v>5251</v>
      </c>
      <c r="B5918" t="s">
        <v>17</v>
      </c>
      <c r="C5918" t="s">
        <v>18</v>
      </c>
      <c r="D5918" t="str">
        <f>HYPERLINK("http://service.sap.com/sap/support/notes/1639284","1639284")</f>
        <v>1639284</v>
      </c>
      <c r="E5918">
        <v>3</v>
      </c>
      <c r="F5918" t="s">
        <v>5262</v>
      </c>
    </row>
    <row r="5919" spans="1:6" x14ac:dyDescent="0.25">
      <c r="A5919" t="s">
        <v>5251</v>
      </c>
      <c r="B5919" t="s">
        <v>17</v>
      </c>
      <c r="C5919" t="s">
        <v>18</v>
      </c>
      <c r="D5919" t="str">
        <f>HYPERLINK("http://service.sap.com/sap/support/notes/1640206","1640206")</f>
        <v>1640206</v>
      </c>
      <c r="E5919">
        <v>1</v>
      </c>
      <c r="F5919" t="s">
        <v>5263</v>
      </c>
    </row>
    <row r="5920" spans="1:6" x14ac:dyDescent="0.25">
      <c r="A5920" t="s">
        <v>5251</v>
      </c>
      <c r="B5920" t="s">
        <v>17</v>
      </c>
      <c r="C5920" t="s">
        <v>18</v>
      </c>
      <c r="D5920" t="str">
        <f>HYPERLINK("http://service.sap.com/sap/support/notes/1640245","1640245")</f>
        <v>1640245</v>
      </c>
      <c r="E5920">
        <v>1</v>
      </c>
      <c r="F5920" t="s">
        <v>5264</v>
      </c>
    </row>
    <row r="5921" spans="1:6" x14ac:dyDescent="0.25">
      <c r="A5921" t="s">
        <v>5251</v>
      </c>
      <c r="B5921" t="s">
        <v>17</v>
      </c>
      <c r="C5921" t="s">
        <v>18</v>
      </c>
      <c r="D5921" t="str">
        <f>HYPERLINK("http://service.sap.com/sap/support/notes/1641233","1641233")</f>
        <v>1641233</v>
      </c>
      <c r="E5921">
        <v>2</v>
      </c>
      <c r="F5921" t="s">
        <v>5265</v>
      </c>
    </row>
    <row r="5922" spans="1:6" x14ac:dyDescent="0.25">
      <c r="A5922" t="s">
        <v>5251</v>
      </c>
      <c r="B5922" t="s">
        <v>17</v>
      </c>
      <c r="C5922" t="s">
        <v>18</v>
      </c>
      <c r="D5922" t="str">
        <f>HYPERLINK("http://service.sap.com/sap/support/notes/1641787","1641787")</f>
        <v>1641787</v>
      </c>
      <c r="E5922">
        <v>2</v>
      </c>
      <c r="F5922" t="s">
        <v>5266</v>
      </c>
    </row>
    <row r="5923" spans="1:6" x14ac:dyDescent="0.25">
      <c r="A5923" t="s">
        <v>5251</v>
      </c>
      <c r="B5923" t="s">
        <v>17</v>
      </c>
      <c r="C5923" t="s">
        <v>18</v>
      </c>
      <c r="D5923" t="str">
        <f>HYPERLINK("http://service.sap.com/sap/support/notes/1642873","1642873")</f>
        <v>1642873</v>
      </c>
      <c r="E5923">
        <v>2</v>
      </c>
      <c r="F5923" t="s">
        <v>5267</v>
      </c>
    </row>
    <row r="5924" spans="1:6" x14ac:dyDescent="0.25">
      <c r="A5924" t="s">
        <v>5251</v>
      </c>
      <c r="B5924" t="s">
        <v>17</v>
      </c>
      <c r="C5924" t="s">
        <v>18</v>
      </c>
      <c r="D5924" t="str">
        <f>HYPERLINK("http://service.sap.com/sap/support/notes/1643592","1643592")</f>
        <v>1643592</v>
      </c>
      <c r="E5924">
        <v>1</v>
      </c>
      <c r="F5924" t="s">
        <v>5268</v>
      </c>
    </row>
    <row r="5925" spans="1:6" x14ac:dyDescent="0.25">
      <c r="A5925" t="s">
        <v>5251</v>
      </c>
      <c r="B5925" t="s">
        <v>17</v>
      </c>
      <c r="C5925" t="s">
        <v>18</v>
      </c>
      <c r="D5925" t="str">
        <f>HYPERLINK("http://service.sap.com/sap/support/notes/1643746","1643746")</f>
        <v>1643746</v>
      </c>
      <c r="E5925">
        <v>1</v>
      </c>
      <c r="F5925" t="s">
        <v>5269</v>
      </c>
    </row>
    <row r="5926" spans="1:6" x14ac:dyDescent="0.25">
      <c r="A5926" t="s">
        <v>5251</v>
      </c>
      <c r="B5926" t="s">
        <v>19</v>
      </c>
      <c r="C5926" t="s">
        <v>20</v>
      </c>
      <c r="D5926" t="str">
        <f>HYPERLINK("http://service.sap.com/sap/support/notes/1595270","1595270")</f>
        <v>1595270</v>
      </c>
      <c r="E5926">
        <v>2</v>
      </c>
      <c r="F5926" t="s">
        <v>445</v>
      </c>
    </row>
    <row r="5927" spans="1:6" x14ac:dyDescent="0.25">
      <c r="A5927" t="s">
        <v>5251</v>
      </c>
      <c r="B5927" t="s">
        <v>19</v>
      </c>
      <c r="C5927" t="s">
        <v>20</v>
      </c>
      <c r="D5927" t="str">
        <f>HYPERLINK("http://service.sap.com/sap/support/notes/1628700","1628700")</f>
        <v>1628700</v>
      </c>
      <c r="E5927">
        <v>1</v>
      </c>
      <c r="F5927" t="s">
        <v>5270</v>
      </c>
    </row>
    <row r="5928" spans="1:6" x14ac:dyDescent="0.25">
      <c r="A5928" t="s">
        <v>5251</v>
      </c>
      <c r="B5928" t="s">
        <v>19</v>
      </c>
      <c r="C5928" t="s">
        <v>20</v>
      </c>
      <c r="D5928" t="str">
        <f>HYPERLINK("http://service.sap.com/sap/support/notes/1630594","1630594")</f>
        <v>1630594</v>
      </c>
      <c r="E5928">
        <v>1</v>
      </c>
      <c r="F5928" t="s">
        <v>5271</v>
      </c>
    </row>
    <row r="5929" spans="1:6" x14ac:dyDescent="0.25">
      <c r="A5929" t="s">
        <v>5251</v>
      </c>
      <c r="B5929" t="s">
        <v>19</v>
      </c>
      <c r="C5929" t="s">
        <v>20</v>
      </c>
      <c r="D5929" t="str">
        <f>HYPERLINK("http://service.sap.com/sap/support/notes/1630601","1630601")</f>
        <v>1630601</v>
      </c>
      <c r="E5929">
        <v>2</v>
      </c>
      <c r="F5929" t="s">
        <v>797</v>
      </c>
    </row>
    <row r="5930" spans="1:6" x14ac:dyDescent="0.25">
      <c r="A5930" t="s">
        <v>5251</v>
      </c>
      <c r="B5930" t="s">
        <v>19</v>
      </c>
      <c r="C5930" t="s">
        <v>20</v>
      </c>
      <c r="D5930" t="str">
        <f>HYPERLINK("http://service.sap.com/sap/support/notes/1631937","1631937")</f>
        <v>1631937</v>
      </c>
      <c r="E5930">
        <v>1</v>
      </c>
      <c r="F5930" t="s">
        <v>5272</v>
      </c>
    </row>
    <row r="5931" spans="1:6" x14ac:dyDescent="0.25">
      <c r="A5931" t="s">
        <v>5251</v>
      </c>
      <c r="B5931" t="s">
        <v>19</v>
      </c>
      <c r="C5931" t="s">
        <v>20</v>
      </c>
      <c r="D5931" t="str">
        <f>HYPERLINK("http://service.sap.com/sap/support/notes/1632025","1632025")</f>
        <v>1632025</v>
      </c>
      <c r="E5931">
        <v>1</v>
      </c>
      <c r="F5931" t="s">
        <v>5273</v>
      </c>
    </row>
    <row r="5932" spans="1:6" x14ac:dyDescent="0.25">
      <c r="A5932" t="s">
        <v>5251</v>
      </c>
      <c r="B5932" t="s">
        <v>19</v>
      </c>
      <c r="C5932" t="s">
        <v>20</v>
      </c>
      <c r="D5932" t="str">
        <f>HYPERLINK("http://service.sap.com/sap/support/notes/1633039","1633039")</f>
        <v>1633039</v>
      </c>
      <c r="E5932">
        <v>1</v>
      </c>
      <c r="F5932" t="s">
        <v>5274</v>
      </c>
    </row>
    <row r="5933" spans="1:6" x14ac:dyDescent="0.25">
      <c r="A5933" t="s">
        <v>5251</v>
      </c>
      <c r="B5933" t="s">
        <v>19</v>
      </c>
      <c r="C5933" t="s">
        <v>20</v>
      </c>
      <c r="D5933" t="str">
        <f>HYPERLINK("http://service.sap.com/sap/support/notes/1633573","1633573")</f>
        <v>1633573</v>
      </c>
      <c r="E5933">
        <v>1</v>
      </c>
      <c r="F5933" t="s">
        <v>5275</v>
      </c>
    </row>
    <row r="5934" spans="1:6" x14ac:dyDescent="0.25">
      <c r="A5934" t="s">
        <v>5251</v>
      </c>
      <c r="B5934" t="s">
        <v>19</v>
      </c>
      <c r="C5934" t="s">
        <v>20</v>
      </c>
      <c r="D5934" t="str">
        <f>HYPERLINK("http://service.sap.com/sap/support/notes/1634758","1634758")</f>
        <v>1634758</v>
      </c>
      <c r="E5934">
        <v>2</v>
      </c>
      <c r="F5934" t="s">
        <v>5276</v>
      </c>
    </row>
    <row r="5935" spans="1:6" x14ac:dyDescent="0.25">
      <c r="A5935" t="s">
        <v>5251</v>
      </c>
      <c r="B5935" t="s">
        <v>19</v>
      </c>
      <c r="C5935" t="s">
        <v>20</v>
      </c>
      <c r="D5935" t="str">
        <f>HYPERLINK("http://service.sap.com/sap/support/notes/1634814","1634814")</f>
        <v>1634814</v>
      </c>
      <c r="E5935">
        <v>1</v>
      </c>
      <c r="F5935" t="s">
        <v>5277</v>
      </c>
    </row>
    <row r="5936" spans="1:6" x14ac:dyDescent="0.25">
      <c r="A5936" t="s">
        <v>5251</v>
      </c>
      <c r="B5936" t="s">
        <v>19</v>
      </c>
      <c r="C5936" t="s">
        <v>20</v>
      </c>
      <c r="D5936" t="str">
        <f>HYPERLINK("http://service.sap.com/sap/support/notes/1636078","1636078")</f>
        <v>1636078</v>
      </c>
      <c r="E5936">
        <v>2</v>
      </c>
      <c r="F5936" t="s">
        <v>5278</v>
      </c>
    </row>
    <row r="5937" spans="1:6" x14ac:dyDescent="0.25">
      <c r="A5937" t="s">
        <v>5251</v>
      </c>
      <c r="B5937" t="s">
        <v>19</v>
      </c>
      <c r="C5937" t="s">
        <v>20</v>
      </c>
      <c r="D5937" t="str">
        <f>HYPERLINK("http://service.sap.com/sap/support/notes/1636128","1636128")</f>
        <v>1636128</v>
      </c>
      <c r="E5937">
        <v>1</v>
      </c>
      <c r="F5937" t="s">
        <v>5279</v>
      </c>
    </row>
    <row r="5938" spans="1:6" x14ac:dyDescent="0.25">
      <c r="A5938" t="s">
        <v>5251</v>
      </c>
      <c r="B5938" t="s">
        <v>19</v>
      </c>
      <c r="C5938" t="s">
        <v>20</v>
      </c>
      <c r="D5938" t="str">
        <f>HYPERLINK("http://service.sap.com/sap/support/notes/1636729","1636729")</f>
        <v>1636729</v>
      </c>
      <c r="E5938">
        <v>1</v>
      </c>
      <c r="F5938" t="s">
        <v>5280</v>
      </c>
    </row>
    <row r="5939" spans="1:6" x14ac:dyDescent="0.25">
      <c r="A5939" t="s">
        <v>5251</v>
      </c>
      <c r="B5939" t="s">
        <v>19</v>
      </c>
      <c r="C5939" t="s">
        <v>20</v>
      </c>
      <c r="D5939" t="str">
        <f>HYPERLINK("http://service.sap.com/sap/support/notes/1636737","1636737")</f>
        <v>1636737</v>
      </c>
      <c r="E5939">
        <v>1</v>
      </c>
      <c r="F5939" t="s">
        <v>5281</v>
      </c>
    </row>
    <row r="5940" spans="1:6" x14ac:dyDescent="0.25">
      <c r="A5940" t="s">
        <v>5251</v>
      </c>
      <c r="B5940" t="s">
        <v>19</v>
      </c>
      <c r="C5940" t="s">
        <v>20</v>
      </c>
      <c r="D5940" t="str">
        <f>HYPERLINK("http://service.sap.com/sap/support/notes/1636754","1636754")</f>
        <v>1636754</v>
      </c>
      <c r="E5940">
        <v>1</v>
      </c>
      <c r="F5940" t="s">
        <v>5282</v>
      </c>
    </row>
    <row r="5941" spans="1:6" x14ac:dyDescent="0.25">
      <c r="A5941" t="s">
        <v>5251</v>
      </c>
      <c r="B5941" t="s">
        <v>19</v>
      </c>
      <c r="C5941" t="s">
        <v>20</v>
      </c>
      <c r="D5941" t="str">
        <f>HYPERLINK("http://service.sap.com/sap/support/notes/1637049","1637049")</f>
        <v>1637049</v>
      </c>
      <c r="E5941">
        <v>1</v>
      </c>
      <c r="F5941" t="s">
        <v>5283</v>
      </c>
    </row>
    <row r="5942" spans="1:6" x14ac:dyDescent="0.25">
      <c r="A5942" t="s">
        <v>5251</v>
      </c>
      <c r="B5942" t="s">
        <v>19</v>
      </c>
      <c r="C5942" t="s">
        <v>20</v>
      </c>
      <c r="D5942" t="str">
        <f>HYPERLINK("http://service.sap.com/sap/support/notes/1637295","1637295")</f>
        <v>1637295</v>
      </c>
      <c r="E5942">
        <v>1</v>
      </c>
      <c r="F5942" t="s">
        <v>5284</v>
      </c>
    </row>
    <row r="5943" spans="1:6" x14ac:dyDescent="0.25">
      <c r="A5943" t="s">
        <v>5251</v>
      </c>
      <c r="B5943" t="s">
        <v>19</v>
      </c>
      <c r="C5943" t="s">
        <v>20</v>
      </c>
      <c r="D5943" t="str">
        <f>HYPERLINK("http://service.sap.com/sap/support/notes/1638129","1638129")</f>
        <v>1638129</v>
      </c>
      <c r="E5943">
        <v>1</v>
      </c>
      <c r="F5943" t="s">
        <v>5285</v>
      </c>
    </row>
    <row r="5944" spans="1:6" x14ac:dyDescent="0.25">
      <c r="A5944" t="s">
        <v>5251</v>
      </c>
      <c r="B5944" t="s">
        <v>19</v>
      </c>
      <c r="C5944" t="s">
        <v>20</v>
      </c>
      <c r="D5944" t="str">
        <f>HYPERLINK("http://service.sap.com/sap/support/notes/1638905","1638905")</f>
        <v>1638905</v>
      </c>
      <c r="E5944">
        <v>4</v>
      </c>
      <c r="F5944" t="s">
        <v>5286</v>
      </c>
    </row>
    <row r="5945" spans="1:6" x14ac:dyDescent="0.25">
      <c r="A5945" t="s">
        <v>5251</v>
      </c>
      <c r="B5945" t="s">
        <v>19</v>
      </c>
      <c r="C5945" t="s">
        <v>20</v>
      </c>
      <c r="D5945" t="str">
        <f>HYPERLINK("http://service.sap.com/sap/support/notes/1639309","1639309")</f>
        <v>1639309</v>
      </c>
      <c r="E5945">
        <v>1</v>
      </c>
      <c r="F5945" t="s">
        <v>5287</v>
      </c>
    </row>
    <row r="5946" spans="1:6" x14ac:dyDescent="0.25">
      <c r="A5946" t="s">
        <v>5251</v>
      </c>
      <c r="B5946" t="s">
        <v>19</v>
      </c>
      <c r="C5946" t="s">
        <v>20</v>
      </c>
      <c r="D5946" t="str">
        <f>HYPERLINK("http://service.sap.com/sap/support/notes/1639599","1639599")</f>
        <v>1639599</v>
      </c>
      <c r="E5946">
        <v>1</v>
      </c>
      <c r="F5946" t="s">
        <v>5288</v>
      </c>
    </row>
    <row r="5947" spans="1:6" x14ac:dyDescent="0.25">
      <c r="A5947" t="s">
        <v>5251</v>
      </c>
      <c r="B5947" t="s">
        <v>19</v>
      </c>
      <c r="C5947" t="s">
        <v>20</v>
      </c>
      <c r="D5947" t="str">
        <f>HYPERLINK("http://service.sap.com/sap/support/notes/1640516","1640516")</f>
        <v>1640516</v>
      </c>
      <c r="E5947">
        <v>1</v>
      </c>
      <c r="F5947" t="s">
        <v>5289</v>
      </c>
    </row>
    <row r="5948" spans="1:6" x14ac:dyDescent="0.25">
      <c r="A5948" t="s">
        <v>5251</v>
      </c>
      <c r="B5948" t="s">
        <v>19</v>
      </c>
      <c r="C5948" t="s">
        <v>20</v>
      </c>
      <c r="D5948" t="str">
        <f>HYPERLINK("http://service.sap.com/sap/support/notes/1641311","1641311")</f>
        <v>1641311</v>
      </c>
      <c r="E5948">
        <v>3</v>
      </c>
      <c r="F5948" t="s">
        <v>5290</v>
      </c>
    </row>
    <row r="5949" spans="1:6" x14ac:dyDescent="0.25">
      <c r="A5949" t="s">
        <v>5251</v>
      </c>
      <c r="B5949" t="s">
        <v>19</v>
      </c>
      <c r="C5949" t="s">
        <v>20</v>
      </c>
      <c r="D5949" t="str">
        <f>HYPERLINK("http://service.sap.com/sap/support/notes/1641577","1641577")</f>
        <v>1641577</v>
      </c>
      <c r="E5949">
        <v>1</v>
      </c>
      <c r="F5949" t="s">
        <v>5291</v>
      </c>
    </row>
    <row r="5950" spans="1:6" x14ac:dyDescent="0.25">
      <c r="A5950" t="s">
        <v>5251</v>
      </c>
      <c r="B5950" t="s">
        <v>19</v>
      </c>
      <c r="C5950" t="s">
        <v>20</v>
      </c>
      <c r="D5950" t="str">
        <f>HYPERLINK("http://service.sap.com/sap/support/notes/1641843","1641843")</f>
        <v>1641843</v>
      </c>
      <c r="E5950">
        <v>1</v>
      </c>
      <c r="F5950" t="s">
        <v>5292</v>
      </c>
    </row>
    <row r="5951" spans="1:6" x14ac:dyDescent="0.25">
      <c r="A5951" t="s">
        <v>5251</v>
      </c>
      <c r="B5951" t="s">
        <v>19</v>
      </c>
      <c r="C5951" t="s">
        <v>20</v>
      </c>
      <c r="D5951" t="str">
        <f>HYPERLINK("http://service.sap.com/sap/support/notes/1642119","1642119")</f>
        <v>1642119</v>
      </c>
      <c r="E5951">
        <v>2</v>
      </c>
      <c r="F5951" t="s">
        <v>5293</v>
      </c>
    </row>
    <row r="5952" spans="1:6" x14ac:dyDescent="0.25">
      <c r="A5952" t="s">
        <v>5251</v>
      </c>
      <c r="B5952" t="s">
        <v>19</v>
      </c>
      <c r="C5952" t="s">
        <v>20</v>
      </c>
      <c r="D5952" t="str">
        <f>HYPERLINK("http://service.sap.com/sap/support/notes/1642248","1642248")</f>
        <v>1642248</v>
      </c>
      <c r="E5952">
        <v>1</v>
      </c>
      <c r="F5952" t="s">
        <v>5294</v>
      </c>
    </row>
    <row r="5953" spans="1:6" x14ac:dyDescent="0.25">
      <c r="A5953" t="s">
        <v>5251</v>
      </c>
      <c r="B5953" t="s">
        <v>19</v>
      </c>
      <c r="C5953" t="s">
        <v>20</v>
      </c>
      <c r="D5953" t="str">
        <f>HYPERLINK("http://service.sap.com/sap/support/notes/1642269","1642269")</f>
        <v>1642269</v>
      </c>
      <c r="E5953">
        <v>1</v>
      </c>
      <c r="F5953" t="s">
        <v>5295</v>
      </c>
    </row>
    <row r="5954" spans="1:6" x14ac:dyDescent="0.25">
      <c r="A5954" t="s">
        <v>5251</v>
      </c>
      <c r="B5954" t="s">
        <v>19</v>
      </c>
      <c r="C5954" t="s">
        <v>20</v>
      </c>
      <c r="D5954" t="str">
        <f>HYPERLINK("http://service.sap.com/sap/support/notes/1643586","1643586")</f>
        <v>1643586</v>
      </c>
      <c r="E5954">
        <v>2</v>
      </c>
      <c r="F5954" t="s">
        <v>5296</v>
      </c>
    </row>
    <row r="5955" spans="1:6" x14ac:dyDescent="0.25">
      <c r="A5955" t="s">
        <v>5251</v>
      </c>
      <c r="B5955" t="s">
        <v>19</v>
      </c>
      <c r="C5955" t="s">
        <v>20</v>
      </c>
      <c r="D5955" t="str">
        <f>HYPERLINK("http://service.sap.com/sap/support/notes/1643851","1643851")</f>
        <v>1643851</v>
      </c>
      <c r="E5955">
        <v>3</v>
      </c>
      <c r="F5955" t="s">
        <v>5297</v>
      </c>
    </row>
    <row r="5956" spans="1:6" x14ac:dyDescent="0.25">
      <c r="A5956" t="s">
        <v>5251</v>
      </c>
      <c r="B5956" t="s">
        <v>19</v>
      </c>
      <c r="C5956" t="s">
        <v>20</v>
      </c>
      <c r="D5956" t="str">
        <f>HYPERLINK("http://service.sap.com/sap/support/notes/1643894","1643894")</f>
        <v>1643894</v>
      </c>
      <c r="E5956">
        <v>1</v>
      </c>
      <c r="F5956" t="s">
        <v>5298</v>
      </c>
    </row>
    <row r="5957" spans="1:6" x14ac:dyDescent="0.25">
      <c r="A5957" t="s">
        <v>5251</v>
      </c>
      <c r="B5957" t="s">
        <v>19</v>
      </c>
      <c r="C5957" t="s">
        <v>20</v>
      </c>
      <c r="D5957" t="str">
        <f>HYPERLINK("http://service.sap.com/sap/support/notes/1644269","1644269")</f>
        <v>1644269</v>
      </c>
      <c r="E5957">
        <v>2</v>
      </c>
      <c r="F5957" t="s">
        <v>5299</v>
      </c>
    </row>
    <row r="5958" spans="1:6" x14ac:dyDescent="0.25">
      <c r="A5958" t="s">
        <v>5251</v>
      </c>
      <c r="B5958" t="s">
        <v>446</v>
      </c>
      <c r="C5958" t="s">
        <v>447</v>
      </c>
      <c r="D5958" t="str">
        <f>HYPERLINK("http://service.sap.com/sap/support/notes/1618537","1618537")</f>
        <v>1618537</v>
      </c>
      <c r="E5958">
        <v>2</v>
      </c>
      <c r="F5958" t="s">
        <v>5300</v>
      </c>
    </row>
    <row r="5959" spans="1:6" x14ac:dyDescent="0.25">
      <c r="A5959" t="s">
        <v>5251</v>
      </c>
      <c r="B5959" t="s">
        <v>446</v>
      </c>
      <c r="C5959" t="s">
        <v>447</v>
      </c>
      <c r="D5959" t="str">
        <f>HYPERLINK("http://service.sap.com/sap/support/notes/1627432","1627432")</f>
        <v>1627432</v>
      </c>
      <c r="E5959">
        <v>2</v>
      </c>
      <c r="F5959" t="s">
        <v>5229</v>
      </c>
    </row>
    <row r="5960" spans="1:6" x14ac:dyDescent="0.25">
      <c r="A5960" t="s">
        <v>5251</v>
      </c>
      <c r="B5960" t="s">
        <v>446</v>
      </c>
      <c r="C5960" t="s">
        <v>447</v>
      </c>
      <c r="D5960" t="str">
        <f>HYPERLINK("http://service.sap.com/sap/support/notes/1633239","1633239")</f>
        <v>1633239</v>
      </c>
      <c r="E5960">
        <v>1</v>
      </c>
      <c r="F5960" t="s">
        <v>5301</v>
      </c>
    </row>
    <row r="5961" spans="1:6" x14ac:dyDescent="0.25">
      <c r="A5961" t="s">
        <v>5251</v>
      </c>
      <c r="B5961" t="s">
        <v>446</v>
      </c>
      <c r="C5961" t="s">
        <v>447</v>
      </c>
      <c r="D5961" t="str">
        <f>HYPERLINK("http://service.sap.com/sap/support/notes/1635119","1635119")</f>
        <v>1635119</v>
      </c>
      <c r="E5961">
        <v>2</v>
      </c>
      <c r="F5961" t="s">
        <v>5302</v>
      </c>
    </row>
    <row r="5962" spans="1:6" x14ac:dyDescent="0.25">
      <c r="A5962" t="s">
        <v>5251</v>
      </c>
      <c r="B5962" t="s">
        <v>446</v>
      </c>
      <c r="C5962" t="s">
        <v>447</v>
      </c>
      <c r="D5962" t="str">
        <f>HYPERLINK("http://service.sap.com/sap/support/notes/1635755","1635755")</f>
        <v>1635755</v>
      </c>
      <c r="E5962">
        <v>1</v>
      </c>
      <c r="F5962" t="s">
        <v>5303</v>
      </c>
    </row>
    <row r="5963" spans="1:6" x14ac:dyDescent="0.25">
      <c r="A5963" t="s">
        <v>5251</v>
      </c>
      <c r="B5963" t="s">
        <v>446</v>
      </c>
      <c r="C5963" t="s">
        <v>447</v>
      </c>
      <c r="D5963" t="str">
        <f>HYPERLINK("http://service.sap.com/sap/support/notes/1638662","1638662")</f>
        <v>1638662</v>
      </c>
      <c r="E5963">
        <v>1</v>
      </c>
      <c r="F5963" t="s">
        <v>5304</v>
      </c>
    </row>
    <row r="5964" spans="1:6" x14ac:dyDescent="0.25">
      <c r="A5964" t="s">
        <v>5251</v>
      </c>
      <c r="B5964" t="s">
        <v>446</v>
      </c>
      <c r="C5964" t="s">
        <v>447</v>
      </c>
      <c r="D5964" t="str">
        <f>HYPERLINK("http://service.sap.com/sap/support/notes/1639285","1639285")</f>
        <v>1639285</v>
      </c>
      <c r="E5964">
        <v>1</v>
      </c>
      <c r="F5964" t="s">
        <v>5305</v>
      </c>
    </row>
    <row r="5965" spans="1:6" x14ac:dyDescent="0.25">
      <c r="A5965" t="s">
        <v>5251</v>
      </c>
      <c r="B5965" t="s">
        <v>446</v>
      </c>
      <c r="C5965" t="s">
        <v>447</v>
      </c>
      <c r="D5965" t="str">
        <f>HYPERLINK("http://service.sap.com/sap/support/notes/1640763","1640763")</f>
        <v>1640763</v>
      </c>
      <c r="E5965">
        <v>1</v>
      </c>
      <c r="F5965" t="s">
        <v>5306</v>
      </c>
    </row>
    <row r="5966" spans="1:6" x14ac:dyDescent="0.25">
      <c r="A5966" t="s">
        <v>5251</v>
      </c>
      <c r="B5966" t="s">
        <v>446</v>
      </c>
      <c r="C5966" t="s">
        <v>447</v>
      </c>
      <c r="D5966" t="str">
        <f>HYPERLINK("http://service.sap.com/sap/support/notes/1642042","1642042")</f>
        <v>1642042</v>
      </c>
      <c r="E5966">
        <v>1</v>
      </c>
      <c r="F5966" t="s">
        <v>5307</v>
      </c>
    </row>
    <row r="5967" spans="1:6" x14ac:dyDescent="0.25">
      <c r="A5967" t="s">
        <v>5251</v>
      </c>
      <c r="B5967" t="s">
        <v>446</v>
      </c>
      <c r="C5967" t="s">
        <v>447</v>
      </c>
      <c r="D5967" t="str">
        <f>HYPERLINK("http://service.sap.com/sap/support/notes/1643107","1643107")</f>
        <v>1643107</v>
      </c>
      <c r="E5967">
        <v>1</v>
      </c>
      <c r="F5967" t="s">
        <v>5308</v>
      </c>
    </row>
    <row r="5968" spans="1:6" x14ac:dyDescent="0.25">
      <c r="A5968" t="s">
        <v>5251</v>
      </c>
      <c r="B5968" t="s">
        <v>446</v>
      </c>
      <c r="C5968" t="s">
        <v>447</v>
      </c>
      <c r="D5968" t="str">
        <f>HYPERLINK("http://service.sap.com/sap/support/notes/1643650","1643650")</f>
        <v>1643650</v>
      </c>
      <c r="E5968">
        <v>1</v>
      </c>
      <c r="F5968" t="s">
        <v>5309</v>
      </c>
    </row>
    <row r="5969" spans="1:6" x14ac:dyDescent="0.25">
      <c r="A5969" t="s">
        <v>5251</v>
      </c>
      <c r="B5969" t="s">
        <v>448</v>
      </c>
      <c r="C5969" t="s">
        <v>449</v>
      </c>
      <c r="D5969" t="str">
        <f>HYPERLINK("http://service.sap.com/sap/support/notes/1638934","1638934")</f>
        <v>1638934</v>
      </c>
      <c r="E5969">
        <v>1</v>
      </c>
      <c r="F5969" t="s">
        <v>5310</v>
      </c>
    </row>
    <row r="5970" spans="1:6" x14ac:dyDescent="0.25">
      <c r="A5970" t="s">
        <v>5251</v>
      </c>
      <c r="B5970" t="s">
        <v>448</v>
      </c>
      <c r="C5970" t="s">
        <v>449</v>
      </c>
      <c r="D5970" t="str">
        <f>HYPERLINK("http://service.sap.com/sap/support/notes/1640700","1640700")</f>
        <v>1640700</v>
      </c>
      <c r="E5970">
        <v>1</v>
      </c>
      <c r="F5970" t="s">
        <v>5311</v>
      </c>
    </row>
    <row r="5971" spans="1:6" x14ac:dyDescent="0.25">
      <c r="A5971" t="s">
        <v>5251</v>
      </c>
      <c r="B5971" t="s">
        <v>450</v>
      </c>
      <c r="C5971" t="s">
        <v>451</v>
      </c>
      <c r="D5971" t="str">
        <f>HYPERLINK("http://service.sap.com/sap/support/notes/1637132","1637132")</f>
        <v>1637132</v>
      </c>
      <c r="E5971">
        <v>1</v>
      </c>
      <c r="F5971" t="s">
        <v>5312</v>
      </c>
    </row>
    <row r="5972" spans="1:6" x14ac:dyDescent="0.25">
      <c r="A5972" t="s">
        <v>5251</v>
      </c>
      <c r="B5972" t="s">
        <v>453</v>
      </c>
      <c r="C5972" t="s">
        <v>454</v>
      </c>
      <c r="D5972" t="str">
        <f>HYPERLINK("http://service.sap.com/sap/support/notes/1385146","1385146")</f>
        <v>1385146</v>
      </c>
      <c r="E5972">
        <v>5</v>
      </c>
      <c r="F5972" t="s">
        <v>678</v>
      </c>
    </row>
    <row r="5973" spans="1:6" x14ac:dyDescent="0.25">
      <c r="A5973" t="s">
        <v>5251</v>
      </c>
      <c r="B5973" t="s">
        <v>21</v>
      </c>
      <c r="C5973" t="s">
        <v>12</v>
      </c>
    </row>
    <row r="5974" spans="1:6" x14ac:dyDescent="0.25">
      <c r="A5974" t="s">
        <v>5251</v>
      </c>
      <c r="B5974" t="s">
        <v>455</v>
      </c>
      <c r="C5974" t="s">
        <v>456</v>
      </c>
      <c r="D5974" t="str">
        <f>HYPERLINK("http://service.sap.com/sap/support/notes/1624915","1624915")</f>
        <v>1624915</v>
      </c>
      <c r="E5974">
        <v>3</v>
      </c>
      <c r="F5974" t="s">
        <v>5313</v>
      </c>
    </row>
    <row r="5975" spans="1:6" x14ac:dyDescent="0.25">
      <c r="A5975" t="s">
        <v>5251</v>
      </c>
      <c r="B5975" t="s">
        <v>455</v>
      </c>
      <c r="C5975" t="s">
        <v>456</v>
      </c>
      <c r="D5975" t="str">
        <f>HYPERLINK("http://service.sap.com/sap/support/notes/1631037","1631037")</f>
        <v>1631037</v>
      </c>
      <c r="E5975">
        <v>4</v>
      </c>
      <c r="F5975" t="s">
        <v>5314</v>
      </c>
    </row>
    <row r="5976" spans="1:6" x14ac:dyDescent="0.25">
      <c r="A5976" t="s">
        <v>5251</v>
      </c>
      <c r="B5976" t="s">
        <v>455</v>
      </c>
      <c r="C5976" t="s">
        <v>456</v>
      </c>
      <c r="D5976" t="str">
        <f>HYPERLINK("http://service.sap.com/sap/support/notes/1631412","1631412")</f>
        <v>1631412</v>
      </c>
      <c r="E5976">
        <v>5</v>
      </c>
      <c r="F5976" t="s">
        <v>5315</v>
      </c>
    </row>
    <row r="5977" spans="1:6" x14ac:dyDescent="0.25">
      <c r="A5977" t="s">
        <v>5251</v>
      </c>
      <c r="B5977" t="s">
        <v>455</v>
      </c>
      <c r="C5977" t="s">
        <v>456</v>
      </c>
      <c r="D5977" t="str">
        <f>HYPERLINK("http://service.sap.com/sap/support/notes/1636138","1636138")</f>
        <v>1636138</v>
      </c>
      <c r="E5977">
        <v>1</v>
      </c>
      <c r="F5977" t="s">
        <v>5316</v>
      </c>
    </row>
    <row r="5978" spans="1:6" x14ac:dyDescent="0.25">
      <c r="A5978" t="s">
        <v>5251</v>
      </c>
      <c r="B5978" t="s">
        <v>378</v>
      </c>
      <c r="C5978" t="s">
        <v>379</v>
      </c>
      <c r="D5978" t="str">
        <f>HYPERLINK("http://service.sap.com/sap/support/notes/1630094","1630094")</f>
        <v>1630094</v>
      </c>
      <c r="E5978">
        <v>3</v>
      </c>
      <c r="F5978" t="s">
        <v>5317</v>
      </c>
    </row>
    <row r="5979" spans="1:6" x14ac:dyDescent="0.25">
      <c r="A5979" t="s">
        <v>5251</v>
      </c>
      <c r="B5979" t="s">
        <v>378</v>
      </c>
      <c r="C5979" t="s">
        <v>379</v>
      </c>
      <c r="D5979" t="str">
        <f>HYPERLINK("http://service.sap.com/sap/support/notes/1633931","1633931")</f>
        <v>1633931</v>
      </c>
      <c r="E5979">
        <v>1</v>
      </c>
      <c r="F5979" t="s">
        <v>5318</v>
      </c>
    </row>
    <row r="5980" spans="1:6" x14ac:dyDescent="0.25">
      <c r="A5980" t="s">
        <v>5251</v>
      </c>
      <c r="B5980" t="s">
        <v>378</v>
      </c>
      <c r="C5980" t="s">
        <v>379</v>
      </c>
      <c r="D5980" t="str">
        <f>HYPERLINK("http://service.sap.com/sap/support/notes/1636803","1636803")</f>
        <v>1636803</v>
      </c>
      <c r="E5980">
        <v>2</v>
      </c>
      <c r="F5980" t="s">
        <v>5319</v>
      </c>
    </row>
    <row r="5981" spans="1:6" x14ac:dyDescent="0.25">
      <c r="A5981" t="s">
        <v>5251</v>
      </c>
      <c r="B5981" t="s">
        <v>378</v>
      </c>
      <c r="C5981" t="s">
        <v>379</v>
      </c>
      <c r="D5981" t="str">
        <f>HYPERLINK("http://service.sap.com/sap/support/notes/1637843","1637843")</f>
        <v>1637843</v>
      </c>
      <c r="E5981">
        <v>1</v>
      </c>
      <c r="F5981" t="s">
        <v>5320</v>
      </c>
    </row>
    <row r="5982" spans="1:6" x14ac:dyDescent="0.25">
      <c r="A5982" t="s">
        <v>5251</v>
      </c>
      <c r="B5982" t="s">
        <v>378</v>
      </c>
      <c r="C5982" t="s">
        <v>379</v>
      </c>
      <c r="D5982" t="str">
        <f>HYPERLINK("http://service.sap.com/sap/support/notes/1638420","1638420")</f>
        <v>1638420</v>
      </c>
      <c r="E5982">
        <v>1</v>
      </c>
      <c r="F5982" t="s">
        <v>5321</v>
      </c>
    </row>
    <row r="5983" spans="1:6" x14ac:dyDescent="0.25">
      <c r="A5983" t="s">
        <v>5251</v>
      </c>
      <c r="B5983" t="s">
        <v>378</v>
      </c>
      <c r="C5983" t="s">
        <v>379</v>
      </c>
      <c r="D5983" t="str">
        <f>HYPERLINK("http://service.sap.com/sap/support/notes/1643349","1643349")</f>
        <v>1643349</v>
      </c>
      <c r="E5983">
        <v>2</v>
      </c>
      <c r="F5983" t="s">
        <v>5322</v>
      </c>
    </row>
    <row r="5984" spans="1:6" x14ac:dyDescent="0.25">
      <c r="A5984" t="s">
        <v>5251</v>
      </c>
      <c r="B5984" t="s">
        <v>458</v>
      </c>
      <c r="C5984" t="s">
        <v>459</v>
      </c>
      <c r="D5984" t="str">
        <f>HYPERLINK("http://service.sap.com/sap/support/notes/1638620","1638620")</f>
        <v>1638620</v>
      </c>
      <c r="E5984">
        <v>1</v>
      </c>
      <c r="F5984" t="s">
        <v>5323</v>
      </c>
    </row>
    <row r="5985" spans="1:6" x14ac:dyDescent="0.25">
      <c r="A5985" t="s">
        <v>5251</v>
      </c>
      <c r="B5985" t="s">
        <v>458</v>
      </c>
      <c r="C5985" t="s">
        <v>459</v>
      </c>
      <c r="D5985" t="str">
        <f>HYPERLINK("http://service.sap.com/sap/support/notes/1639451","1639451")</f>
        <v>1639451</v>
      </c>
      <c r="E5985">
        <v>1</v>
      </c>
      <c r="F5985" t="s">
        <v>5324</v>
      </c>
    </row>
    <row r="5986" spans="1:6" x14ac:dyDescent="0.25">
      <c r="A5986" t="s">
        <v>5251</v>
      </c>
      <c r="B5986" t="s">
        <v>458</v>
      </c>
      <c r="C5986" t="s">
        <v>459</v>
      </c>
      <c r="D5986" t="str">
        <f>HYPERLINK("http://service.sap.com/sap/support/notes/1641043","1641043")</f>
        <v>1641043</v>
      </c>
      <c r="E5986">
        <v>2</v>
      </c>
      <c r="F5986" t="s">
        <v>5325</v>
      </c>
    </row>
    <row r="5987" spans="1:6" x14ac:dyDescent="0.25">
      <c r="A5987" t="s">
        <v>5251</v>
      </c>
      <c r="B5987" t="s">
        <v>458</v>
      </c>
      <c r="C5987" t="s">
        <v>459</v>
      </c>
      <c r="D5987" t="str">
        <f>HYPERLINK("http://service.sap.com/sap/support/notes/1641343","1641343")</f>
        <v>1641343</v>
      </c>
      <c r="E5987">
        <v>2</v>
      </c>
      <c r="F5987" t="s">
        <v>5326</v>
      </c>
    </row>
    <row r="5988" spans="1:6" x14ac:dyDescent="0.25">
      <c r="A5988" t="s">
        <v>5251</v>
      </c>
      <c r="B5988" t="s">
        <v>512</v>
      </c>
      <c r="C5988" t="s">
        <v>513</v>
      </c>
      <c r="D5988" t="str">
        <f>HYPERLINK("http://service.sap.com/sap/support/notes/1638251","1638251")</f>
        <v>1638251</v>
      </c>
      <c r="E5988">
        <v>1</v>
      </c>
      <c r="F5988" t="s">
        <v>5327</v>
      </c>
    </row>
    <row r="5989" spans="1:6" x14ac:dyDescent="0.25">
      <c r="A5989" t="s">
        <v>5251</v>
      </c>
      <c r="B5989" t="s">
        <v>512</v>
      </c>
      <c r="C5989" t="s">
        <v>513</v>
      </c>
      <c r="D5989" t="str">
        <f>HYPERLINK("http://service.sap.com/sap/support/notes/1639673","1639673")</f>
        <v>1639673</v>
      </c>
      <c r="E5989">
        <v>1</v>
      </c>
      <c r="F5989" t="s">
        <v>5328</v>
      </c>
    </row>
    <row r="5990" spans="1:6" x14ac:dyDescent="0.25">
      <c r="A5990" t="s">
        <v>5251</v>
      </c>
      <c r="B5990" t="s">
        <v>462</v>
      </c>
      <c r="C5990" t="s">
        <v>463</v>
      </c>
      <c r="D5990" t="str">
        <f>HYPERLINK("http://service.sap.com/sap/support/notes/1632825","1632825")</f>
        <v>1632825</v>
      </c>
      <c r="E5990">
        <v>3</v>
      </c>
      <c r="F5990" t="s">
        <v>5329</v>
      </c>
    </row>
    <row r="5991" spans="1:6" x14ac:dyDescent="0.25">
      <c r="A5991" t="s">
        <v>5251</v>
      </c>
      <c r="B5991" t="s">
        <v>623</v>
      </c>
      <c r="C5991" t="s">
        <v>624</v>
      </c>
    </row>
    <row r="5992" spans="1:6" x14ac:dyDescent="0.25">
      <c r="A5992" t="s">
        <v>5251</v>
      </c>
      <c r="B5992" t="s">
        <v>625</v>
      </c>
      <c r="C5992" t="s">
        <v>626</v>
      </c>
      <c r="D5992" t="str">
        <f>HYPERLINK("http://service.sap.com/sap/support/notes/1617975","1617975")</f>
        <v>1617975</v>
      </c>
      <c r="E5992">
        <v>1</v>
      </c>
      <c r="F5992" t="s">
        <v>5232</v>
      </c>
    </row>
    <row r="5993" spans="1:6" x14ac:dyDescent="0.25">
      <c r="A5993" t="s">
        <v>5251</v>
      </c>
      <c r="B5993" t="s">
        <v>625</v>
      </c>
      <c r="C5993" t="s">
        <v>626</v>
      </c>
      <c r="D5993" t="str">
        <f>HYPERLINK("http://service.sap.com/sap/support/notes/1633517","1633517")</f>
        <v>1633517</v>
      </c>
      <c r="E5993">
        <v>2</v>
      </c>
      <c r="F5993" t="s">
        <v>5330</v>
      </c>
    </row>
    <row r="5994" spans="1:6" x14ac:dyDescent="0.25">
      <c r="A5994" t="s">
        <v>5251</v>
      </c>
      <c r="B5994" t="s">
        <v>627</v>
      </c>
      <c r="C5994" t="s">
        <v>628</v>
      </c>
      <c r="D5994" t="str">
        <f>HYPERLINK("http://service.sap.com/sap/support/notes/1637844","1637844")</f>
        <v>1637844</v>
      </c>
      <c r="E5994">
        <v>1</v>
      </c>
      <c r="F5994" t="s">
        <v>5331</v>
      </c>
    </row>
    <row r="5995" spans="1:6" x14ac:dyDescent="0.25">
      <c r="A5995" t="s">
        <v>5251</v>
      </c>
      <c r="B5995" t="s">
        <v>29</v>
      </c>
      <c r="C5995" t="s">
        <v>30</v>
      </c>
    </row>
    <row r="5996" spans="1:6" x14ac:dyDescent="0.25">
      <c r="A5996" t="s">
        <v>5251</v>
      </c>
      <c r="B5996" t="s">
        <v>33</v>
      </c>
      <c r="C5996" t="s">
        <v>34</v>
      </c>
      <c r="D5996" t="str">
        <f>HYPERLINK("http://service.sap.com/sap/support/notes/1625246","1625246")</f>
        <v>1625246</v>
      </c>
      <c r="E5996">
        <v>1</v>
      </c>
      <c r="F5996" t="s">
        <v>749</v>
      </c>
    </row>
    <row r="5997" spans="1:6" x14ac:dyDescent="0.25">
      <c r="A5997" t="s">
        <v>5251</v>
      </c>
      <c r="B5997" t="s">
        <v>674</v>
      </c>
      <c r="C5997" t="s">
        <v>92</v>
      </c>
      <c r="D5997" t="str">
        <f>HYPERLINK("http://service.sap.com/sap/support/notes/1595693","1595693")</f>
        <v>1595693</v>
      </c>
      <c r="E5997">
        <v>3</v>
      </c>
      <c r="F5997" t="s">
        <v>5332</v>
      </c>
    </row>
    <row r="5998" spans="1:6" x14ac:dyDescent="0.25">
      <c r="A5998" t="s">
        <v>5251</v>
      </c>
      <c r="B5998" t="s">
        <v>674</v>
      </c>
      <c r="C5998" t="s">
        <v>92</v>
      </c>
      <c r="D5998" t="str">
        <f>HYPERLINK("http://service.sap.com/sap/support/notes/1631786","1631786")</f>
        <v>1631786</v>
      </c>
      <c r="E5998">
        <v>1</v>
      </c>
      <c r="F5998" t="s">
        <v>5333</v>
      </c>
    </row>
    <row r="5999" spans="1:6" x14ac:dyDescent="0.25">
      <c r="A5999" t="s">
        <v>5251</v>
      </c>
      <c r="B5999" t="s">
        <v>674</v>
      </c>
      <c r="C5999" t="s">
        <v>92</v>
      </c>
      <c r="D5999" t="str">
        <f>HYPERLINK("http://service.sap.com/sap/support/notes/1631794","1631794")</f>
        <v>1631794</v>
      </c>
      <c r="E5999">
        <v>1</v>
      </c>
      <c r="F5999" t="s">
        <v>5334</v>
      </c>
    </row>
    <row r="6000" spans="1:6" x14ac:dyDescent="0.25">
      <c r="A6000" t="s">
        <v>5251</v>
      </c>
      <c r="B6000" t="s">
        <v>674</v>
      </c>
      <c r="C6000" t="s">
        <v>92</v>
      </c>
      <c r="D6000" t="str">
        <f>HYPERLINK("http://service.sap.com/sap/support/notes/1639388","1639388")</f>
        <v>1639388</v>
      </c>
      <c r="E6000">
        <v>1</v>
      </c>
      <c r="F6000" t="s">
        <v>5335</v>
      </c>
    </row>
    <row r="6001" spans="1:6" x14ac:dyDescent="0.25">
      <c r="A6001" t="s">
        <v>5251</v>
      </c>
      <c r="B6001" t="s">
        <v>674</v>
      </c>
      <c r="C6001" t="s">
        <v>92</v>
      </c>
      <c r="D6001" t="str">
        <f>HYPERLINK("http://service.sap.com/sap/support/notes/1640238","1640238")</f>
        <v>1640238</v>
      </c>
      <c r="E6001">
        <v>1</v>
      </c>
      <c r="F6001" t="s">
        <v>5336</v>
      </c>
    </row>
    <row r="6002" spans="1:6" x14ac:dyDescent="0.25">
      <c r="A6002" t="s">
        <v>5251</v>
      </c>
      <c r="B6002" t="s">
        <v>674</v>
      </c>
      <c r="C6002" t="s">
        <v>92</v>
      </c>
      <c r="D6002" t="str">
        <f>HYPERLINK("http://service.sap.com/sap/support/notes/1640711","1640711")</f>
        <v>1640711</v>
      </c>
      <c r="E6002">
        <v>1</v>
      </c>
      <c r="F6002" t="s">
        <v>5337</v>
      </c>
    </row>
    <row r="6003" spans="1:6" x14ac:dyDescent="0.25">
      <c r="A6003" t="s">
        <v>5251</v>
      </c>
      <c r="B6003" t="s">
        <v>35</v>
      </c>
      <c r="C6003" t="s">
        <v>36</v>
      </c>
      <c r="D6003" t="str">
        <f>HYPERLINK("http://service.sap.com/sap/support/notes/1632904","1632904")</f>
        <v>1632904</v>
      </c>
      <c r="E6003">
        <v>1</v>
      </c>
      <c r="F6003" t="s">
        <v>5234</v>
      </c>
    </row>
    <row r="6004" spans="1:6" x14ac:dyDescent="0.25">
      <c r="A6004" t="s">
        <v>5251</v>
      </c>
      <c r="B6004" t="s">
        <v>41</v>
      </c>
      <c r="C6004" t="s">
        <v>42</v>
      </c>
    </row>
    <row r="6005" spans="1:6" x14ac:dyDescent="0.25">
      <c r="A6005" t="s">
        <v>5251</v>
      </c>
      <c r="B6005" t="s">
        <v>43</v>
      </c>
      <c r="C6005" t="s">
        <v>44</v>
      </c>
      <c r="D6005" t="str">
        <f>HYPERLINK("http://service.sap.com/sap/support/notes/1625634","1625634")</f>
        <v>1625634</v>
      </c>
      <c r="E6005">
        <v>1</v>
      </c>
      <c r="F6005" t="s">
        <v>5338</v>
      </c>
    </row>
    <row r="6006" spans="1:6" x14ac:dyDescent="0.25">
      <c r="A6006" t="s">
        <v>5251</v>
      </c>
      <c r="B6006" t="s">
        <v>43</v>
      </c>
      <c r="C6006" t="s">
        <v>44</v>
      </c>
      <c r="D6006" t="str">
        <f>HYPERLINK("http://service.sap.com/sap/support/notes/1629179","1629179")</f>
        <v>1629179</v>
      </c>
      <c r="E6006">
        <v>1</v>
      </c>
      <c r="F6006" t="s">
        <v>5339</v>
      </c>
    </row>
    <row r="6007" spans="1:6" x14ac:dyDescent="0.25">
      <c r="A6007" t="s">
        <v>5251</v>
      </c>
      <c r="B6007" t="s">
        <v>43</v>
      </c>
      <c r="C6007" t="s">
        <v>44</v>
      </c>
      <c r="D6007" t="str">
        <f>HYPERLINK("http://service.sap.com/sap/support/notes/1633294","1633294")</f>
        <v>1633294</v>
      </c>
      <c r="E6007">
        <v>1</v>
      </c>
      <c r="F6007" t="s">
        <v>5340</v>
      </c>
    </row>
    <row r="6008" spans="1:6" x14ac:dyDescent="0.25">
      <c r="A6008" t="s">
        <v>5251</v>
      </c>
      <c r="B6008" t="s">
        <v>43</v>
      </c>
      <c r="C6008" t="s">
        <v>44</v>
      </c>
      <c r="D6008" t="str">
        <f>HYPERLINK("http://service.sap.com/sap/support/notes/1643802","1643802")</f>
        <v>1643802</v>
      </c>
      <c r="E6008">
        <v>1</v>
      </c>
      <c r="F6008" t="s">
        <v>751</v>
      </c>
    </row>
    <row r="6009" spans="1:6" x14ac:dyDescent="0.25">
      <c r="A6009" t="s">
        <v>5251</v>
      </c>
      <c r="B6009" t="s">
        <v>51</v>
      </c>
      <c r="C6009" t="s">
        <v>52</v>
      </c>
      <c r="D6009" t="str">
        <f>HYPERLINK("http://service.sap.com/sap/support/notes/1634938","1634938")</f>
        <v>1634938</v>
      </c>
      <c r="E6009">
        <v>2</v>
      </c>
      <c r="F6009" t="s">
        <v>5341</v>
      </c>
    </row>
    <row r="6010" spans="1:6" x14ac:dyDescent="0.25">
      <c r="A6010" t="s">
        <v>5251</v>
      </c>
      <c r="B6010" t="s">
        <v>53</v>
      </c>
      <c r="C6010" t="s">
        <v>54</v>
      </c>
      <c r="D6010" t="str">
        <f>HYPERLINK("http://service.sap.com/sap/support/notes/1624204","1624204")</f>
        <v>1624204</v>
      </c>
      <c r="E6010">
        <v>1</v>
      </c>
      <c r="F6010" t="s">
        <v>756</v>
      </c>
    </row>
    <row r="6011" spans="1:6" x14ac:dyDescent="0.25">
      <c r="A6011" t="s">
        <v>5251</v>
      </c>
      <c r="B6011" t="s">
        <v>57</v>
      </c>
      <c r="C6011" t="s">
        <v>58</v>
      </c>
      <c r="D6011" t="str">
        <f>HYPERLINK("http://service.sap.com/sap/support/notes/1643007","1643007")</f>
        <v>1643007</v>
      </c>
      <c r="E6011">
        <v>1</v>
      </c>
      <c r="F6011" t="s">
        <v>5342</v>
      </c>
    </row>
    <row r="6012" spans="1:6" x14ac:dyDescent="0.25">
      <c r="A6012" t="s">
        <v>5251</v>
      </c>
      <c r="B6012" t="s">
        <v>258</v>
      </c>
      <c r="C6012" t="s">
        <v>186</v>
      </c>
      <c r="D6012" t="str">
        <f>HYPERLINK("http://service.sap.com/sap/support/notes/1637134","1637134")</f>
        <v>1637134</v>
      </c>
      <c r="E6012">
        <v>1</v>
      </c>
      <c r="F6012" t="s">
        <v>5343</v>
      </c>
    </row>
    <row r="6013" spans="1:6" x14ac:dyDescent="0.25">
      <c r="A6013" t="s">
        <v>5251</v>
      </c>
      <c r="B6013" t="s">
        <v>261</v>
      </c>
      <c r="C6013" t="s">
        <v>262</v>
      </c>
      <c r="D6013" t="str">
        <f>HYPERLINK("http://service.sap.com/sap/support/notes/1611747","1611747")</f>
        <v>1611747</v>
      </c>
      <c r="E6013">
        <v>2</v>
      </c>
      <c r="F6013" t="s">
        <v>5344</v>
      </c>
    </row>
    <row r="6014" spans="1:6" x14ac:dyDescent="0.25">
      <c r="A6014" t="s">
        <v>5251</v>
      </c>
      <c r="B6014" t="s">
        <v>267</v>
      </c>
      <c r="C6014" t="s">
        <v>466</v>
      </c>
    </row>
    <row r="6015" spans="1:6" x14ac:dyDescent="0.25">
      <c r="A6015" t="s">
        <v>5251</v>
      </c>
      <c r="B6015" t="s">
        <v>268</v>
      </c>
      <c r="C6015" t="s">
        <v>467</v>
      </c>
      <c r="D6015" t="str">
        <f>HYPERLINK("http://service.sap.com/sap/support/notes/1594574","1594574")</f>
        <v>1594574</v>
      </c>
      <c r="E6015">
        <v>2</v>
      </c>
      <c r="F6015" t="s">
        <v>468</v>
      </c>
    </row>
    <row r="6016" spans="1:6" x14ac:dyDescent="0.25">
      <c r="A6016" t="s">
        <v>5251</v>
      </c>
      <c r="B6016" t="s">
        <v>268</v>
      </c>
      <c r="C6016" t="s">
        <v>467</v>
      </c>
      <c r="D6016" t="str">
        <f>HYPERLINK("http://service.sap.com/sap/support/notes/1638404","1638404")</f>
        <v>1638404</v>
      </c>
      <c r="E6016">
        <v>3</v>
      </c>
      <c r="F6016" t="s">
        <v>5345</v>
      </c>
    </row>
    <row r="6017" spans="1:6" x14ac:dyDescent="0.25">
      <c r="A6017" t="s">
        <v>5251</v>
      </c>
      <c r="B6017" t="s">
        <v>268</v>
      </c>
      <c r="C6017" t="s">
        <v>467</v>
      </c>
      <c r="D6017" t="str">
        <f>HYPERLINK("http://service.sap.com/sap/support/notes/1643679","1643679")</f>
        <v>1643679</v>
      </c>
      <c r="E6017">
        <v>1</v>
      </c>
      <c r="F6017" t="s">
        <v>5346</v>
      </c>
    </row>
    <row r="6018" spans="1:6" x14ac:dyDescent="0.25">
      <c r="A6018" t="s">
        <v>5251</v>
      </c>
      <c r="B6018" t="s">
        <v>273</v>
      </c>
      <c r="C6018" t="s">
        <v>469</v>
      </c>
    </row>
    <row r="6019" spans="1:6" x14ac:dyDescent="0.25">
      <c r="A6019" t="s">
        <v>5251</v>
      </c>
      <c r="B6019" t="s">
        <v>274</v>
      </c>
      <c r="C6019" t="s">
        <v>470</v>
      </c>
      <c r="D6019" t="str">
        <f>HYPERLINK("http://service.sap.com/sap/support/notes/1625670","1625670")</f>
        <v>1625670</v>
      </c>
      <c r="E6019">
        <v>1</v>
      </c>
      <c r="F6019" t="s">
        <v>5347</v>
      </c>
    </row>
    <row r="6020" spans="1:6" x14ac:dyDescent="0.25">
      <c r="A6020" t="s">
        <v>5251</v>
      </c>
      <c r="B6020" t="s">
        <v>274</v>
      </c>
      <c r="C6020" t="s">
        <v>470</v>
      </c>
      <c r="D6020" t="str">
        <f>HYPERLINK("http://service.sap.com/sap/support/notes/1634192","1634192")</f>
        <v>1634192</v>
      </c>
      <c r="E6020">
        <v>2</v>
      </c>
      <c r="F6020" t="s">
        <v>5348</v>
      </c>
    </row>
    <row r="6021" spans="1:6" x14ac:dyDescent="0.25">
      <c r="A6021" t="s">
        <v>5251</v>
      </c>
      <c r="B6021" t="s">
        <v>471</v>
      </c>
      <c r="C6021" t="s">
        <v>472</v>
      </c>
      <c r="D6021" t="str">
        <f>HYPERLINK("http://service.sap.com/sap/support/notes/1623236","1623236")</f>
        <v>1623236</v>
      </c>
      <c r="E6021">
        <v>3</v>
      </c>
      <c r="F6021" t="s">
        <v>5349</v>
      </c>
    </row>
    <row r="6022" spans="1:6" x14ac:dyDescent="0.25">
      <c r="A6022" t="s">
        <v>5251</v>
      </c>
      <c r="B6022" t="s">
        <v>471</v>
      </c>
      <c r="C6022" t="s">
        <v>472</v>
      </c>
      <c r="D6022" t="str">
        <f>HYPERLINK("http://service.sap.com/sap/support/notes/1641705","1641705")</f>
        <v>1641705</v>
      </c>
      <c r="E6022">
        <v>3</v>
      </c>
      <c r="F6022" t="s">
        <v>5350</v>
      </c>
    </row>
    <row r="6023" spans="1:6" x14ac:dyDescent="0.25">
      <c r="A6023" t="s">
        <v>5251</v>
      </c>
      <c r="B6023" t="s">
        <v>474</v>
      </c>
      <c r="C6023" t="s">
        <v>475</v>
      </c>
      <c r="D6023" t="str">
        <f>HYPERLINK("http://service.sap.com/sap/support/notes/1633451","1633451")</f>
        <v>1633451</v>
      </c>
      <c r="E6023">
        <v>3</v>
      </c>
      <c r="F6023" t="s">
        <v>5351</v>
      </c>
    </row>
    <row r="6024" spans="1:6" x14ac:dyDescent="0.25">
      <c r="A6024" t="s">
        <v>5251</v>
      </c>
      <c r="B6024" t="s">
        <v>474</v>
      </c>
      <c r="C6024" t="s">
        <v>475</v>
      </c>
      <c r="D6024" t="str">
        <f>HYPERLINK("http://service.sap.com/sap/support/notes/1640804","1640804")</f>
        <v>1640804</v>
      </c>
      <c r="E6024">
        <v>1</v>
      </c>
      <c r="F6024" t="s">
        <v>5352</v>
      </c>
    </row>
    <row r="6025" spans="1:6" x14ac:dyDescent="0.25">
      <c r="A6025" t="s">
        <v>5251</v>
      </c>
      <c r="B6025" t="s">
        <v>474</v>
      </c>
      <c r="C6025" t="s">
        <v>475</v>
      </c>
      <c r="D6025" t="str">
        <f>HYPERLINK("http://service.sap.com/sap/support/notes/1641030","1641030")</f>
        <v>1641030</v>
      </c>
      <c r="E6025">
        <v>1</v>
      </c>
      <c r="F6025" t="s">
        <v>5353</v>
      </c>
    </row>
    <row r="6026" spans="1:6" x14ac:dyDescent="0.25">
      <c r="A6026" t="s">
        <v>5251</v>
      </c>
      <c r="B6026" t="s">
        <v>474</v>
      </c>
      <c r="C6026" t="s">
        <v>475</v>
      </c>
      <c r="D6026" t="str">
        <f>HYPERLINK("http://service.sap.com/sap/support/notes/1642837","1642837")</f>
        <v>1642837</v>
      </c>
      <c r="E6026">
        <v>1</v>
      </c>
      <c r="F6026" t="s">
        <v>5354</v>
      </c>
    </row>
    <row r="6027" spans="1:6" x14ac:dyDescent="0.25">
      <c r="A6027" t="s">
        <v>5251</v>
      </c>
      <c r="B6027" t="s">
        <v>474</v>
      </c>
      <c r="C6027" t="s">
        <v>475</v>
      </c>
      <c r="D6027" t="str">
        <f>HYPERLINK("http://service.sap.com/sap/support/notes/1643042","1643042")</f>
        <v>1643042</v>
      </c>
      <c r="E6027">
        <v>1</v>
      </c>
      <c r="F6027" t="s">
        <v>5355</v>
      </c>
    </row>
    <row r="6028" spans="1:6" x14ac:dyDescent="0.25">
      <c r="A6028" t="s">
        <v>5251</v>
      </c>
      <c r="B6028" t="s">
        <v>474</v>
      </c>
      <c r="C6028" t="s">
        <v>475</v>
      </c>
      <c r="D6028" t="str">
        <f>HYPERLINK("http://service.sap.com/sap/support/notes/1643542","1643542")</f>
        <v>1643542</v>
      </c>
      <c r="E6028">
        <v>2</v>
      </c>
      <c r="F6028" t="s">
        <v>5356</v>
      </c>
    </row>
    <row r="6029" spans="1:6" x14ac:dyDescent="0.25">
      <c r="A6029" t="s">
        <v>5251</v>
      </c>
      <c r="B6029" t="s">
        <v>474</v>
      </c>
      <c r="C6029" t="s">
        <v>475</v>
      </c>
      <c r="D6029" t="str">
        <f>HYPERLINK("http://service.sap.com/sap/support/notes/1643614","1643614")</f>
        <v>1643614</v>
      </c>
      <c r="E6029">
        <v>2</v>
      </c>
      <c r="F6029" t="s">
        <v>5357</v>
      </c>
    </row>
    <row r="6030" spans="1:6" x14ac:dyDescent="0.25">
      <c r="A6030" t="s">
        <v>5251</v>
      </c>
      <c r="B6030" t="s">
        <v>72</v>
      </c>
      <c r="C6030" t="s">
        <v>73</v>
      </c>
    </row>
    <row r="6031" spans="1:6" x14ac:dyDescent="0.25">
      <c r="A6031" t="s">
        <v>5251</v>
      </c>
      <c r="B6031" t="s">
        <v>281</v>
      </c>
      <c r="C6031" t="s">
        <v>368</v>
      </c>
    </row>
    <row r="6032" spans="1:6" x14ac:dyDescent="0.25">
      <c r="A6032" t="s">
        <v>5251</v>
      </c>
      <c r="B6032" t="s">
        <v>282</v>
      </c>
      <c r="C6032" t="s">
        <v>369</v>
      </c>
      <c r="D6032" t="str">
        <f>HYPERLINK("http://service.sap.com/sap/support/notes/1528511","1528511")</f>
        <v>1528511</v>
      </c>
      <c r="E6032">
        <v>3</v>
      </c>
      <c r="F6032" t="s">
        <v>677</v>
      </c>
    </row>
    <row r="6033" spans="1:6" x14ac:dyDescent="0.25">
      <c r="A6033" t="s">
        <v>5251</v>
      </c>
      <c r="B6033" t="s">
        <v>282</v>
      </c>
      <c r="C6033" t="s">
        <v>369</v>
      </c>
      <c r="D6033" t="str">
        <f>HYPERLINK("http://service.sap.com/sap/support/notes/1623589","1623589")</f>
        <v>1623589</v>
      </c>
      <c r="E6033">
        <v>1</v>
      </c>
      <c r="F6033" t="s">
        <v>5358</v>
      </c>
    </row>
    <row r="6034" spans="1:6" x14ac:dyDescent="0.25">
      <c r="A6034" t="s">
        <v>5251</v>
      </c>
      <c r="B6034" t="s">
        <v>282</v>
      </c>
      <c r="C6034" t="s">
        <v>369</v>
      </c>
      <c r="D6034" t="str">
        <f>HYPERLINK("http://service.sap.com/sap/support/notes/1639919","1639919")</f>
        <v>1639919</v>
      </c>
      <c r="E6034">
        <v>2</v>
      </c>
      <c r="F6034" t="s">
        <v>5359</v>
      </c>
    </row>
    <row r="6035" spans="1:6" x14ac:dyDescent="0.25">
      <c r="A6035" t="s">
        <v>5251</v>
      </c>
      <c r="B6035" t="s">
        <v>76</v>
      </c>
      <c r="C6035" t="s">
        <v>77</v>
      </c>
    </row>
    <row r="6036" spans="1:6" x14ac:dyDescent="0.25">
      <c r="A6036" t="s">
        <v>5251</v>
      </c>
      <c r="B6036" t="s">
        <v>83</v>
      </c>
      <c r="C6036" t="s">
        <v>84</v>
      </c>
      <c r="D6036" t="str">
        <f>HYPERLINK("http://service.sap.com/sap/support/notes/1636626","1636626")</f>
        <v>1636626</v>
      </c>
      <c r="E6036">
        <v>1</v>
      </c>
      <c r="F6036" t="s">
        <v>886</v>
      </c>
    </row>
    <row r="6037" spans="1:6" x14ac:dyDescent="0.25">
      <c r="A6037" t="s">
        <v>5251</v>
      </c>
      <c r="B6037" t="s">
        <v>101</v>
      </c>
      <c r="C6037" t="s">
        <v>38</v>
      </c>
    </row>
    <row r="6038" spans="1:6" x14ac:dyDescent="0.25">
      <c r="A6038" t="s">
        <v>5251</v>
      </c>
      <c r="B6038" t="s">
        <v>106</v>
      </c>
      <c r="C6038" t="s">
        <v>107</v>
      </c>
    </row>
    <row r="6039" spans="1:6" x14ac:dyDescent="0.25">
      <c r="A6039" t="s">
        <v>5251</v>
      </c>
      <c r="B6039" t="s">
        <v>112</v>
      </c>
      <c r="C6039" t="s">
        <v>113</v>
      </c>
      <c r="D6039" t="str">
        <f>HYPERLINK("http://service.sap.com/sap/support/notes/1640146","1640146")</f>
        <v>1640146</v>
      </c>
      <c r="E6039">
        <v>2</v>
      </c>
      <c r="F6039" t="s">
        <v>5360</v>
      </c>
    </row>
    <row r="6040" spans="1:6" x14ac:dyDescent="0.25">
      <c r="A6040" t="s">
        <v>5251</v>
      </c>
      <c r="B6040" t="s">
        <v>135</v>
      </c>
      <c r="C6040" t="s">
        <v>136</v>
      </c>
      <c r="D6040" t="str">
        <f>HYPERLINK("http://service.sap.com/sap/support/notes/1561804","1561804")</f>
        <v>1561804</v>
      </c>
      <c r="E6040">
        <v>6</v>
      </c>
      <c r="F6040" t="s">
        <v>5361</v>
      </c>
    </row>
    <row r="6041" spans="1:6" x14ac:dyDescent="0.25">
      <c r="A6041" t="s">
        <v>5251</v>
      </c>
      <c r="B6041" t="s">
        <v>152</v>
      </c>
      <c r="C6041" t="s">
        <v>47</v>
      </c>
      <c r="D6041" t="str">
        <f>HYPERLINK("http://service.sap.com/sap/support/notes/1629322","1629322")</f>
        <v>1629322</v>
      </c>
      <c r="E6041">
        <v>2</v>
      </c>
      <c r="F6041" t="s">
        <v>5362</v>
      </c>
    </row>
    <row r="6042" spans="1:6" x14ac:dyDescent="0.25">
      <c r="A6042" t="s">
        <v>5251</v>
      </c>
      <c r="B6042" t="s">
        <v>153</v>
      </c>
      <c r="C6042" t="s">
        <v>154</v>
      </c>
      <c r="D6042" t="str">
        <f>HYPERLINK("http://service.sap.com/sap/support/notes/1638044","1638044")</f>
        <v>1638044</v>
      </c>
      <c r="E6042">
        <v>3</v>
      </c>
      <c r="F6042" t="s">
        <v>5363</v>
      </c>
    </row>
    <row r="6043" spans="1:6" x14ac:dyDescent="0.25">
      <c r="A6043" t="s">
        <v>5251</v>
      </c>
      <c r="B6043" t="s">
        <v>153</v>
      </c>
      <c r="C6043" t="s">
        <v>154</v>
      </c>
      <c r="D6043" t="str">
        <f>HYPERLINK("http://service.sap.com/sap/support/notes/1640143","1640143")</f>
        <v>1640143</v>
      </c>
      <c r="E6043">
        <v>4</v>
      </c>
      <c r="F6043" t="s">
        <v>5364</v>
      </c>
    </row>
    <row r="6044" spans="1:6" x14ac:dyDescent="0.25">
      <c r="A6044" t="s">
        <v>5251</v>
      </c>
      <c r="B6044" t="s">
        <v>168</v>
      </c>
      <c r="C6044" t="s">
        <v>169</v>
      </c>
      <c r="D6044" t="str">
        <f>HYPERLINK("http://service.sap.com/sap/support/notes/1633285","1633285")</f>
        <v>1633285</v>
      </c>
      <c r="E6044">
        <v>1</v>
      </c>
      <c r="F6044" t="s">
        <v>5365</v>
      </c>
    </row>
    <row r="6045" spans="1:6" x14ac:dyDescent="0.25">
      <c r="A6045" t="s">
        <v>5251</v>
      </c>
      <c r="B6045" t="s">
        <v>168</v>
      </c>
      <c r="C6045" t="s">
        <v>169</v>
      </c>
      <c r="D6045" t="str">
        <f>HYPERLINK("http://service.sap.com/sap/support/notes/1636785","1636785")</f>
        <v>1636785</v>
      </c>
      <c r="E6045">
        <v>1</v>
      </c>
      <c r="F6045" t="s">
        <v>1085</v>
      </c>
    </row>
    <row r="6046" spans="1:6" x14ac:dyDescent="0.25">
      <c r="A6046" t="s">
        <v>5251</v>
      </c>
      <c r="B6046" t="s">
        <v>179</v>
      </c>
      <c r="C6046" t="s">
        <v>180</v>
      </c>
      <c r="D6046" t="str">
        <f>HYPERLINK("http://service.sap.com/sap/support/notes/1637150","1637150")</f>
        <v>1637150</v>
      </c>
      <c r="E6046">
        <v>1</v>
      </c>
      <c r="F6046" t="s">
        <v>5366</v>
      </c>
    </row>
    <row r="6047" spans="1:6" x14ac:dyDescent="0.25">
      <c r="A6047" t="s">
        <v>5251</v>
      </c>
      <c r="B6047" t="s">
        <v>179</v>
      </c>
      <c r="C6047" t="s">
        <v>180</v>
      </c>
      <c r="D6047" t="str">
        <f>HYPERLINK("http://service.sap.com/sap/support/notes/1637187","1637187")</f>
        <v>1637187</v>
      </c>
      <c r="E6047">
        <v>2</v>
      </c>
      <c r="F6047" t="s">
        <v>5367</v>
      </c>
    </row>
    <row r="6048" spans="1:6" x14ac:dyDescent="0.25">
      <c r="A6048" t="s">
        <v>5251</v>
      </c>
      <c r="B6048" t="s">
        <v>179</v>
      </c>
      <c r="C6048" t="s">
        <v>180</v>
      </c>
      <c r="D6048" t="str">
        <f>HYPERLINK("http://service.sap.com/sap/support/notes/1641267","1641267")</f>
        <v>1641267</v>
      </c>
      <c r="E6048">
        <v>1</v>
      </c>
      <c r="F6048" t="s">
        <v>1101</v>
      </c>
    </row>
    <row r="6049" spans="1:6" x14ac:dyDescent="0.25">
      <c r="A6049" t="s">
        <v>5251</v>
      </c>
      <c r="B6049" t="s">
        <v>181</v>
      </c>
      <c r="C6049" t="s">
        <v>182</v>
      </c>
    </row>
    <row r="6050" spans="1:6" x14ac:dyDescent="0.25">
      <c r="A6050" t="s">
        <v>5251</v>
      </c>
      <c r="B6050" t="s">
        <v>183</v>
      </c>
      <c r="C6050" t="s">
        <v>184</v>
      </c>
      <c r="D6050" t="str">
        <f>HYPERLINK("http://service.sap.com/sap/support/notes/1631001","1631001")</f>
        <v>1631001</v>
      </c>
      <c r="E6050">
        <v>1</v>
      </c>
      <c r="F6050" t="s">
        <v>5368</v>
      </c>
    </row>
    <row r="6051" spans="1:6" x14ac:dyDescent="0.25">
      <c r="A6051" t="s">
        <v>5251</v>
      </c>
      <c r="B6051" t="s">
        <v>183</v>
      </c>
      <c r="C6051" t="s">
        <v>184</v>
      </c>
      <c r="D6051" t="str">
        <f>HYPERLINK("http://service.sap.com/sap/support/notes/1635468","1635468")</f>
        <v>1635468</v>
      </c>
      <c r="E6051">
        <v>1</v>
      </c>
      <c r="F6051" t="s">
        <v>5369</v>
      </c>
    </row>
    <row r="6052" spans="1:6" x14ac:dyDescent="0.25">
      <c r="A6052" t="s">
        <v>5251</v>
      </c>
      <c r="B6052" t="s">
        <v>183</v>
      </c>
      <c r="C6052" t="s">
        <v>184</v>
      </c>
      <c r="D6052" t="str">
        <f>HYPERLINK("http://service.sap.com/sap/support/notes/1640197","1640197")</f>
        <v>1640197</v>
      </c>
      <c r="E6052">
        <v>2</v>
      </c>
      <c r="F6052" t="s">
        <v>5370</v>
      </c>
    </row>
    <row r="6053" spans="1:6" x14ac:dyDescent="0.25">
      <c r="A6053" t="s">
        <v>5251</v>
      </c>
      <c r="B6053" t="s">
        <v>191</v>
      </c>
      <c r="C6053" t="s">
        <v>62</v>
      </c>
    </row>
    <row r="6054" spans="1:6" x14ac:dyDescent="0.25">
      <c r="A6054" t="s">
        <v>5251</v>
      </c>
      <c r="B6054" t="s">
        <v>195</v>
      </c>
      <c r="C6054" t="s">
        <v>132</v>
      </c>
      <c r="D6054" t="str">
        <f>HYPERLINK("http://service.sap.com/sap/support/notes/1626513","1626513")</f>
        <v>1626513</v>
      </c>
      <c r="E6054">
        <v>3</v>
      </c>
      <c r="F6054" t="s">
        <v>1115</v>
      </c>
    </row>
    <row r="6055" spans="1:6" x14ac:dyDescent="0.25">
      <c r="A6055" t="s">
        <v>5251</v>
      </c>
      <c r="B6055" t="s">
        <v>196</v>
      </c>
      <c r="C6055" t="s">
        <v>197</v>
      </c>
      <c r="D6055" t="str">
        <f>HYPERLINK("http://service.sap.com/sap/support/notes/1633358","1633358")</f>
        <v>1633358</v>
      </c>
      <c r="E6055">
        <v>4</v>
      </c>
      <c r="F6055" t="s">
        <v>1121</v>
      </c>
    </row>
    <row r="6056" spans="1:6" x14ac:dyDescent="0.25">
      <c r="A6056" t="s">
        <v>5251</v>
      </c>
      <c r="B6056" t="s">
        <v>196</v>
      </c>
      <c r="C6056" t="s">
        <v>197</v>
      </c>
      <c r="D6056" t="str">
        <f>HYPERLINK("http://service.sap.com/sap/support/notes/1644467","1644467")</f>
        <v>1644467</v>
      </c>
      <c r="E6056">
        <v>2</v>
      </c>
      <c r="F6056" t="s">
        <v>5371</v>
      </c>
    </row>
    <row r="6057" spans="1:6" x14ac:dyDescent="0.25">
      <c r="A6057" t="s">
        <v>5251</v>
      </c>
      <c r="B6057" t="s">
        <v>203</v>
      </c>
      <c r="C6057" t="s">
        <v>204</v>
      </c>
    </row>
    <row r="6058" spans="1:6" x14ac:dyDescent="0.25">
      <c r="A6058" t="s">
        <v>5251</v>
      </c>
      <c r="B6058" t="s">
        <v>537</v>
      </c>
      <c r="C6058" t="s">
        <v>538</v>
      </c>
      <c r="D6058" t="str">
        <f>HYPERLINK("http://service.sap.com/sap/support/notes/1629161","1629161")</f>
        <v>1629161</v>
      </c>
      <c r="E6058">
        <v>2</v>
      </c>
      <c r="F6058" t="s">
        <v>5372</v>
      </c>
    </row>
    <row r="6059" spans="1:6" x14ac:dyDescent="0.25">
      <c r="A6059" t="s">
        <v>5251</v>
      </c>
      <c r="B6059" t="s">
        <v>537</v>
      </c>
      <c r="C6059" t="s">
        <v>538</v>
      </c>
      <c r="D6059" t="str">
        <f>HYPERLINK("http://service.sap.com/sap/support/notes/1636325","1636325")</f>
        <v>1636325</v>
      </c>
      <c r="E6059">
        <v>1</v>
      </c>
      <c r="F6059" t="s">
        <v>5373</v>
      </c>
    </row>
    <row r="6060" spans="1:6" x14ac:dyDescent="0.25">
      <c r="A6060" t="s">
        <v>5251</v>
      </c>
      <c r="B6060" t="s">
        <v>537</v>
      </c>
      <c r="C6060" t="s">
        <v>538</v>
      </c>
      <c r="D6060" t="str">
        <f>HYPERLINK("http://service.sap.com/sap/support/notes/1636913","1636913")</f>
        <v>1636913</v>
      </c>
      <c r="E6060">
        <v>1</v>
      </c>
      <c r="F6060" t="s">
        <v>5374</v>
      </c>
    </row>
    <row r="6061" spans="1:6" x14ac:dyDescent="0.25">
      <c r="A6061" t="s">
        <v>5251</v>
      </c>
      <c r="B6061" t="s">
        <v>207</v>
      </c>
      <c r="C6061" t="s">
        <v>208</v>
      </c>
    </row>
    <row r="6062" spans="1:6" x14ac:dyDescent="0.25">
      <c r="A6062" t="s">
        <v>5251</v>
      </c>
      <c r="B6062" t="s">
        <v>209</v>
      </c>
      <c r="C6062" t="s">
        <v>210</v>
      </c>
    </row>
    <row r="6063" spans="1:6" x14ac:dyDescent="0.25">
      <c r="A6063" t="s">
        <v>5251</v>
      </c>
      <c r="B6063" t="s">
        <v>790</v>
      </c>
      <c r="C6063" t="s">
        <v>791</v>
      </c>
    </row>
    <row r="6064" spans="1:6" x14ac:dyDescent="0.25">
      <c r="A6064" t="s">
        <v>5251</v>
      </c>
      <c r="B6064" t="s">
        <v>792</v>
      </c>
      <c r="C6064" t="s">
        <v>655</v>
      </c>
      <c r="D6064" t="str">
        <f>HYPERLINK("http://service.sap.com/sap/support/notes/1638844","1638844")</f>
        <v>1638844</v>
      </c>
      <c r="E6064">
        <v>1</v>
      </c>
      <c r="F6064" t="s">
        <v>5375</v>
      </c>
    </row>
    <row r="6065" spans="1:6" x14ac:dyDescent="0.25">
      <c r="A6065" t="s">
        <v>5376</v>
      </c>
      <c r="B6065" t="s">
        <v>5</v>
      </c>
      <c r="C6065" t="s">
        <v>6</v>
      </c>
    </row>
    <row r="6066" spans="1:6" x14ac:dyDescent="0.25">
      <c r="A6066" t="s">
        <v>5376</v>
      </c>
      <c r="B6066" t="s">
        <v>7</v>
      </c>
      <c r="C6066" t="s">
        <v>8</v>
      </c>
    </row>
    <row r="6067" spans="1:6" x14ac:dyDescent="0.25">
      <c r="A6067" t="s">
        <v>5376</v>
      </c>
      <c r="B6067" t="s">
        <v>11</v>
      </c>
      <c r="C6067" t="s">
        <v>12</v>
      </c>
      <c r="D6067" t="str">
        <f>HYPERLINK("http://service.sap.com/sap/support/notes/1652008","1652008")</f>
        <v>1652008</v>
      </c>
      <c r="E6067">
        <v>2</v>
      </c>
      <c r="F6067" t="s">
        <v>5377</v>
      </c>
    </row>
    <row r="6068" spans="1:6" x14ac:dyDescent="0.25">
      <c r="A6068" t="s">
        <v>5376</v>
      </c>
      <c r="B6068" t="s">
        <v>220</v>
      </c>
      <c r="C6068" t="s">
        <v>435</v>
      </c>
    </row>
    <row r="6069" spans="1:6" x14ac:dyDescent="0.25">
      <c r="A6069" t="s">
        <v>5376</v>
      </c>
      <c r="B6069" t="s">
        <v>542</v>
      </c>
      <c r="C6069" t="s">
        <v>543</v>
      </c>
    </row>
    <row r="6070" spans="1:6" x14ac:dyDescent="0.25">
      <c r="A6070" t="s">
        <v>5376</v>
      </c>
      <c r="B6070" t="s">
        <v>544</v>
      </c>
      <c r="C6070" t="s">
        <v>545</v>
      </c>
      <c r="D6070" t="str">
        <f>HYPERLINK("http://service.sap.com/sap/support/notes/1643962","1643962")</f>
        <v>1643962</v>
      </c>
      <c r="E6070">
        <v>2</v>
      </c>
      <c r="F6070" t="s">
        <v>5378</v>
      </c>
    </row>
    <row r="6071" spans="1:6" x14ac:dyDescent="0.25">
      <c r="A6071" t="s">
        <v>5376</v>
      </c>
      <c r="B6071" t="s">
        <v>438</v>
      </c>
      <c r="C6071" t="s">
        <v>439</v>
      </c>
    </row>
    <row r="6072" spans="1:6" x14ac:dyDescent="0.25">
      <c r="A6072" t="s">
        <v>5376</v>
      </c>
      <c r="B6072" t="s">
        <v>440</v>
      </c>
      <c r="C6072" t="s">
        <v>441</v>
      </c>
    </row>
    <row r="6073" spans="1:6" x14ac:dyDescent="0.25">
      <c r="A6073" t="s">
        <v>5376</v>
      </c>
      <c r="B6073" t="s">
        <v>442</v>
      </c>
      <c r="C6073" t="s">
        <v>443</v>
      </c>
      <c r="D6073" t="str">
        <f>HYPERLINK("http://service.sap.com/sap/support/notes/1070403","1070403")</f>
        <v>1070403</v>
      </c>
      <c r="E6073">
        <v>4</v>
      </c>
      <c r="F6073" t="s">
        <v>5379</v>
      </c>
    </row>
    <row r="6074" spans="1:6" x14ac:dyDescent="0.25">
      <c r="A6074" t="s">
        <v>5376</v>
      </c>
      <c r="B6074" t="s">
        <v>442</v>
      </c>
      <c r="C6074" t="s">
        <v>443</v>
      </c>
      <c r="D6074" t="str">
        <f>HYPERLINK("http://service.sap.com/sap/support/notes/1516723","1516723")</f>
        <v>1516723</v>
      </c>
      <c r="E6074">
        <v>3</v>
      </c>
      <c r="F6074" t="s">
        <v>5380</v>
      </c>
    </row>
    <row r="6075" spans="1:6" x14ac:dyDescent="0.25">
      <c r="A6075" t="s">
        <v>5376</v>
      </c>
      <c r="B6075" t="s">
        <v>442</v>
      </c>
      <c r="C6075" t="s">
        <v>443</v>
      </c>
      <c r="D6075" t="str">
        <f>HYPERLINK("http://service.sap.com/sap/support/notes/1552077","1552077")</f>
        <v>1552077</v>
      </c>
      <c r="E6075">
        <v>4</v>
      </c>
      <c r="F6075" t="s">
        <v>480</v>
      </c>
    </row>
    <row r="6076" spans="1:6" x14ac:dyDescent="0.25">
      <c r="A6076" t="s">
        <v>5376</v>
      </c>
      <c r="B6076" t="s">
        <v>442</v>
      </c>
      <c r="C6076" t="s">
        <v>443</v>
      </c>
      <c r="D6076" t="str">
        <f>HYPERLINK("http://service.sap.com/sap/support/notes/1570603","1570603")</f>
        <v>1570603</v>
      </c>
      <c r="E6076">
        <v>2</v>
      </c>
      <c r="F6076" t="s">
        <v>616</v>
      </c>
    </row>
    <row r="6077" spans="1:6" x14ac:dyDescent="0.25">
      <c r="A6077" t="s">
        <v>5376</v>
      </c>
      <c r="B6077" t="s">
        <v>442</v>
      </c>
      <c r="C6077" t="s">
        <v>443</v>
      </c>
      <c r="D6077" t="str">
        <f>HYPERLINK("http://service.sap.com/sap/support/notes/1614664","1614664")</f>
        <v>1614664</v>
      </c>
      <c r="E6077">
        <v>1</v>
      </c>
      <c r="F6077" t="s">
        <v>5381</v>
      </c>
    </row>
    <row r="6078" spans="1:6" x14ac:dyDescent="0.25">
      <c r="A6078" t="s">
        <v>5376</v>
      </c>
      <c r="B6078" t="s">
        <v>442</v>
      </c>
      <c r="C6078" t="s">
        <v>443</v>
      </c>
      <c r="D6078" t="str">
        <f>HYPERLINK("http://service.sap.com/sap/support/notes/1650194","1650194")</f>
        <v>1650194</v>
      </c>
      <c r="E6078">
        <v>1</v>
      </c>
      <c r="F6078" t="s">
        <v>5382</v>
      </c>
    </row>
    <row r="6079" spans="1:6" x14ac:dyDescent="0.25">
      <c r="A6079" t="s">
        <v>5376</v>
      </c>
      <c r="B6079" t="s">
        <v>442</v>
      </c>
      <c r="C6079" t="s">
        <v>443</v>
      </c>
      <c r="D6079" t="str">
        <f>HYPERLINK("http://service.sap.com/sap/support/notes/1651078","1651078")</f>
        <v>1651078</v>
      </c>
      <c r="E6079">
        <v>2</v>
      </c>
      <c r="F6079" t="s">
        <v>5383</v>
      </c>
    </row>
    <row r="6080" spans="1:6" x14ac:dyDescent="0.25">
      <c r="A6080" t="s">
        <v>5376</v>
      </c>
      <c r="B6080" t="s">
        <v>442</v>
      </c>
      <c r="C6080" t="s">
        <v>443</v>
      </c>
      <c r="D6080" t="str">
        <f>HYPERLINK("http://service.sap.com/sap/support/notes/1655855","1655855")</f>
        <v>1655855</v>
      </c>
      <c r="E6080">
        <v>2</v>
      </c>
      <c r="F6080" t="s">
        <v>5384</v>
      </c>
    </row>
    <row r="6081" spans="1:6" x14ac:dyDescent="0.25">
      <c r="A6081" t="s">
        <v>5376</v>
      </c>
      <c r="B6081" t="s">
        <v>442</v>
      </c>
      <c r="C6081" t="s">
        <v>443</v>
      </c>
      <c r="D6081" t="str">
        <f>HYPERLINK("http://service.sap.com/sap/support/notes/1655994","1655994")</f>
        <v>1655994</v>
      </c>
      <c r="E6081">
        <v>1</v>
      </c>
      <c r="F6081" t="s">
        <v>5385</v>
      </c>
    </row>
    <row r="6082" spans="1:6" x14ac:dyDescent="0.25">
      <c r="A6082" t="s">
        <v>5376</v>
      </c>
      <c r="B6082" t="s">
        <v>225</v>
      </c>
      <c r="C6082" t="s">
        <v>354</v>
      </c>
    </row>
    <row r="6083" spans="1:6" x14ac:dyDescent="0.25">
      <c r="A6083" t="s">
        <v>5376</v>
      </c>
      <c r="B6083" t="s">
        <v>226</v>
      </c>
      <c r="C6083" t="s">
        <v>355</v>
      </c>
    </row>
    <row r="6084" spans="1:6" x14ac:dyDescent="0.25">
      <c r="A6084" t="s">
        <v>5376</v>
      </c>
      <c r="B6084" t="s">
        <v>227</v>
      </c>
      <c r="C6084" t="s">
        <v>356</v>
      </c>
    </row>
    <row r="6085" spans="1:6" x14ac:dyDescent="0.25">
      <c r="A6085" t="s">
        <v>5376</v>
      </c>
      <c r="B6085" t="s">
        <v>228</v>
      </c>
      <c r="C6085" t="s">
        <v>357</v>
      </c>
      <c r="D6085" t="str">
        <f>HYPERLINK("http://service.sap.com/sap/support/notes/1637512","1637512")</f>
        <v>1637512</v>
      </c>
      <c r="E6085">
        <v>3</v>
      </c>
      <c r="F6085" t="s">
        <v>5252</v>
      </c>
    </row>
    <row r="6086" spans="1:6" x14ac:dyDescent="0.25">
      <c r="A6086" t="s">
        <v>5376</v>
      </c>
      <c r="B6086" t="s">
        <v>228</v>
      </c>
      <c r="C6086" t="s">
        <v>357</v>
      </c>
      <c r="D6086" t="str">
        <f>HYPERLINK("http://service.sap.com/sap/support/notes/1652306","1652306")</f>
        <v>1652306</v>
      </c>
      <c r="E6086">
        <v>1</v>
      </c>
      <c r="F6086" t="s">
        <v>5386</v>
      </c>
    </row>
    <row r="6087" spans="1:6" x14ac:dyDescent="0.25">
      <c r="A6087" t="s">
        <v>5376</v>
      </c>
      <c r="B6087" t="s">
        <v>15</v>
      </c>
      <c r="C6087" t="s">
        <v>16</v>
      </c>
    </row>
    <row r="6088" spans="1:6" x14ac:dyDescent="0.25">
      <c r="A6088" t="s">
        <v>5376</v>
      </c>
      <c r="B6088" t="s">
        <v>17</v>
      </c>
      <c r="C6088" t="s">
        <v>18</v>
      </c>
      <c r="D6088" t="str">
        <f>HYPERLINK("http://service.sap.com/sap/support/notes/1638438","1638438")</f>
        <v>1638438</v>
      </c>
      <c r="E6088">
        <v>3</v>
      </c>
      <c r="F6088" t="s">
        <v>5387</v>
      </c>
    </row>
    <row r="6089" spans="1:6" x14ac:dyDescent="0.25">
      <c r="A6089" t="s">
        <v>5376</v>
      </c>
      <c r="B6089" t="s">
        <v>17</v>
      </c>
      <c r="C6089" t="s">
        <v>18</v>
      </c>
      <c r="D6089" t="str">
        <f>HYPERLINK("http://service.sap.com/sap/support/notes/1644171","1644171")</f>
        <v>1644171</v>
      </c>
      <c r="E6089">
        <v>1</v>
      </c>
      <c r="F6089" t="s">
        <v>5388</v>
      </c>
    </row>
    <row r="6090" spans="1:6" x14ac:dyDescent="0.25">
      <c r="A6090" t="s">
        <v>5376</v>
      </c>
      <c r="B6090" t="s">
        <v>17</v>
      </c>
      <c r="C6090" t="s">
        <v>18</v>
      </c>
      <c r="D6090" t="str">
        <f>HYPERLINK("http://service.sap.com/sap/support/notes/1648691","1648691")</f>
        <v>1648691</v>
      </c>
      <c r="E6090">
        <v>1</v>
      </c>
      <c r="F6090" t="s">
        <v>5389</v>
      </c>
    </row>
    <row r="6091" spans="1:6" x14ac:dyDescent="0.25">
      <c r="A6091" t="s">
        <v>5376</v>
      </c>
      <c r="B6091" t="s">
        <v>17</v>
      </c>
      <c r="C6091" t="s">
        <v>18</v>
      </c>
      <c r="D6091" t="str">
        <f>HYPERLINK("http://service.sap.com/sap/support/notes/1649001","1649001")</f>
        <v>1649001</v>
      </c>
      <c r="E6091">
        <v>1</v>
      </c>
      <c r="F6091" t="s">
        <v>5390</v>
      </c>
    </row>
    <row r="6092" spans="1:6" x14ac:dyDescent="0.25">
      <c r="A6092" t="s">
        <v>5376</v>
      </c>
      <c r="B6092" t="s">
        <v>17</v>
      </c>
      <c r="C6092" t="s">
        <v>18</v>
      </c>
      <c r="D6092" t="str">
        <f>HYPERLINK("http://service.sap.com/sap/support/notes/1652749","1652749")</f>
        <v>1652749</v>
      </c>
      <c r="E6092">
        <v>1</v>
      </c>
      <c r="F6092" t="s">
        <v>5391</v>
      </c>
    </row>
    <row r="6093" spans="1:6" x14ac:dyDescent="0.25">
      <c r="A6093" t="s">
        <v>5376</v>
      </c>
      <c r="B6093" t="s">
        <v>17</v>
      </c>
      <c r="C6093" t="s">
        <v>18</v>
      </c>
      <c r="D6093" t="str">
        <f>HYPERLINK("http://service.sap.com/sap/support/notes/1653896","1653896")</f>
        <v>1653896</v>
      </c>
      <c r="E6093">
        <v>1</v>
      </c>
      <c r="F6093" t="s">
        <v>5392</v>
      </c>
    </row>
    <row r="6094" spans="1:6" x14ac:dyDescent="0.25">
      <c r="A6094" t="s">
        <v>5376</v>
      </c>
      <c r="B6094" t="s">
        <v>17</v>
      </c>
      <c r="C6094" t="s">
        <v>18</v>
      </c>
      <c r="D6094" t="str">
        <f>HYPERLINK("http://service.sap.com/sap/support/notes/1655114","1655114")</f>
        <v>1655114</v>
      </c>
      <c r="E6094">
        <v>1</v>
      </c>
      <c r="F6094" t="s">
        <v>5393</v>
      </c>
    </row>
    <row r="6095" spans="1:6" x14ac:dyDescent="0.25">
      <c r="A6095" t="s">
        <v>5376</v>
      </c>
      <c r="B6095" t="s">
        <v>17</v>
      </c>
      <c r="C6095" t="s">
        <v>18</v>
      </c>
      <c r="D6095" t="str">
        <f>HYPERLINK("http://service.sap.com/sap/support/notes/1655761","1655761")</f>
        <v>1655761</v>
      </c>
      <c r="E6095">
        <v>1</v>
      </c>
      <c r="F6095" t="s">
        <v>5394</v>
      </c>
    </row>
    <row r="6096" spans="1:6" x14ac:dyDescent="0.25">
      <c r="A6096" t="s">
        <v>5376</v>
      </c>
      <c r="B6096" t="s">
        <v>19</v>
      </c>
      <c r="C6096" t="s">
        <v>20</v>
      </c>
      <c r="D6096" t="str">
        <f>HYPERLINK("http://service.sap.com/sap/support/notes/1623847","1623847")</f>
        <v>1623847</v>
      </c>
      <c r="E6096">
        <v>3</v>
      </c>
      <c r="F6096" t="s">
        <v>5395</v>
      </c>
    </row>
    <row r="6097" spans="1:6" x14ac:dyDescent="0.25">
      <c r="A6097" t="s">
        <v>5376</v>
      </c>
      <c r="B6097" t="s">
        <v>19</v>
      </c>
      <c r="C6097" t="s">
        <v>20</v>
      </c>
      <c r="D6097" t="str">
        <f>HYPERLINK("http://service.sap.com/sap/support/notes/1624353","1624353")</f>
        <v>1624353</v>
      </c>
      <c r="E6097">
        <v>1</v>
      </c>
      <c r="F6097" t="s">
        <v>5396</v>
      </c>
    </row>
    <row r="6098" spans="1:6" x14ac:dyDescent="0.25">
      <c r="A6098" t="s">
        <v>5376</v>
      </c>
      <c r="B6098" t="s">
        <v>19</v>
      </c>
      <c r="C6098" t="s">
        <v>20</v>
      </c>
      <c r="D6098" t="str">
        <f>HYPERLINK("http://service.sap.com/sap/support/notes/1643046","1643046")</f>
        <v>1643046</v>
      </c>
      <c r="E6098">
        <v>2</v>
      </c>
      <c r="F6098" t="s">
        <v>5397</v>
      </c>
    </row>
    <row r="6099" spans="1:6" x14ac:dyDescent="0.25">
      <c r="A6099" t="s">
        <v>5376</v>
      </c>
      <c r="B6099" t="s">
        <v>19</v>
      </c>
      <c r="C6099" t="s">
        <v>20</v>
      </c>
      <c r="D6099" t="str">
        <f>HYPERLINK("http://service.sap.com/sap/support/notes/1644638","1644638")</f>
        <v>1644638</v>
      </c>
      <c r="E6099">
        <v>1</v>
      </c>
      <c r="F6099" t="s">
        <v>5398</v>
      </c>
    </row>
    <row r="6100" spans="1:6" x14ac:dyDescent="0.25">
      <c r="A6100" t="s">
        <v>5376</v>
      </c>
      <c r="B6100" t="s">
        <v>19</v>
      </c>
      <c r="C6100" t="s">
        <v>20</v>
      </c>
      <c r="D6100" t="str">
        <f>HYPERLINK("http://service.sap.com/sap/support/notes/1645218","1645218")</f>
        <v>1645218</v>
      </c>
      <c r="E6100">
        <v>1</v>
      </c>
      <c r="F6100" t="s">
        <v>5399</v>
      </c>
    </row>
    <row r="6101" spans="1:6" x14ac:dyDescent="0.25">
      <c r="A6101" t="s">
        <v>5376</v>
      </c>
      <c r="B6101" t="s">
        <v>19</v>
      </c>
      <c r="C6101" t="s">
        <v>20</v>
      </c>
      <c r="D6101" t="str">
        <f>HYPERLINK("http://service.sap.com/sap/support/notes/1645219","1645219")</f>
        <v>1645219</v>
      </c>
      <c r="E6101">
        <v>2</v>
      </c>
      <c r="F6101" t="s">
        <v>5400</v>
      </c>
    </row>
    <row r="6102" spans="1:6" x14ac:dyDescent="0.25">
      <c r="A6102" t="s">
        <v>5376</v>
      </c>
      <c r="B6102" t="s">
        <v>19</v>
      </c>
      <c r="C6102" t="s">
        <v>20</v>
      </c>
      <c r="D6102" t="str">
        <f>HYPERLINK("http://service.sap.com/sap/support/notes/1645647","1645647")</f>
        <v>1645647</v>
      </c>
      <c r="E6102">
        <v>1</v>
      </c>
      <c r="F6102" t="s">
        <v>5401</v>
      </c>
    </row>
    <row r="6103" spans="1:6" x14ac:dyDescent="0.25">
      <c r="A6103" t="s">
        <v>5376</v>
      </c>
      <c r="B6103" t="s">
        <v>19</v>
      </c>
      <c r="C6103" t="s">
        <v>20</v>
      </c>
      <c r="D6103" t="str">
        <f>HYPERLINK("http://service.sap.com/sap/support/notes/1645712","1645712")</f>
        <v>1645712</v>
      </c>
      <c r="E6103">
        <v>2</v>
      </c>
      <c r="F6103" t="s">
        <v>5402</v>
      </c>
    </row>
    <row r="6104" spans="1:6" x14ac:dyDescent="0.25">
      <c r="A6104" t="s">
        <v>5376</v>
      </c>
      <c r="B6104" t="s">
        <v>19</v>
      </c>
      <c r="C6104" t="s">
        <v>20</v>
      </c>
      <c r="D6104" t="str">
        <f>HYPERLINK("http://service.sap.com/sap/support/notes/1645977","1645977")</f>
        <v>1645977</v>
      </c>
      <c r="E6104">
        <v>2</v>
      </c>
      <c r="F6104" t="s">
        <v>5403</v>
      </c>
    </row>
    <row r="6105" spans="1:6" x14ac:dyDescent="0.25">
      <c r="A6105" t="s">
        <v>5376</v>
      </c>
      <c r="B6105" t="s">
        <v>19</v>
      </c>
      <c r="C6105" t="s">
        <v>20</v>
      </c>
      <c r="D6105" t="str">
        <f>HYPERLINK("http://service.sap.com/sap/support/notes/1646659","1646659")</f>
        <v>1646659</v>
      </c>
      <c r="E6105">
        <v>1</v>
      </c>
      <c r="F6105" t="s">
        <v>5404</v>
      </c>
    </row>
    <row r="6106" spans="1:6" x14ac:dyDescent="0.25">
      <c r="A6106" t="s">
        <v>5376</v>
      </c>
      <c r="B6106" t="s">
        <v>19</v>
      </c>
      <c r="C6106" t="s">
        <v>20</v>
      </c>
      <c r="D6106" t="str">
        <f>HYPERLINK("http://service.sap.com/sap/support/notes/1646781","1646781")</f>
        <v>1646781</v>
      </c>
      <c r="E6106">
        <v>1</v>
      </c>
      <c r="F6106" t="s">
        <v>5405</v>
      </c>
    </row>
    <row r="6107" spans="1:6" x14ac:dyDescent="0.25">
      <c r="A6107" t="s">
        <v>5376</v>
      </c>
      <c r="B6107" t="s">
        <v>19</v>
      </c>
      <c r="C6107" t="s">
        <v>20</v>
      </c>
      <c r="D6107" t="str">
        <f>HYPERLINK("http://service.sap.com/sap/support/notes/1648299","1648299")</f>
        <v>1648299</v>
      </c>
      <c r="E6107">
        <v>1</v>
      </c>
      <c r="F6107" t="s">
        <v>5406</v>
      </c>
    </row>
    <row r="6108" spans="1:6" x14ac:dyDescent="0.25">
      <c r="A6108" t="s">
        <v>5376</v>
      </c>
      <c r="B6108" t="s">
        <v>19</v>
      </c>
      <c r="C6108" t="s">
        <v>20</v>
      </c>
      <c r="D6108" t="str">
        <f>HYPERLINK("http://service.sap.com/sap/support/notes/1649296","1649296")</f>
        <v>1649296</v>
      </c>
      <c r="E6108">
        <v>1</v>
      </c>
      <c r="F6108" t="s">
        <v>5407</v>
      </c>
    </row>
    <row r="6109" spans="1:6" x14ac:dyDescent="0.25">
      <c r="A6109" t="s">
        <v>5376</v>
      </c>
      <c r="B6109" t="s">
        <v>19</v>
      </c>
      <c r="C6109" t="s">
        <v>20</v>
      </c>
      <c r="D6109" t="str">
        <f>HYPERLINK("http://service.sap.com/sap/support/notes/1650405","1650405")</f>
        <v>1650405</v>
      </c>
      <c r="E6109">
        <v>2</v>
      </c>
      <c r="F6109" t="s">
        <v>5408</v>
      </c>
    </row>
    <row r="6110" spans="1:6" x14ac:dyDescent="0.25">
      <c r="A6110" t="s">
        <v>5376</v>
      </c>
      <c r="B6110" t="s">
        <v>19</v>
      </c>
      <c r="C6110" t="s">
        <v>20</v>
      </c>
      <c r="D6110" t="str">
        <f>HYPERLINK("http://service.sap.com/sap/support/notes/1650432","1650432")</f>
        <v>1650432</v>
      </c>
      <c r="E6110">
        <v>1</v>
      </c>
      <c r="F6110" t="s">
        <v>5409</v>
      </c>
    </row>
    <row r="6111" spans="1:6" x14ac:dyDescent="0.25">
      <c r="A6111" t="s">
        <v>5376</v>
      </c>
      <c r="B6111" t="s">
        <v>19</v>
      </c>
      <c r="C6111" t="s">
        <v>20</v>
      </c>
      <c r="D6111" t="str">
        <f>HYPERLINK("http://service.sap.com/sap/support/notes/1650815","1650815")</f>
        <v>1650815</v>
      </c>
      <c r="E6111">
        <v>2</v>
      </c>
      <c r="F6111" t="s">
        <v>5410</v>
      </c>
    </row>
    <row r="6112" spans="1:6" x14ac:dyDescent="0.25">
      <c r="A6112" t="s">
        <v>5376</v>
      </c>
      <c r="B6112" t="s">
        <v>19</v>
      </c>
      <c r="C6112" t="s">
        <v>20</v>
      </c>
      <c r="D6112" t="str">
        <f>HYPERLINK("http://service.sap.com/sap/support/notes/1651291","1651291")</f>
        <v>1651291</v>
      </c>
      <c r="E6112">
        <v>2</v>
      </c>
      <c r="F6112" t="s">
        <v>5411</v>
      </c>
    </row>
    <row r="6113" spans="1:6" x14ac:dyDescent="0.25">
      <c r="A6113" t="s">
        <v>5376</v>
      </c>
      <c r="B6113" t="s">
        <v>19</v>
      </c>
      <c r="C6113" t="s">
        <v>20</v>
      </c>
      <c r="D6113" t="str">
        <f>HYPERLINK("http://service.sap.com/sap/support/notes/1651966","1651966")</f>
        <v>1651966</v>
      </c>
      <c r="E6113">
        <v>1</v>
      </c>
      <c r="F6113" t="s">
        <v>5412</v>
      </c>
    </row>
    <row r="6114" spans="1:6" x14ac:dyDescent="0.25">
      <c r="A6114" t="s">
        <v>5376</v>
      </c>
      <c r="B6114" t="s">
        <v>19</v>
      </c>
      <c r="C6114" t="s">
        <v>20</v>
      </c>
      <c r="D6114" t="str">
        <f>HYPERLINK("http://service.sap.com/sap/support/notes/1652430","1652430")</f>
        <v>1652430</v>
      </c>
      <c r="E6114">
        <v>1</v>
      </c>
      <c r="F6114" t="s">
        <v>5413</v>
      </c>
    </row>
    <row r="6115" spans="1:6" x14ac:dyDescent="0.25">
      <c r="A6115" t="s">
        <v>5376</v>
      </c>
      <c r="B6115" t="s">
        <v>19</v>
      </c>
      <c r="C6115" t="s">
        <v>20</v>
      </c>
      <c r="D6115" t="str">
        <f>HYPERLINK("http://service.sap.com/sap/support/notes/1652743","1652743")</f>
        <v>1652743</v>
      </c>
      <c r="E6115">
        <v>1</v>
      </c>
      <c r="F6115" t="s">
        <v>5414</v>
      </c>
    </row>
    <row r="6116" spans="1:6" x14ac:dyDescent="0.25">
      <c r="A6116" t="s">
        <v>5376</v>
      </c>
      <c r="B6116" t="s">
        <v>19</v>
      </c>
      <c r="C6116" t="s">
        <v>20</v>
      </c>
      <c r="D6116" t="str">
        <f>HYPERLINK("http://service.sap.com/sap/support/notes/1653038","1653038")</f>
        <v>1653038</v>
      </c>
      <c r="E6116">
        <v>1</v>
      </c>
      <c r="F6116" t="s">
        <v>5415</v>
      </c>
    </row>
    <row r="6117" spans="1:6" x14ac:dyDescent="0.25">
      <c r="A6117" t="s">
        <v>5376</v>
      </c>
      <c r="B6117" t="s">
        <v>19</v>
      </c>
      <c r="C6117" t="s">
        <v>20</v>
      </c>
      <c r="D6117" t="str">
        <f>HYPERLINK("http://service.sap.com/sap/support/notes/1653192","1653192")</f>
        <v>1653192</v>
      </c>
      <c r="E6117">
        <v>1</v>
      </c>
      <c r="F6117" t="s">
        <v>5416</v>
      </c>
    </row>
    <row r="6118" spans="1:6" x14ac:dyDescent="0.25">
      <c r="A6118" t="s">
        <v>5376</v>
      </c>
      <c r="B6118" t="s">
        <v>19</v>
      </c>
      <c r="C6118" t="s">
        <v>20</v>
      </c>
      <c r="D6118" t="str">
        <f>HYPERLINK("http://service.sap.com/sap/support/notes/1653242","1653242")</f>
        <v>1653242</v>
      </c>
      <c r="E6118">
        <v>2</v>
      </c>
      <c r="F6118" t="s">
        <v>5417</v>
      </c>
    </row>
    <row r="6119" spans="1:6" x14ac:dyDescent="0.25">
      <c r="A6119" t="s">
        <v>5376</v>
      </c>
      <c r="B6119" t="s">
        <v>19</v>
      </c>
      <c r="C6119" t="s">
        <v>20</v>
      </c>
      <c r="D6119" t="str">
        <f>HYPERLINK("http://service.sap.com/sap/support/notes/1653676","1653676")</f>
        <v>1653676</v>
      </c>
      <c r="E6119">
        <v>1</v>
      </c>
      <c r="F6119" t="s">
        <v>5418</v>
      </c>
    </row>
    <row r="6120" spans="1:6" x14ac:dyDescent="0.25">
      <c r="A6120" t="s">
        <v>5376</v>
      </c>
      <c r="B6120" t="s">
        <v>19</v>
      </c>
      <c r="C6120" t="s">
        <v>20</v>
      </c>
      <c r="D6120" t="str">
        <f>HYPERLINK("http://service.sap.com/sap/support/notes/1653819","1653819")</f>
        <v>1653819</v>
      </c>
      <c r="E6120">
        <v>2</v>
      </c>
      <c r="F6120" t="s">
        <v>5419</v>
      </c>
    </row>
    <row r="6121" spans="1:6" x14ac:dyDescent="0.25">
      <c r="A6121" t="s">
        <v>5376</v>
      </c>
      <c r="B6121" t="s">
        <v>19</v>
      </c>
      <c r="C6121" t="s">
        <v>20</v>
      </c>
      <c r="D6121" t="str">
        <f>HYPERLINK("http://service.sap.com/sap/support/notes/1654170","1654170")</f>
        <v>1654170</v>
      </c>
      <c r="E6121">
        <v>1</v>
      </c>
      <c r="F6121" t="s">
        <v>5420</v>
      </c>
    </row>
    <row r="6122" spans="1:6" x14ac:dyDescent="0.25">
      <c r="A6122" t="s">
        <v>5376</v>
      </c>
      <c r="B6122" t="s">
        <v>19</v>
      </c>
      <c r="C6122" t="s">
        <v>20</v>
      </c>
      <c r="D6122" t="str">
        <f>HYPERLINK("http://service.sap.com/sap/support/notes/1654758","1654758")</f>
        <v>1654758</v>
      </c>
      <c r="E6122">
        <v>1</v>
      </c>
      <c r="F6122" t="s">
        <v>5421</v>
      </c>
    </row>
    <row r="6123" spans="1:6" x14ac:dyDescent="0.25">
      <c r="A6123" t="s">
        <v>5376</v>
      </c>
      <c r="B6123" t="s">
        <v>19</v>
      </c>
      <c r="C6123" t="s">
        <v>20</v>
      </c>
      <c r="D6123" t="str">
        <f>HYPERLINK("http://service.sap.com/sap/support/notes/1656291","1656291")</f>
        <v>1656291</v>
      </c>
      <c r="E6123">
        <v>1</v>
      </c>
      <c r="F6123" t="s">
        <v>5422</v>
      </c>
    </row>
    <row r="6124" spans="1:6" x14ac:dyDescent="0.25">
      <c r="A6124" t="s">
        <v>5376</v>
      </c>
      <c r="B6124" t="s">
        <v>446</v>
      </c>
      <c r="C6124" t="s">
        <v>447</v>
      </c>
      <c r="D6124" t="str">
        <f>HYPERLINK("http://service.sap.com/sap/support/notes/1616079","1616079")</f>
        <v>1616079</v>
      </c>
      <c r="E6124">
        <v>1</v>
      </c>
      <c r="F6124" t="s">
        <v>5423</v>
      </c>
    </row>
    <row r="6125" spans="1:6" x14ac:dyDescent="0.25">
      <c r="A6125" t="s">
        <v>5376</v>
      </c>
      <c r="B6125" t="s">
        <v>446</v>
      </c>
      <c r="C6125" t="s">
        <v>447</v>
      </c>
      <c r="D6125" t="str">
        <f>HYPERLINK("http://service.sap.com/sap/support/notes/1633737","1633737")</f>
        <v>1633737</v>
      </c>
      <c r="E6125">
        <v>3</v>
      </c>
      <c r="F6125" t="s">
        <v>5424</v>
      </c>
    </row>
    <row r="6126" spans="1:6" x14ac:dyDescent="0.25">
      <c r="A6126" t="s">
        <v>5376</v>
      </c>
      <c r="B6126" t="s">
        <v>446</v>
      </c>
      <c r="C6126" t="s">
        <v>447</v>
      </c>
      <c r="D6126" t="str">
        <f>HYPERLINK("http://service.sap.com/sap/support/notes/1640271","1640271")</f>
        <v>1640271</v>
      </c>
      <c r="E6126">
        <v>3</v>
      </c>
      <c r="F6126" t="s">
        <v>5425</v>
      </c>
    </row>
    <row r="6127" spans="1:6" x14ac:dyDescent="0.25">
      <c r="A6127" t="s">
        <v>5376</v>
      </c>
      <c r="B6127" t="s">
        <v>446</v>
      </c>
      <c r="C6127" t="s">
        <v>447</v>
      </c>
      <c r="D6127" t="str">
        <f>HYPERLINK("http://service.sap.com/sap/support/notes/1640836","1640836")</f>
        <v>1640836</v>
      </c>
      <c r="E6127">
        <v>1</v>
      </c>
      <c r="F6127" t="s">
        <v>5426</v>
      </c>
    </row>
    <row r="6128" spans="1:6" x14ac:dyDescent="0.25">
      <c r="A6128" t="s">
        <v>5376</v>
      </c>
      <c r="B6128" t="s">
        <v>446</v>
      </c>
      <c r="C6128" t="s">
        <v>447</v>
      </c>
      <c r="D6128" t="str">
        <f>HYPERLINK("http://service.sap.com/sap/support/notes/1642171","1642171")</f>
        <v>1642171</v>
      </c>
      <c r="E6128">
        <v>2</v>
      </c>
      <c r="F6128" t="s">
        <v>5427</v>
      </c>
    </row>
    <row r="6129" spans="1:6" x14ac:dyDescent="0.25">
      <c r="A6129" t="s">
        <v>5376</v>
      </c>
      <c r="B6129" t="s">
        <v>446</v>
      </c>
      <c r="C6129" t="s">
        <v>447</v>
      </c>
      <c r="D6129" t="str">
        <f>HYPERLINK("http://service.sap.com/sap/support/notes/1642272","1642272")</f>
        <v>1642272</v>
      </c>
      <c r="E6129">
        <v>2</v>
      </c>
      <c r="F6129" t="s">
        <v>5428</v>
      </c>
    </row>
    <row r="6130" spans="1:6" x14ac:dyDescent="0.25">
      <c r="A6130" t="s">
        <v>5376</v>
      </c>
      <c r="B6130" t="s">
        <v>446</v>
      </c>
      <c r="C6130" t="s">
        <v>447</v>
      </c>
      <c r="D6130" t="str">
        <f>HYPERLINK("http://service.sap.com/sap/support/notes/1647108","1647108")</f>
        <v>1647108</v>
      </c>
      <c r="E6130">
        <v>2</v>
      </c>
      <c r="F6130" t="s">
        <v>5429</v>
      </c>
    </row>
    <row r="6131" spans="1:6" x14ac:dyDescent="0.25">
      <c r="A6131" t="s">
        <v>5376</v>
      </c>
      <c r="B6131" t="s">
        <v>446</v>
      </c>
      <c r="C6131" t="s">
        <v>447</v>
      </c>
      <c r="D6131" t="str">
        <f>HYPERLINK("http://service.sap.com/sap/support/notes/1648939","1648939")</f>
        <v>1648939</v>
      </c>
      <c r="E6131">
        <v>1</v>
      </c>
      <c r="F6131" t="s">
        <v>5430</v>
      </c>
    </row>
    <row r="6132" spans="1:6" x14ac:dyDescent="0.25">
      <c r="A6132" t="s">
        <v>5376</v>
      </c>
      <c r="B6132" t="s">
        <v>446</v>
      </c>
      <c r="C6132" t="s">
        <v>447</v>
      </c>
      <c r="D6132" t="str">
        <f>HYPERLINK("http://service.sap.com/sap/support/notes/1649463","1649463")</f>
        <v>1649463</v>
      </c>
      <c r="E6132">
        <v>2</v>
      </c>
      <c r="F6132" t="s">
        <v>5431</v>
      </c>
    </row>
    <row r="6133" spans="1:6" x14ac:dyDescent="0.25">
      <c r="A6133" t="s">
        <v>5376</v>
      </c>
      <c r="B6133" t="s">
        <v>446</v>
      </c>
      <c r="C6133" t="s">
        <v>447</v>
      </c>
      <c r="D6133" t="str">
        <f>HYPERLINK("http://service.sap.com/sap/support/notes/1649933","1649933")</f>
        <v>1649933</v>
      </c>
      <c r="E6133">
        <v>1</v>
      </c>
      <c r="F6133" t="s">
        <v>5432</v>
      </c>
    </row>
    <row r="6134" spans="1:6" x14ac:dyDescent="0.25">
      <c r="A6134" t="s">
        <v>5376</v>
      </c>
      <c r="B6134" t="s">
        <v>446</v>
      </c>
      <c r="C6134" t="s">
        <v>447</v>
      </c>
      <c r="D6134" t="str">
        <f>HYPERLINK("http://service.sap.com/sap/support/notes/1653807","1653807")</f>
        <v>1653807</v>
      </c>
      <c r="E6134">
        <v>1</v>
      </c>
      <c r="F6134" t="s">
        <v>5433</v>
      </c>
    </row>
    <row r="6135" spans="1:6" x14ac:dyDescent="0.25">
      <c r="A6135" t="s">
        <v>5376</v>
      </c>
      <c r="B6135" t="s">
        <v>446</v>
      </c>
      <c r="C6135" t="s">
        <v>447</v>
      </c>
      <c r="D6135" t="str">
        <f>HYPERLINK("http://service.sap.com/sap/support/notes/1655582","1655582")</f>
        <v>1655582</v>
      </c>
      <c r="E6135">
        <v>1</v>
      </c>
      <c r="F6135" t="s">
        <v>5434</v>
      </c>
    </row>
    <row r="6136" spans="1:6" x14ac:dyDescent="0.25">
      <c r="A6136" t="s">
        <v>5376</v>
      </c>
      <c r="B6136" t="s">
        <v>448</v>
      </c>
      <c r="C6136" t="s">
        <v>449</v>
      </c>
      <c r="D6136" t="str">
        <f>HYPERLINK("http://service.sap.com/sap/support/notes/1648464","1648464")</f>
        <v>1648464</v>
      </c>
      <c r="E6136">
        <v>2</v>
      </c>
      <c r="F6136" t="s">
        <v>5435</v>
      </c>
    </row>
    <row r="6137" spans="1:6" x14ac:dyDescent="0.25">
      <c r="A6137" t="s">
        <v>5376</v>
      </c>
      <c r="B6137" t="s">
        <v>448</v>
      </c>
      <c r="C6137" t="s">
        <v>449</v>
      </c>
      <c r="D6137" t="str">
        <f>HYPERLINK("http://service.sap.com/sap/support/notes/1648795","1648795")</f>
        <v>1648795</v>
      </c>
      <c r="E6137">
        <v>1</v>
      </c>
      <c r="F6137" t="s">
        <v>5436</v>
      </c>
    </row>
    <row r="6138" spans="1:6" x14ac:dyDescent="0.25">
      <c r="A6138" t="s">
        <v>5376</v>
      </c>
      <c r="B6138" t="s">
        <v>448</v>
      </c>
      <c r="C6138" t="s">
        <v>449</v>
      </c>
      <c r="D6138" t="str">
        <f>HYPERLINK("http://service.sap.com/sap/support/notes/1655304","1655304")</f>
        <v>1655304</v>
      </c>
      <c r="E6138">
        <v>2</v>
      </c>
      <c r="F6138" t="s">
        <v>5437</v>
      </c>
    </row>
    <row r="6139" spans="1:6" x14ac:dyDescent="0.25">
      <c r="A6139" t="s">
        <v>5376</v>
      </c>
      <c r="B6139" t="s">
        <v>448</v>
      </c>
      <c r="C6139" t="s">
        <v>449</v>
      </c>
      <c r="D6139" t="str">
        <f>HYPERLINK("http://service.sap.com/sap/support/notes/1655793","1655793")</f>
        <v>1655793</v>
      </c>
      <c r="E6139">
        <v>2</v>
      </c>
      <c r="F6139" t="s">
        <v>5438</v>
      </c>
    </row>
    <row r="6140" spans="1:6" x14ac:dyDescent="0.25">
      <c r="A6140" t="s">
        <v>5376</v>
      </c>
      <c r="B6140" t="s">
        <v>450</v>
      </c>
      <c r="C6140" t="s">
        <v>451</v>
      </c>
      <c r="D6140" t="str">
        <f>HYPERLINK("http://service.sap.com/sap/support/notes/1614689","1614689")</f>
        <v>1614689</v>
      </c>
      <c r="E6140">
        <v>1</v>
      </c>
      <c r="F6140" t="s">
        <v>5439</v>
      </c>
    </row>
    <row r="6141" spans="1:6" x14ac:dyDescent="0.25">
      <c r="A6141" t="s">
        <v>5376</v>
      </c>
      <c r="B6141" t="s">
        <v>450</v>
      </c>
      <c r="C6141" t="s">
        <v>451</v>
      </c>
      <c r="D6141" t="str">
        <f>HYPERLINK("http://service.sap.com/sap/support/notes/1654082","1654082")</f>
        <v>1654082</v>
      </c>
      <c r="E6141">
        <v>1</v>
      </c>
      <c r="F6141" t="s">
        <v>5440</v>
      </c>
    </row>
    <row r="6142" spans="1:6" x14ac:dyDescent="0.25">
      <c r="A6142" t="s">
        <v>5376</v>
      </c>
      <c r="B6142" t="s">
        <v>450</v>
      </c>
      <c r="C6142" t="s">
        <v>451</v>
      </c>
      <c r="D6142" t="str">
        <f>HYPERLINK("http://service.sap.com/sap/support/notes/1655297","1655297")</f>
        <v>1655297</v>
      </c>
      <c r="E6142">
        <v>1</v>
      </c>
      <c r="F6142" t="s">
        <v>5441</v>
      </c>
    </row>
    <row r="6143" spans="1:6" x14ac:dyDescent="0.25">
      <c r="A6143" t="s">
        <v>5376</v>
      </c>
      <c r="B6143" t="s">
        <v>505</v>
      </c>
      <c r="C6143" t="s">
        <v>506</v>
      </c>
      <c r="D6143" t="str">
        <f>HYPERLINK("http://service.sap.com/sap/support/notes/1637117","1637117")</f>
        <v>1637117</v>
      </c>
      <c r="E6143">
        <v>2</v>
      </c>
      <c r="F6143" t="s">
        <v>5442</v>
      </c>
    </row>
    <row r="6144" spans="1:6" x14ac:dyDescent="0.25">
      <c r="A6144" t="s">
        <v>5376</v>
      </c>
      <c r="B6144" t="s">
        <v>639</v>
      </c>
      <c r="C6144" t="s">
        <v>640</v>
      </c>
      <c r="D6144" t="str">
        <f>HYPERLINK("http://service.sap.com/sap/support/notes/1649874","1649874")</f>
        <v>1649874</v>
      </c>
      <c r="E6144">
        <v>2</v>
      </c>
      <c r="F6144" t="s">
        <v>5443</v>
      </c>
    </row>
    <row r="6145" spans="1:6" x14ac:dyDescent="0.25">
      <c r="A6145" t="s">
        <v>5376</v>
      </c>
      <c r="B6145" t="s">
        <v>552</v>
      </c>
      <c r="C6145" t="s">
        <v>553</v>
      </c>
      <c r="D6145" t="str">
        <f>HYPERLINK("http://service.sap.com/sap/support/notes/1648946","1648946")</f>
        <v>1648946</v>
      </c>
      <c r="E6145">
        <v>1</v>
      </c>
      <c r="F6145" t="s">
        <v>5444</v>
      </c>
    </row>
    <row r="6146" spans="1:6" x14ac:dyDescent="0.25">
      <c r="A6146" t="s">
        <v>5376</v>
      </c>
      <c r="B6146" t="s">
        <v>453</v>
      </c>
      <c r="C6146" t="s">
        <v>454</v>
      </c>
      <c r="D6146" t="str">
        <f>HYPERLINK("http://service.sap.com/sap/support/notes/1646287","1646287")</f>
        <v>1646287</v>
      </c>
      <c r="E6146">
        <v>1</v>
      </c>
      <c r="F6146" t="s">
        <v>5445</v>
      </c>
    </row>
    <row r="6147" spans="1:6" x14ac:dyDescent="0.25">
      <c r="A6147" t="s">
        <v>5376</v>
      </c>
      <c r="B6147" t="s">
        <v>21</v>
      </c>
      <c r="C6147" t="s">
        <v>12</v>
      </c>
    </row>
    <row r="6148" spans="1:6" x14ac:dyDescent="0.25">
      <c r="A6148" t="s">
        <v>5376</v>
      </c>
      <c r="B6148" t="s">
        <v>455</v>
      </c>
      <c r="C6148" t="s">
        <v>456</v>
      </c>
      <c r="D6148" t="str">
        <f>HYPERLINK("http://service.sap.com/sap/support/notes/1492109","1492109")</f>
        <v>1492109</v>
      </c>
      <c r="E6148">
        <v>3</v>
      </c>
      <c r="F6148" t="s">
        <v>5446</v>
      </c>
    </row>
    <row r="6149" spans="1:6" x14ac:dyDescent="0.25">
      <c r="A6149" t="s">
        <v>5376</v>
      </c>
      <c r="B6149" t="s">
        <v>455</v>
      </c>
      <c r="C6149" t="s">
        <v>456</v>
      </c>
      <c r="D6149" t="str">
        <f>HYPERLINK("http://service.sap.com/sap/support/notes/1636491","1636491")</f>
        <v>1636491</v>
      </c>
      <c r="E6149">
        <v>1</v>
      </c>
      <c r="F6149" t="s">
        <v>5447</v>
      </c>
    </row>
    <row r="6150" spans="1:6" x14ac:dyDescent="0.25">
      <c r="A6150" t="s">
        <v>5376</v>
      </c>
      <c r="B6150" t="s">
        <v>455</v>
      </c>
      <c r="C6150" t="s">
        <v>456</v>
      </c>
      <c r="D6150" t="str">
        <f>HYPERLINK("http://service.sap.com/sap/support/notes/1640455","1640455")</f>
        <v>1640455</v>
      </c>
      <c r="E6150">
        <v>1</v>
      </c>
      <c r="F6150" t="s">
        <v>5448</v>
      </c>
    </row>
    <row r="6151" spans="1:6" x14ac:dyDescent="0.25">
      <c r="A6151" t="s">
        <v>5376</v>
      </c>
      <c r="B6151" t="s">
        <v>455</v>
      </c>
      <c r="C6151" t="s">
        <v>456</v>
      </c>
      <c r="D6151" t="str">
        <f>HYPERLINK("http://service.sap.com/sap/support/notes/1642102","1642102")</f>
        <v>1642102</v>
      </c>
      <c r="E6151">
        <v>1</v>
      </c>
      <c r="F6151" t="s">
        <v>5449</v>
      </c>
    </row>
    <row r="6152" spans="1:6" x14ac:dyDescent="0.25">
      <c r="A6152" t="s">
        <v>5376</v>
      </c>
      <c r="B6152" t="s">
        <v>378</v>
      </c>
      <c r="C6152" t="s">
        <v>379</v>
      </c>
      <c r="D6152" t="str">
        <f>HYPERLINK("http://service.sap.com/sap/support/notes/1646356","1646356")</f>
        <v>1646356</v>
      </c>
      <c r="E6152">
        <v>1</v>
      </c>
      <c r="F6152" t="s">
        <v>5450</v>
      </c>
    </row>
    <row r="6153" spans="1:6" x14ac:dyDescent="0.25">
      <c r="A6153" t="s">
        <v>5376</v>
      </c>
      <c r="B6153" t="s">
        <v>458</v>
      </c>
      <c r="C6153" t="s">
        <v>459</v>
      </c>
      <c r="D6153" t="str">
        <f>HYPERLINK("http://service.sap.com/sap/support/notes/1628594","1628594")</f>
        <v>1628594</v>
      </c>
      <c r="E6153">
        <v>2</v>
      </c>
      <c r="F6153" t="s">
        <v>5451</v>
      </c>
    </row>
    <row r="6154" spans="1:6" x14ac:dyDescent="0.25">
      <c r="A6154" t="s">
        <v>5376</v>
      </c>
      <c r="B6154" t="s">
        <v>458</v>
      </c>
      <c r="C6154" t="s">
        <v>459</v>
      </c>
      <c r="D6154" t="str">
        <f>HYPERLINK("http://service.sap.com/sap/support/notes/1645830","1645830")</f>
        <v>1645830</v>
      </c>
      <c r="E6154">
        <v>2</v>
      </c>
      <c r="F6154" t="s">
        <v>5452</v>
      </c>
    </row>
    <row r="6155" spans="1:6" x14ac:dyDescent="0.25">
      <c r="A6155" t="s">
        <v>5376</v>
      </c>
      <c r="B6155" t="s">
        <v>458</v>
      </c>
      <c r="C6155" t="s">
        <v>459</v>
      </c>
      <c r="D6155" t="str">
        <f>HYPERLINK("http://service.sap.com/sap/support/notes/1646228","1646228")</f>
        <v>1646228</v>
      </c>
      <c r="E6155">
        <v>2</v>
      </c>
      <c r="F6155" t="s">
        <v>669</v>
      </c>
    </row>
    <row r="6156" spans="1:6" x14ac:dyDescent="0.25">
      <c r="A6156" t="s">
        <v>5376</v>
      </c>
      <c r="B6156" t="s">
        <v>458</v>
      </c>
      <c r="C6156" t="s">
        <v>459</v>
      </c>
      <c r="D6156" t="str">
        <f>HYPERLINK("http://service.sap.com/sap/support/notes/1647603","1647603")</f>
        <v>1647603</v>
      </c>
      <c r="E6156">
        <v>1</v>
      </c>
      <c r="F6156" t="s">
        <v>5453</v>
      </c>
    </row>
    <row r="6157" spans="1:6" x14ac:dyDescent="0.25">
      <c r="A6157" t="s">
        <v>5376</v>
      </c>
      <c r="B6157" t="s">
        <v>458</v>
      </c>
      <c r="C6157" t="s">
        <v>459</v>
      </c>
      <c r="D6157" t="str">
        <f>HYPERLINK("http://service.sap.com/sap/support/notes/1648893","1648893")</f>
        <v>1648893</v>
      </c>
      <c r="E6157">
        <v>2</v>
      </c>
      <c r="F6157" t="s">
        <v>5454</v>
      </c>
    </row>
    <row r="6158" spans="1:6" x14ac:dyDescent="0.25">
      <c r="A6158" t="s">
        <v>5376</v>
      </c>
      <c r="B6158" t="s">
        <v>458</v>
      </c>
      <c r="C6158" t="s">
        <v>459</v>
      </c>
      <c r="D6158" t="str">
        <f>HYPERLINK("http://service.sap.com/sap/support/notes/1649813","1649813")</f>
        <v>1649813</v>
      </c>
      <c r="E6158">
        <v>2</v>
      </c>
      <c r="F6158" t="s">
        <v>5455</v>
      </c>
    </row>
    <row r="6159" spans="1:6" x14ac:dyDescent="0.25">
      <c r="A6159" t="s">
        <v>5376</v>
      </c>
      <c r="B6159" t="s">
        <v>458</v>
      </c>
      <c r="C6159" t="s">
        <v>459</v>
      </c>
      <c r="D6159" t="str">
        <f>HYPERLINK("http://service.sap.com/sap/support/notes/1650494","1650494")</f>
        <v>1650494</v>
      </c>
      <c r="E6159">
        <v>1</v>
      </c>
      <c r="F6159" t="s">
        <v>5456</v>
      </c>
    </row>
    <row r="6160" spans="1:6" x14ac:dyDescent="0.25">
      <c r="A6160" t="s">
        <v>5376</v>
      </c>
      <c r="B6160" t="s">
        <v>458</v>
      </c>
      <c r="C6160" t="s">
        <v>459</v>
      </c>
      <c r="D6160" t="str">
        <f>HYPERLINK("http://service.sap.com/sap/support/notes/1650731","1650731")</f>
        <v>1650731</v>
      </c>
      <c r="E6160">
        <v>1</v>
      </c>
      <c r="F6160" t="s">
        <v>5457</v>
      </c>
    </row>
    <row r="6161" spans="1:6" x14ac:dyDescent="0.25">
      <c r="A6161" t="s">
        <v>5376</v>
      </c>
      <c r="B6161" t="s">
        <v>458</v>
      </c>
      <c r="C6161" t="s">
        <v>459</v>
      </c>
      <c r="D6161" t="str">
        <f>HYPERLINK("http://service.sap.com/sap/support/notes/1651847","1651847")</f>
        <v>1651847</v>
      </c>
      <c r="E6161">
        <v>1</v>
      </c>
      <c r="F6161" t="s">
        <v>5458</v>
      </c>
    </row>
    <row r="6162" spans="1:6" x14ac:dyDescent="0.25">
      <c r="A6162" t="s">
        <v>5376</v>
      </c>
      <c r="B6162" t="s">
        <v>458</v>
      </c>
      <c r="C6162" t="s">
        <v>459</v>
      </c>
      <c r="D6162" t="str">
        <f>HYPERLINK("http://service.sap.com/sap/support/notes/1653048","1653048")</f>
        <v>1653048</v>
      </c>
      <c r="E6162">
        <v>1</v>
      </c>
      <c r="F6162" t="s">
        <v>5459</v>
      </c>
    </row>
    <row r="6163" spans="1:6" x14ac:dyDescent="0.25">
      <c r="A6163" t="s">
        <v>5376</v>
      </c>
      <c r="B6163" t="s">
        <v>512</v>
      </c>
      <c r="C6163" t="s">
        <v>513</v>
      </c>
      <c r="D6163" t="str">
        <f>HYPERLINK("http://service.sap.com/sap/support/notes/1638726","1638726")</f>
        <v>1638726</v>
      </c>
      <c r="E6163">
        <v>2</v>
      </c>
      <c r="F6163" t="s">
        <v>5460</v>
      </c>
    </row>
    <row r="6164" spans="1:6" x14ac:dyDescent="0.25">
      <c r="A6164" t="s">
        <v>5376</v>
      </c>
      <c r="B6164" t="s">
        <v>512</v>
      </c>
      <c r="C6164" t="s">
        <v>513</v>
      </c>
      <c r="D6164" t="str">
        <f>HYPERLINK("http://service.sap.com/sap/support/notes/1644242","1644242")</f>
        <v>1644242</v>
      </c>
      <c r="E6164">
        <v>2</v>
      </c>
      <c r="F6164" t="s">
        <v>5461</v>
      </c>
    </row>
    <row r="6165" spans="1:6" x14ac:dyDescent="0.25">
      <c r="A6165" t="s">
        <v>5376</v>
      </c>
      <c r="B6165" t="s">
        <v>5462</v>
      </c>
      <c r="C6165" t="s">
        <v>5463</v>
      </c>
      <c r="D6165" t="str">
        <f>HYPERLINK("http://service.sap.com/sap/support/notes/1650949","1650949")</f>
        <v>1650949</v>
      </c>
      <c r="E6165">
        <v>2</v>
      </c>
      <c r="F6165" t="s">
        <v>5464</v>
      </c>
    </row>
    <row r="6166" spans="1:6" x14ac:dyDescent="0.25">
      <c r="A6166" t="s">
        <v>5376</v>
      </c>
      <c r="B6166" t="s">
        <v>623</v>
      </c>
      <c r="C6166" t="s">
        <v>624</v>
      </c>
    </row>
    <row r="6167" spans="1:6" x14ac:dyDescent="0.25">
      <c r="A6167" t="s">
        <v>5376</v>
      </c>
      <c r="B6167" t="s">
        <v>625</v>
      </c>
      <c r="C6167" t="s">
        <v>626</v>
      </c>
      <c r="D6167" t="str">
        <f>HYPERLINK("http://service.sap.com/sap/support/notes/1641709","1641709")</f>
        <v>1641709</v>
      </c>
      <c r="E6167">
        <v>1</v>
      </c>
      <c r="F6167" t="s">
        <v>5465</v>
      </c>
    </row>
    <row r="6168" spans="1:6" x14ac:dyDescent="0.25">
      <c r="A6168" t="s">
        <v>5376</v>
      </c>
      <c r="B6168" t="s">
        <v>680</v>
      </c>
      <c r="C6168" t="s">
        <v>681</v>
      </c>
      <c r="D6168" t="str">
        <f>HYPERLINK("http://service.sap.com/sap/support/notes/1651329","1651329")</f>
        <v>1651329</v>
      </c>
      <c r="E6168">
        <v>2</v>
      </c>
      <c r="F6168" t="s">
        <v>5466</v>
      </c>
    </row>
    <row r="6169" spans="1:6" x14ac:dyDescent="0.25">
      <c r="A6169" t="s">
        <v>5376</v>
      </c>
      <c r="B6169" t="s">
        <v>627</v>
      </c>
      <c r="C6169" t="s">
        <v>628</v>
      </c>
      <c r="D6169" t="str">
        <f>HYPERLINK("http://service.sap.com/sap/support/notes/1647070","1647070")</f>
        <v>1647070</v>
      </c>
      <c r="E6169">
        <v>3</v>
      </c>
      <c r="F6169" t="s">
        <v>5467</v>
      </c>
    </row>
    <row r="6170" spans="1:6" x14ac:dyDescent="0.25">
      <c r="A6170" t="s">
        <v>5376</v>
      </c>
      <c r="B6170" t="s">
        <v>627</v>
      </c>
      <c r="C6170" t="s">
        <v>628</v>
      </c>
      <c r="D6170" t="str">
        <f>HYPERLINK("http://service.sap.com/sap/support/notes/1654077","1654077")</f>
        <v>1654077</v>
      </c>
      <c r="E6170">
        <v>1</v>
      </c>
      <c r="F6170" t="s">
        <v>5468</v>
      </c>
    </row>
    <row r="6171" spans="1:6" x14ac:dyDescent="0.25">
      <c r="A6171" t="s">
        <v>5376</v>
      </c>
      <c r="B6171" t="s">
        <v>629</v>
      </c>
      <c r="C6171" t="s">
        <v>630</v>
      </c>
      <c r="D6171" t="str">
        <f>HYPERLINK("http://service.sap.com/sap/support/notes/1623787","1623787")</f>
        <v>1623787</v>
      </c>
      <c r="E6171">
        <v>2</v>
      </c>
      <c r="F6171" t="s">
        <v>5469</v>
      </c>
    </row>
    <row r="6172" spans="1:6" x14ac:dyDescent="0.25">
      <c r="A6172" t="s">
        <v>5376</v>
      </c>
      <c r="B6172" t="s">
        <v>29</v>
      </c>
      <c r="C6172" t="s">
        <v>30</v>
      </c>
    </row>
    <row r="6173" spans="1:6" x14ac:dyDescent="0.25">
      <c r="A6173" t="s">
        <v>5376</v>
      </c>
      <c r="B6173" t="s">
        <v>674</v>
      </c>
      <c r="C6173" t="s">
        <v>92</v>
      </c>
      <c r="D6173" t="str">
        <f>HYPERLINK("http://service.sap.com/sap/support/notes/1640238","1640238")</f>
        <v>1640238</v>
      </c>
      <c r="E6173">
        <v>1</v>
      </c>
      <c r="F6173" t="s">
        <v>5336</v>
      </c>
    </row>
    <row r="6174" spans="1:6" x14ac:dyDescent="0.25">
      <c r="A6174" t="s">
        <v>5376</v>
      </c>
      <c r="B6174" t="s">
        <v>35</v>
      </c>
      <c r="C6174" t="s">
        <v>36</v>
      </c>
      <c r="D6174" t="str">
        <f>HYPERLINK("http://service.sap.com/sap/support/notes/1632904","1632904")</f>
        <v>1632904</v>
      </c>
      <c r="E6174">
        <v>1</v>
      </c>
      <c r="F6174" t="s">
        <v>5234</v>
      </c>
    </row>
    <row r="6175" spans="1:6" x14ac:dyDescent="0.25">
      <c r="A6175" t="s">
        <v>5376</v>
      </c>
      <c r="B6175" t="s">
        <v>37</v>
      </c>
      <c r="C6175" t="s">
        <v>38</v>
      </c>
      <c r="D6175" t="str">
        <f>HYPERLINK("http://service.sap.com/sap/support/notes/1648890","1648890")</f>
        <v>1648890</v>
      </c>
      <c r="E6175">
        <v>2</v>
      </c>
      <c r="F6175" t="s">
        <v>1227</v>
      </c>
    </row>
    <row r="6176" spans="1:6" x14ac:dyDescent="0.25">
      <c r="A6176" t="s">
        <v>5376</v>
      </c>
      <c r="B6176" t="s">
        <v>41</v>
      </c>
      <c r="C6176" t="s">
        <v>42</v>
      </c>
      <c r="D6176" t="str">
        <f>HYPERLINK("http://service.sap.com/sap/support/notes/1635082","1635082")</f>
        <v>1635082</v>
      </c>
      <c r="E6176">
        <v>1</v>
      </c>
      <c r="F6176" t="s">
        <v>5470</v>
      </c>
    </row>
    <row r="6177" spans="1:6" x14ac:dyDescent="0.25">
      <c r="A6177" t="s">
        <v>5376</v>
      </c>
      <c r="B6177" t="s">
        <v>43</v>
      </c>
      <c r="C6177" t="s">
        <v>44</v>
      </c>
      <c r="D6177" t="str">
        <f>HYPERLINK("http://service.sap.com/sap/support/notes/1649882","1649882")</f>
        <v>1649882</v>
      </c>
      <c r="E6177">
        <v>1</v>
      </c>
      <c r="F6177" t="s">
        <v>751</v>
      </c>
    </row>
    <row r="6178" spans="1:6" x14ac:dyDescent="0.25">
      <c r="A6178" t="s">
        <v>5376</v>
      </c>
      <c r="B6178" t="s">
        <v>254</v>
      </c>
      <c r="C6178" t="s">
        <v>255</v>
      </c>
      <c r="D6178" t="str">
        <f>HYPERLINK("http://service.sap.com/sap/support/notes/1648872","1648872")</f>
        <v>1648872</v>
      </c>
      <c r="E6178">
        <v>2</v>
      </c>
      <c r="F6178" t="s">
        <v>1232</v>
      </c>
    </row>
    <row r="6179" spans="1:6" x14ac:dyDescent="0.25">
      <c r="A6179" t="s">
        <v>5376</v>
      </c>
      <c r="B6179" t="s">
        <v>53</v>
      </c>
      <c r="C6179" t="s">
        <v>54</v>
      </c>
      <c r="D6179" t="str">
        <f>HYPERLINK("http://service.sap.com/sap/support/notes/1648569","1648569")</f>
        <v>1648569</v>
      </c>
      <c r="E6179">
        <v>2</v>
      </c>
      <c r="F6179" t="s">
        <v>5471</v>
      </c>
    </row>
    <row r="6180" spans="1:6" x14ac:dyDescent="0.25">
      <c r="A6180" t="s">
        <v>5376</v>
      </c>
      <c r="B6180" t="s">
        <v>256</v>
      </c>
      <c r="C6180" t="s">
        <v>165</v>
      </c>
      <c r="D6180" t="str">
        <f>HYPERLINK("http://service.sap.com/sap/support/notes/1647221","1647221")</f>
        <v>1647221</v>
      </c>
      <c r="E6180">
        <v>2</v>
      </c>
      <c r="F6180" t="s">
        <v>1243</v>
      </c>
    </row>
    <row r="6181" spans="1:6" x14ac:dyDescent="0.25">
      <c r="A6181" t="s">
        <v>5376</v>
      </c>
      <c r="B6181" t="s">
        <v>256</v>
      </c>
      <c r="C6181" t="s">
        <v>165</v>
      </c>
      <c r="D6181" t="str">
        <f>HYPERLINK("http://service.sap.com/sap/support/notes/1647531","1647531")</f>
        <v>1647531</v>
      </c>
      <c r="E6181">
        <v>1</v>
      </c>
      <c r="F6181" t="s">
        <v>1245</v>
      </c>
    </row>
    <row r="6182" spans="1:6" x14ac:dyDescent="0.25">
      <c r="A6182" t="s">
        <v>5376</v>
      </c>
      <c r="B6182" t="s">
        <v>358</v>
      </c>
      <c r="C6182" t="s">
        <v>176</v>
      </c>
      <c r="D6182" t="str">
        <f>HYPERLINK("http://service.sap.com/sap/support/notes/1640865","1640865")</f>
        <v>1640865</v>
      </c>
      <c r="E6182">
        <v>2</v>
      </c>
      <c r="F6182" t="s">
        <v>5472</v>
      </c>
    </row>
    <row r="6183" spans="1:6" x14ac:dyDescent="0.25">
      <c r="A6183" t="s">
        <v>5376</v>
      </c>
      <c r="B6183" t="s">
        <v>57</v>
      </c>
      <c r="C6183" t="s">
        <v>58</v>
      </c>
      <c r="D6183" t="str">
        <f>HYPERLINK("http://service.sap.com/sap/support/notes/960754","960754")</f>
        <v>960754</v>
      </c>
      <c r="E6183">
        <v>9</v>
      </c>
      <c r="F6183" t="s">
        <v>1854</v>
      </c>
    </row>
    <row r="6184" spans="1:6" x14ac:dyDescent="0.25">
      <c r="A6184" t="s">
        <v>5376</v>
      </c>
      <c r="B6184" t="s">
        <v>57</v>
      </c>
      <c r="C6184" t="s">
        <v>58</v>
      </c>
      <c r="D6184" t="str">
        <f>HYPERLINK("http://service.sap.com/sap/support/notes/1603383","1603383")</f>
        <v>1603383</v>
      </c>
      <c r="E6184">
        <v>1</v>
      </c>
      <c r="F6184" t="s">
        <v>5473</v>
      </c>
    </row>
    <row r="6185" spans="1:6" x14ac:dyDescent="0.25">
      <c r="A6185" t="s">
        <v>5376</v>
      </c>
      <c r="B6185" t="s">
        <v>57</v>
      </c>
      <c r="C6185" t="s">
        <v>58</v>
      </c>
      <c r="D6185" t="str">
        <f>HYPERLINK("http://service.sap.com/sap/support/notes/1623036","1623036")</f>
        <v>1623036</v>
      </c>
      <c r="E6185">
        <v>3</v>
      </c>
      <c r="F6185" t="s">
        <v>1254</v>
      </c>
    </row>
    <row r="6186" spans="1:6" x14ac:dyDescent="0.25">
      <c r="A6186" t="s">
        <v>5376</v>
      </c>
      <c r="B6186" t="s">
        <v>61</v>
      </c>
      <c r="C6186" t="s">
        <v>62</v>
      </c>
      <c r="D6186" t="str">
        <f>HYPERLINK("http://service.sap.com/sap/support/notes/1622929","1622929")</f>
        <v>1622929</v>
      </c>
      <c r="E6186">
        <v>2</v>
      </c>
      <c r="F6186" t="s">
        <v>1268</v>
      </c>
    </row>
    <row r="6187" spans="1:6" x14ac:dyDescent="0.25">
      <c r="A6187" t="s">
        <v>5376</v>
      </c>
      <c r="B6187" t="s">
        <v>61</v>
      </c>
      <c r="C6187" t="s">
        <v>62</v>
      </c>
      <c r="D6187" t="str">
        <f>HYPERLINK("http://service.sap.com/sap/support/notes/1649041","1649041")</f>
        <v>1649041</v>
      </c>
      <c r="E6187">
        <v>3</v>
      </c>
      <c r="F6187" t="s">
        <v>5474</v>
      </c>
    </row>
    <row r="6188" spans="1:6" x14ac:dyDescent="0.25">
      <c r="A6188" t="s">
        <v>5376</v>
      </c>
      <c r="B6188" t="s">
        <v>61</v>
      </c>
      <c r="C6188" t="s">
        <v>62</v>
      </c>
      <c r="D6188" t="str">
        <f>HYPERLINK("http://service.sap.com/sap/support/notes/1651901","1651901")</f>
        <v>1651901</v>
      </c>
      <c r="E6188">
        <v>1</v>
      </c>
      <c r="F6188" t="s">
        <v>5475</v>
      </c>
    </row>
    <row r="6189" spans="1:6" x14ac:dyDescent="0.25">
      <c r="A6189" t="s">
        <v>5376</v>
      </c>
      <c r="B6189" t="s">
        <v>647</v>
      </c>
      <c r="C6189" t="s">
        <v>648</v>
      </c>
      <c r="D6189" t="str">
        <f>HYPERLINK("http://service.sap.com/sap/support/notes/1652282","1652282")</f>
        <v>1652282</v>
      </c>
      <c r="E6189">
        <v>1</v>
      </c>
      <c r="F6189" t="s">
        <v>5476</v>
      </c>
    </row>
    <row r="6190" spans="1:6" x14ac:dyDescent="0.25">
      <c r="A6190" t="s">
        <v>5376</v>
      </c>
      <c r="B6190" t="s">
        <v>261</v>
      </c>
      <c r="C6190" t="s">
        <v>262</v>
      </c>
      <c r="D6190" t="str">
        <f>HYPERLINK("http://service.sap.com/sap/support/notes/1597235","1597235")</f>
        <v>1597235</v>
      </c>
      <c r="E6190">
        <v>2</v>
      </c>
      <c r="F6190" t="s">
        <v>1281</v>
      </c>
    </row>
    <row r="6191" spans="1:6" x14ac:dyDescent="0.25">
      <c r="A6191" t="s">
        <v>5376</v>
      </c>
      <c r="B6191" t="s">
        <v>261</v>
      </c>
      <c r="C6191" t="s">
        <v>262</v>
      </c>
      <c r="D6191" t="str">
        <f>HYPERLINK("http://service.sap.com/sap/support/notes/1598063","1598063")</f>
        <v>1598063</v>
      </c>
      <c r="E6191">
        <v>1</v>
      </c>
      <c r="F6191" t="s">
        <v>1283</v>
      </c>
    </row>
    <row r="6192" spans="1:6" x14ac:dyDescent="0.25">
      <c r="A6192" t="s">
        <v>5376</v>
      </c>
      <c r="B6192" t="s">
        <v>261</v>
      </c>
      <c r="C6192" t="s">
        <v>262</v>
      </c>
      <c r="D6192" t="str">
        <f>HYPERLINK("http://service.sap.com/sap/support/notes/1622915","1622915")</f>
        <v>1622915</v>
      </c>
      <c r="E6192">
        <v>1</v>
      </c>
      <c r="F6192" t="s">
        <v>1303</v>
      </c>
    </row>
    <row r="6193" spans="1:6" x14ac:dyDescent="0.25">
      <c r="A6193" t="s">
        <v>5376</v>
      </c>
      <c r="B6193" t="s">
        <v>261</v>
      </c>
      <c r="C6193" t="s">
        <v>262</v>
      </c>
      <c r="D6193" t="str">
        <f>HYPERLINK("http://service.sap.com/sap/support/notes/1653199","1653199")</f>
        <v>1653199</v>
      </c>
      <c r="E6193">
        <v>1</v>
      </c>
      <c r="F6193" t="s">
        <v>5477</v>
      </c>
    </row>
    <row r="6194" spans="1:6" x14ac:dyDescent="0.25">
      <c r="A6194" t="s">
        <v>5376</v>
      </c>
      <c r="B6194" t="s">
        <v>264</v>
      </c>
      <c r="C6194" t="s">
        <v>249</v>
      </c>
    </row>
    <row r="6195" spans="1:6" x14ac:dyDescent="0.25">
      <c r="A6195" t="s">
        <v>5376</v>
      </c>
      <c r="B6195" t="s">
        <v>265</v>
      </c>
      <c r="C6195" t="s">
        <v>668</v>
      </c>
      <c r="D6195" t="str">
        <f>HYPERLINK("http://service.sap.com/sap/support/notes/1636872","1636872")</f>
        <v>1636872</v>
      </c>
      <c r="E6195">
        <v>1</v>
      </c>
      <c r="F6195" t="s">
        <v>5478</v>
      </c>
    </row>
    <row r="6196" spans="1:6" x14ac:dyDescent="0.25">
      <c r="A6196" t="s">
        <v>5376</v>
      </c>
      <c r="B6196" t="s">
        <v>267</v>
      </c>
      <c r="C6196" t="s">
        <v>466</v>
      </c>
    </row>
    <row r="6197" spans="1:6" x14ac:dyDescent="0.25">
      <c r="A6197" t="s">
        <v>5376</v>
      </c>
      <c r="B6197" t="s">
        <v>268</v>
      </c>
      <c r="C6197" t="s">
        <v>467</v>
      </c>
      <c r="D6197" t="str">
        <f>HYPERLINK("http://service.sap.com/sap/support/notes/1257160","1257160")</f>
        <v>1257160</v>
      </c>
      <c r="E6197">
        <v>2</v>
      </c>
      <c r="F6197" t="s">
        <v>5479</v>
      </c>
    </row>
    <row r="6198" spans="1:6" x14ac:dyDescent="0.25">
      <c r="A6198" t="s">
        <v>5376</v>
      </c>
      <c r="B6198" t="s">
        <v>268</v>
      </c>
      <c r="C6198" t="s">
        <v>467</v>
      </c>
      <c r="D6198" t="str">
        <f>HYPERLINK("http://service.sap.com/sap/support/notes/1632988","1632988")</f>
        <v>1632988</v>
      </c>
      <c r="E6198">
        <v>2</v>
      </c>
      <c r="F6198" t="s">
        <v>5480</v>
      </c>
    </row>
    <row r="6199" spans="1:6" x14ac:dyDescent="0.25">
      <c r="A6199" t="s">
        <v>5376</v>
      </c>
      <c r="B6199" t="s">
        <v>268</v>
      </c>
      <c r="C6199" t="s">
        <v>467</v>
      </c>
      <c r="D6199" t="str">
        <f>HYPERLINK("http://service.sap.com/sap/support/notes/1645114","1645114")</f>
        <v>1645114</v>
      </c>
      <c r="E6199">
        <v>2</v>
      </c>
      <c r="F6199" t="s">
        <v>5481</v>
      </c>
    </row>
    <row r="6200" spans="1:6" x14ac:dyDescent="0.25">
      <c r="A6200" t="s">
        <v>5376</v>
      </c>
      <c r="B6200" t="s">
        <v>268</v>
      </c>
      <c r="C6200" t="s">
        <v>467</v>
      </c>
      <c r="D6200" t="str">
        <f>HYPERLINK("http://service.sap.com/sap/support/notes/1646797","1646797")</f>
        <v>1646797</v>
      </c>
      <c r="E6200">
        <v>1</v>
      </c>
      <c r="F6200" t="s">
        <v>5482</v>
      </c>
    </row>
    <row r="6201" spans="1:6" x14ac:dyDescent="0.25">
      <c r="A6201" t="s">
        <v>5376</v>
      </c>
      <c r="B6201" t="s">
        <v>268</v>
      </c>
      <c r="C6201" t="s">
        <v>467</v>
      </c>
      <c r="D6201" t="str">
        <f>HYPERLINK("http://service.sap.com/sap/support/notes/1648879","1648879")</f>
        <v>1648879</v>
      </c>
      <c r="E6201">
        <v>2</v>
      </c>
      <c r="F6201" t="s">
        <v>5483</v>
      </c>
    </row>
    <row r="6202" spans="1:6" x14ac:dyDescent="0.25">
      <c r="A6202" t="s">
        <v>5376</v>
      </c>
      <c r="B6202" t="s">
        <v>268</v>
      </c>
      <c r="C6202" t="s">
        <v>467</v>
      </c>
      <c r="D6202" t="str">
        <f>HYPERLINK("http://service.sap.com/sap/support/notes/1649341","1649341")</f>
        <v>1649341</v>
      </c>
      <c r="E6202">
        <v>1</v>
      </c>
      <c r="F6202" t="s">
        <v>5484</v>
      </c>
    </row>
    <row r="6203" spans="1:6" x14ac:dyDescent="0.25">
      <c r="A6203" t="s">
        <v>5376</v>
      </c>
      <c r="B6203" t="s">
        <v>268</v>
      </c>
      <c r="C6203" t="s">
        <v>467</v>
      </c>
      <c r="D6203" t="str">
        <f>HYPERLINK("http://service.sap.com/sap/support/notes/1653587","1653587")</f>
        <v>1653587</v>
      </c>
      <c r="E6203">
        <v>2</v>
      </c>
      <c r="F6203" t="s">
        <v>5485</v>
      </c>
    </row>
    <row r="6204" spans="1:6" x14ac:dyDescent="0.25">
      <c r="A6204" t="s">
        <v>5376</v>
      </c>
      <c r="B6204" t="s">
        <v>273</v>
      </c>
      <c r="C6204" t="s">
        <v>469</v>
      </c>
    </row>
    <row r="6205" spans="1:6" x14ac:dyDescent="0.25">
      <c r="A6205" t="s">
        <v>5376</v>
      </c>
      <c r="B6205" t="s">
        <v>274</v>
      </c>
      <c r="C6205" t="s">
        <v>470</v>
      </c>
      <c r="D6205" t="str">
        <f>HYPERLINK("http://service.sap.com/sap/support/notes/1597185","1597185")</f>
        <v>1597185</v>
      </c>
      <c r="E6205">
        <v>4</v>
      </c>
      <c r="F6205" t="s">
        <v>5486</v>
      </c>
    </row>
    <row r="6206" spans="1:6" x14ac:dyDescent="0.25">
      <c r="A6206" t="s">
        <v>5376</v>
      </c>
      <c r="B6206" t="s">
        <v>274</v>
      </c>
      <c r="C6206" t="s">
        <v>470</v>
      </c>
      <c r="D6206" t="str">
        <f>HYPERLINK("http://service.sap.com/sap/support/notes/1625670","1625670")</f>
        <v>1625670</v>
      </c>
      <c r="E6206">
        <v>1</v>
      </c>
      <c r="F6206" t="s">
        <v>5347</v>
      </c>
    </row>
    <row r="6207" spans="1:6" x14ac:dyDescent="0.25">
      <c r="A6207" t="s">
        <v>5376</v>
      </c>
      <c r="B6207" t="s">
        <v>274</v>
      </c>
      <c r="C6207" t="s">
        <v>470</v>
      </c>
      <c r="D6207" t="str">
        <f>HYPERLINK("http://service.sap.com/sap/support/notes/1625671","1625671")</f>
        <v>1625671</v>
      </c>
      <c r="E6207">
        <v>1</v>
      </c>
      <c r="F6207" t="s">
        <v>5487</v>
      </c>
    </row>
    <row r="6208" spans="1:6" x14ac:dyDescent="0.25">
      <c r="A6208" t="s">
        <v>5376</v>
      </c>
      <c r="B6208" t="s">
        <v>274</v>
      </c>
      <c r="C6208" t="s">
        <v>470</v>
      </c>
      <c r="D6208" t="str">
        <f>HYPERLINK("http://service.sap.com/sap/support/notes/1643332","1643332")</f>
        <v>1643332</v>
      </c>
      <c r="E6208">
        <v>2</v>
      </c>
      <c r="F6208" t="s">
        <v>5488</v>
      </c>
    </row>
    <row r="6209" spans="1:6" x14ac:dyDescent="0.25">
      <c r="A6209" t="s">
        <v>5376</v>
      </c>
      <c r="B6209" t="s">
        <v>274</v>
      </c>
      <c r="C6209" t="s">
        <v>470</v>
      </c>
      <c r="D6209" t="str">
        <f>HYPERLINK("http://service.sap.com/sap/support/notes/1646608","1646608")</f>
        <v>1646608</v>
      </c>
      <c r="E6209">
        <v>1</v>
      </c>
      <c r="F6209" t="s">
        <v>5489</v>
      </c>
    </row>
    <row r="6210" spans="1:6" x14ac:dyDescent="0.25">
      <c r="A6210" t="s">
        <v>5376</v>
      </c>
      <c r="B6210" t="s">
        <v>471</v>
      </c>
      <c r="C6210" t="s">
        <v>472</v>
      </c>
      <c r="D6210" t="str">
        <f>HYPERLINK("http://service.sap.com/sap/support/notes/1490059","1490059")</f>
        <v>1490059</v>
      </c>
      <c r="E6210">
        <v>2</v>
      </c>
      <c r="F6210" t="s">
        <v>5490</v>
      </c>
    </row>
    <row r="6211" spans="1:6" x14ac:dyDescent="0.25">
      <c r="A6211" t="s">
        <v>5376</v>
      </c>
      <c r="B6211" t="s">
        <v>471</v>
      </c>
      <c r="C6211" t="s">
        <v>472</v>
      </c>
      <c r="D6211" t="str">
        <f>HYPERLINK("http://service.sap.com/sap/support/notes/1568541","1568541")</f>
        <v>1568541</v>
      </c>
      <c r="E6211">
        <v>5</v>
      </c>
      <c r="F6211" t="s">
        <v>5491</v>
      </c>
    </row>
    <row r="6212" spans="1:6" x14ac:dyDescent="0.25">
      <c r="A6212" t="s">
        <v>5376</v>
      </c>
      <c r="B6212" t="s">
        <v>471</v>
      </c>
      <c r="C6212" t="s">
        <v>472</v>
      </c>
      <c r="D6212" t="str">
        <f>HYPERLINK("http://service.sap.com/sap/support/notes/1623236","1623236")</f>
        <v>1623236</v>
      </c>
      <c r="E6212">
        <v>3</v>
      </c>
      <c r="F6212" t="s">
        <v>5349</v>
      </c>
    </row>
    <row r="6213" spans="1:6" x14ac:dyDescent="0.25">
      <c r="A6213" t="s">
        <v>5376</v>
      </c>
      <c r="B6213" t="s">
        <v>471</v>
      </c>
      <c r="C6213" t="s">
        <v>472</v>
      </c>
      <c r="D6213" t="str">
        <f>HYPERLINK("http://service.sap.com/sap/support/notes/1641711","1641711")</f>
        <v>1641711</v>
      </c>
      <c r="E6213">
        <v>1</v>
      </c>
      <c r="F6213" t="s">
        <v>1351</v>
      </c>
    </row>
    <row r="6214" spans="1:6" x14ac:dyDescent="0.25">
      <c r="A6214" t="s">
        <v>5376</v>
      </c>
      <c r="B6214" t="s">
        <v>471</v>
      </c>
      <c r="C6214" t="s">
        <v>472</v>
      </c>
      <c r="D6214" t="str">
        <f>HYPERLINK("http://service.sap.com/sap/support/notes/1650201","1650201")</f>
        <v>1650201</v>
      </c>
      <c r="E6214">
        <v>4</v>
      </c>
      <c r="F6214" t="s">
        <v>5492</v>
      </c>
    </row>
    <row r="6215" spans="1:6" x14ac:dyDescent="0.25">
      <c r="A6215" t="s">
        <v>5376</v>
      </c>
      <c r="B6215" t="s">
        <v>471</v>
      </c>
      <c r="C6215" t="s">
        <v>472</v>
      </c>
      <c r="D6215" t="str">
        <f>HYPERLINK("http://service.sap.com/sap/support/notes/1650942","1650942")</f>
        <v>1650942</v>
      </c>
      <c r="E6215">
        <v>4</v>
      </c>
      <c r="F6215" t="s">
        <v>5493</v>
      </c>
    </row>
    <row r="6216" spans="1:6" x14ac:dyDescent="0.25">
      <c r="A6216" t="s">
        <v>5376</v>
      </c>
      <c r="B6216" t="s">
        <v>471</v>
      </c>
      <c r="C6216" t="s">
        <v>472</v>
      </c>
      <c r="D6216" t="str">
        <f>HYPERLINK("http://service.sap.com/sap/support/notes/1651338","1651338")</f>
        <v>1651338</v>
      </c>
      <c r="E6216">
        <v>3</v>
      </c>
      <c r="F6216" t="s">
        <v>5494</v>
      </c>
    </row>
    <row r="6217" spans="1:6" x14ac:dyDescent="0.25">
      <c r="A6217" t="s">
        <v>5376</v>
      </c>
      <c r="B6217" t="s">
        <v>421</v>
      </c>
      <c r="C6217" t="s">
        <v>363</v>
      </c>
      <c r="D6217" t="str">
        <f>HYPERLINK("http://service.sap.com/sap/support/notes/1613464","1613464")</f>
        <v>1613464</v>
      </c>
      <c r="E6217">
        <v>6</v>
      </c>
      <c r="F6217" t="s">
        <v>561</v>
      </c>
    </row>
    <row r="6218" spans="1:6" x14ac:dyDescent="0.25">
      <c r="A6218" t="s">
        <v>5376</v>
      </c>
      <c r="B6218" t="s">
        <v>474</v>
      </c>
      <c r="C6218" t="s">
        <v>475</v>
      </c>
      <c r="D6218" t="str">
        <f>HYPERLINK("http://service.sap.com/sap/support/notes/1644832","1644832")</f>
        <v>1644832</v>
      </c>
      <c r="E6218">
        <v>1</v>
      </c>
      <c r="F6218" t="s">
        <v>5495</v>
      </c>
    </row>
    <row r="6219" spans="1:6" x14ac:dyDescent="0.25">
      <c r="A6219" t="s">
        <v>5376</v>
      </c>
      <c r="B6219" t="s">
        <v>474</v>
      </c>
      <c r="C6219" t="s">
        <v>475</v>
      </c>
      <c r="D6219" t="str">
        <f>HYPERLINK("http://service.sap.com/sap/support/notes/1645769","1645769")</f>
        <v>1645769</v>
      </c>
      <c r="E6219">
        <v>2</v>
      </c>
      <c r="F6219" t="s">
        <v>5496</v>
      </c>
    </row>
    <row r="6220" spans="1:6" x14ac:dyDescent="0.25">
      <c r="A6220" t="s">
        <v>5376</v>
      </c>
      <c r="B6220" t="s">
        <v>474</v>
      </c>
      <c r="C6220" t="s">
        <v>475</v>
      </c>
      <c r="D6220" t="str">
        <f>HYPERLINK("http://service.sap.com/sap/support/notes/1646312","1646312")</f>
        <v>1646312</v>
      </c>
      <c r="E6220">
        <v>2</v>
      </c>
      <c r="F6220" t="s">
        <v>5497</v>
      </c>
    </row>
    <row r="6221" spans="1:6" x14ac:dyDescent="0.25">
      <c r="A6221" t="s">
        <v>5376</v>
      </c>
      <c r="B6221" t="s">
        <v>474</v>
      </c>
      <c r="C6221" t="s">
        <v>475</v>
      </c>
      <c r="D6221" t="str">
        <f>HYPERLINK("http://service.sap.com/sap/support/notes/1646643","1646643")</f>
        <v>1646643</v>
      </c>
      <c r="E6221">
        <v>1</v>
      </c>
      <c r="F6221" t="s">
        <v>5498</v>
      </c>
    </row>
    <row r="6222" spans="1:6" x14ac:dyDescent="0.25">
      <c r="A6222" t="s">
        <v>5376</v>
      </c>
      <c r="B6222" t="s">
        <v>474</v>
      </c>
      <c r="C6222" t="s">
        <v>475</v>
      </c>
      <c r="D6222" t="str">
        <f>HYPERLINK("http://service.sap.com/sap/support/notes/1647330","1647330")</f>
        <v>1647330</v>
      </c>
      <c r="E6222">
        <v>1</v>
      </c>
      <c r="F6222" t="s">
        <v>5499</v>
      </c>
    </row>
    <row r="6223" spans="1:6" x14ac:dyDescent="0.25">
      <c r="A6223" t="s">
        <v>5376</v>
      </c>
      <c r="B6223" t="s">
        <v>474</v>
      </c>
      <c r="C6223" t="s">
        <v>475</v>
      </c>
      <c r="D6223" t="str">
        <f>HYPERLINK("http://service.sap.com/sap/support/notes/1651305","1651305")</f>
        <v>1651305</v>
      </c>
      <c r="E6223">
        <v>2</v>
      </c>
      <c r="F6223" t="s">
        <v>5500</v>
      </c>
    </row>
    <row r="6224" spans="1:6" x14ac:dyDescent="0.25">
      <c r="A6224" t="s">
        <v>5376</v>
      </c>
      <c r="B6224" t="s">
        <v>474</v>
      </c>
      <c r="C6224" t="s">
        <v>475</v>
      </c>
      <c r="D6224" t="str">
        <f>HYPERLINK("http://service.sap.com/sap/support/notes/1653152","1653152")</f>
        <v>1653152</v>
      </c>
      <c r="E6224">
        <v>1</v>
      </c>
      <c r="F6224" t="s">
        <v>5501</v>
      </c>
    </row>
    <row r="6225" spans="1:6" x14ac:dyDescent="0.25">
      <c r="A6225" t="s">
        <v>5376</v>
      </c>
      <c r="B6225" t="s">
        <v>72</v>
      </c>
      <c r="C6225" t="s">
        <v>73</v>
      </c>
    </row>
    <row r="6226" spans="1:6" x14ac:dyDescent="0.25">
      <c r="A6226" t="s">
        <v>5376</v>
      </c>
      <c r="B6226" t="s">
        <v>281</v>
      </c>
      <c r="C6226" t="s">
        <v>368</v>
      </c>
    </row>
    <row r="6227" spans="1:6" x14ac:dyDescent="0.25">
      <c r="A6227" t="s">
        <v>5376</v>
      </c>
      <c r="B6227" t="s">
        <v>476</v>
      </c>
      <c r="C6227" t="s">
        <v>477</v>
      </c>
      <c r="D6227" t="str">
        <f>HYPERLINK("http://service.sap.com/sap/support/notes/1374217","1374217")</f>
        <v>1374217</v>
      </c>
      <c r="E6227">
        <v>3</v>
      </c>
      <c r="F6227" t="s">
        <v>5502</v>
      </c>
    </row>
    <row r="6228" spans="1:6" x14ac:dyDescent="0.25">
      <c r="A6228" t="s">
        <v>5376</v>
      </c>
      <c r="B6228" t="s">
        <v>476</v>
      </c>
      <c r="C6228" t="s">
        <v>477</v>
      </c>
      <c r="D6228" t="str">
        <f>HYPERLINK("http://service.sap.com/sap/support/notes/1571066","1571066")</f>
        <v>1571066</v>
      </c>
      <c r="E6228">
        <v>3</v>
      </c>
      <c r="F6228" t="s">
        <v>5503</v>
      </c>
    </row>
    <row r="6229" spans="1:6" x14ac:dyDescent="0.25">
      <c r="A6229" t="s">
        <v>5376</v>
      </c>
      <c r="B6229" t="s">
        <v>476</v>
      </c>
      <c r="C6229" t="s">
        <v>477</v>
      </c>
      <c r="D6229" t="str">
        <f>HYPERLINK("http://service.sap.com/sap/support/notes/1634084","1634084")</f>
        <v>1634084</v>
      </c>
      <c r="E6229">
        <v>2</v>
      </c>
      <c r="F6229" t="s">
        <v>5504</v>
      </c>
    </row>
    <row r="6230" spans="1:6" x14ac:dyDescent="0.25">
      <c r="A6230" t="s">
        <v>5376</v>
      </c>
      <c r="B6230" t="s">
        <v>282</v>
      </c>
      <c r="C6230" t="s">
        <v>369</v>
      </c>
      <c r="D6230" t="str">
        <f>HYPERLINK("http://service.sap.com/sap/support/notes/1568710","1568710")</f>
        <v>1568710</v>
      </c>
      <c r="E6230">
        <v>2</v>
      </c>
      <c r="F6230" t="s">
        <v>5505</v>
      </c>
    </row>
    <row r="6231" spans="1:6" x14ac:dyDescent="0.25">
      <c r="A6231" t="s">
        <v>5376</v>
      </c>
      <c r="B6231" t="s">
        <v>282</v>
      </c>
      <c r="C6231" t="s">
        <v>369</v>
      </c>
      <c r="D6231" t="str">
        <f>HYPERLINK("http://service.sap.com/sap/support/notes/1600068","1600068")</f>
        <v>1600068</v>
      </c>
      <c r="E6231">
        <v>3</v>
      </c>
      <c r="F6231" t="s">
        <v>5506</v>
      </c>
    </row>
    <row r="6232" spans="1:6" x14ac:dyDescent="0.25">
      <c r="A6232" t="s">
        <v>5376</v>
      </c>
      <c r="B6232" t="s">
        <v>282</v>
      </c>
      <c r="C6232" t="s">
        <v>369</v>
      </c>
      <c r="D6232" t="str">
        <f>HYPERLINK("http://service.sap.com/sap/support/notes/1640020","1640020")</f>
        <v>1640020</v>
      </c>
      <c r="E6232">
        <v>1</v>
      </c>
      <c r="F6232" t="s">
        <v>5507</v>
      </c>
    </row>
    <row r="6233" spans="1:6" x14ac:dyDescent="0.25">
      <c r="A6233" t="s">
        <v>5376</v>
      </c>
      <c r="B6233" t="s">
        <v>282</v>
      </c>
      <c r="C6233" t="s">
        <v>369</v>
      </c>
      <c r="D6233" t="str">
        <f>HYPERLINK("http://service.sap.com/sap/support/notes/1642445","1642445")</f>
        <v>1642445</v>
      </c>
      <c r="E6233">
        <v>1</v>
      </c>
      <c r="F6233" t="s">
        <v>5508</v>
      </c>
    </row>
    <row r="6234" spans="1:6" x14ac:dyDescent="0.25">
      <c r="A6234" t="s">
        <v>5376</v>
      </c>
      <c r="B6234" t="s">
        <v>282</v>
      </c>
      <c r="C6234" t="s">
        <v>369</v>
      </c>
      <c r="D6234" t="str">
        <f>HYPERLINK("http://service.sap.com/sap/support/notes/1653697","1653697")</f>
        <v>1653697</v>
      </c>
      <c r="E6234">
        <v>1</v>
      </c>
      <c r="F6234" t="s">
        <v>5509</v>
      </c>
    </row>
    <row r="6235" spans="1:6" x14ac:dyDescent="0.25">
      <c r="A6235" t="s">
        <v>5376</v>
      </c>
      <c r="B6235" t="s">
        <v>282</v>
      </c>
      <c r="C6235" t="s">
        <v>369</v>
      </c>
      <c r="D6235" t="str">
        <f>HYPERLINK("http://service.sap.com/sap/support/notes/1654660","1654660")</f>
        <v>1654660</v>
      </c>
      <c r="E6235">
        <v>1</v>
      </c>
      <c r="F6235" t="s">
        <v>5510</v>
      </c>
    </row>
    <row r="6236" spans="1:6" x14ac:dyDescent="0.25">
      <c r="A6236" t="s">
        <v>5376</v>
      </c>
      <c r="B6236" t="s">
        <v>283</v>
      </c>
      <c r="C6236" t="s">
        <v>365</v>
      </c>
      <c r="D6236" t="str">
        <f>HYPERLINK("http://service.sap.com/sap/support/notes/1622480","1622480")</f>
        <v>1622480</v>
      </c>
      <c r="E6236">
        <v>3</v>
      </c>
      <c r="F6236" t="s">
        <v>569</v>
      </c>
    </row>
    <row r="6237" spans="1:6" x14ac:dyDescent="0.25">
      <c r="A6237" t="s">
        <v>5376</v>
      </c>
      <c r="B6237" t="s">
        <v>284</v>
      </c>
      <c r="C6237" t="s">
        <v>393</v>
      </c>
    </row>
    <row r="6238" spans="1:6" x14ac:dyDescent="0.25">
      <c r="A6238" t="s">
        <v>5376</v>
      </c>
      <c r="B6238" t="s">
        <v>293</v>
      </c>
      <c r="C6238" t="s">
        <v>587</v>
      </c>
    </row>
    <row r="6239" spans="1:6" x14ac:dyDescent="0.25">
      <c r="A6239" t="s">
        <v>5376</v>
      </c>
      <c r="B6239" t="s">
        <v>298</v>
      </c>
      <c r="C6239" t="s">
        <v>588</v>
      </c>
    </row>
    <row r="6240" spans="1:6" x14ac:dyDescent="0.25">
      <c r="A6240" t="s">
        <v>5376</v>
      </c>
      <c r="B6240" t="s">
        <v>589</v>
      </c>
      <c r="C6240" t="s">
        <v>443</v>
      </c>
      <c r="D6240" t="str">
        <f>HYPERLINK("http://service.sap.com/sap/support/notes/1134874","1134874")</f>
        <v>1134874</v>
      </c>
      <c r="E6240">
        <v>3</v>
      </c>
      <c r="F6240" t="s">
        <v>5511</v>
      </c>
    </row>
    <row r="6241" spans="1:6" x14ac:dyDescent="0.25">
      <c r="A6241" t="s">
        <v>5376</v>
      </c>
      <c r="B6241" t="s">
        <v>589</v>
      </c>
      <c r="C6241" t="s">
        <v>443</v>
      </c>
      <c r="D6241" t="str">
        <f>HYPERLINK("http://service.sap.com/sap/support/notes/1360740","1360740")</f>
        <v>1360740</v>
      </c>
      <c r="E6241">
        <v>5</v>
      </c>
      <c r="F6241" t="s">
        <v>5512</v>
      </c>
    </row>
    <row r="6242" spans="1:6" x14ac:dyDescent="0.25">
      <c r="A6242" t="s">
        <v>5376</v>
      </c>
      <c r="B6242" t="s">
        <v>589</v>
      </c>
      <c r="C6242" t="s">
        <v>443</v>
      </c>
      <c r="D6242" t="str">
        <f>HYPERLINK("http://service.sap.com/sap/support/notes/1463433","1463433")</f>
        <v>1463433</v>
      </c>
      <c r="E6242">
        <v>3</v>
      </c>
      <c r="F6242" t="s">
        <v>5513</v>
      </c>
    </row>
    <row r="6243" spans="1:6" x14ac:dyDescent="0.25">
      <c r="A6243" t="s">
        <v>5376</v>
      </c>
      <c r="B6243" t="s">
        <v>589</v>
      </c>
      <c r="C6243" t="s">
        <v>443</v>
      </c>
      <c r="D6243" t="str">
        <f>HYPERLINK("http://service.sap.com/sap/support/notes/1472072","1472072")</f>
        <v>1472072</v>
      </c>
      <c r="E6243">
        <v>4</v>
      </c>
      <c r="F6243" t="s">
        <v>5514</v>
      </c>
    </row>
    <row r="6244" spans="1:6" x14ac:dyDescent="0.25">
      <c r="A6244" t="s">
        <v>5376</v>
      </c>
      <c r="B6244" t="s">
        <v>589</v>
      </c>
      <c r="C6244" t="s">
        <v>443</v>
      </c>
      <c r="D6244" t="str">
        <f>HYPERLINK("http://service.sap.com/sap/support/notes/1528666","1528666")</f>
        <v>1528666</v>
      </c>
      <c r="E6244">
        <v>8</v>
      </c>
      <c r="F6244" t="s">
        <v>5515</v>
      </c>
    </row>
    <row r="6245" spans="1:6" x14ac:dyDescent="0.25">
      <c r="A6245" t="s">
        <v>5376</v>
      </c>
      <c r="B6245" t="s">
        <v>589</v>
      </c>
      <c r="C6245" t="s">
        <v>443</v>
      </c>
      <c r="D6245" t="str">
        <f>HYPERLINK("http://service.sap.com/sap/support/notes/1566814","1566814")</f>
        <v>1566814</v>
      </c>
      <c r="E6245">
        <v>3</v>
      </c>
      <c r="F6245" t="s">
        <v>5516</v>
      </c>
    </row>
    <row r="6246" spans="1:6" x14ac:dyDescent="0.25">
      <c r="A6246" t="s">
        <v>5376</v>
      </c>
      <c r="B6246" t="s">
        <v>589</v>
      </c>
      <c r="C6246" t="s">
        <v>443</v>
      </c>
      <c r="D6246" t="str">
        <f>HYPERLINK("http://service.sap.com/sap/support/notes/1587357","1587357")</f>
        <v>1587357</v>
      </c>
      <c r="E6246">
        <v>5</v>
      </c>
      <c r="F6246" t="s">
        <v>5517</v>
      </c>
    </row>
    <row r="6247" spans="1:6" x14ac:dyDescent="0.25">
      <c r="A6247" t="s">
        <v>5376</v>
      </c>
      <c r="B6247" t="s">
        <v>589</v>
      </c>
      <c r="C6247" t="s">
        <v>443</v>
      </c>
      <c r="D6247" t="str">
        <f>HYPERLINK("http://service.sap.com/sap/support/notes/1596290","1596290")</f>
        <v>1596290</v>
      </c>
      <c r="E6247">
        <v>3</v>
      </c>
      <c r="F6247" t="s">
        <v>5518</v>
      </c>
    </row>
    <row r="6248" spans="1:6" x14ac:dyDescent="0.25">
      <c r="A6248" t="s">
        <v>5376</v>
      </c>
      <c r="B6248" t="s">
        <v>589</v>
      </c>
      <c r="C6248" t="s">
        <v>443</v>
      </c>
      <c r="D6248" t="str">
        <f>HYPERLINK("http://service.sap.com/sap/support/notes/1602944","1602944")</f>
        <v>1602944</v>
      </c>
      <c r="E6248">
        <v>4</v>
      </c>
      <c r="F6248" t="s">
        <v>5519</v>
      </c>
    </row>
    <row r="6249" spans="1:6" x14ac:dyDescent="0.25">
      <c r="A6249" t="s">
        <v>5376</v>
      </c>
      <c r="B6249" t="s">
        <v>589</v>
      </c>
      <c r="C6249" t="s">
        <v>443</v>
      </c>
      <c r="D6249" t="str">
        <f>HYPERLINK("http://service.sap.com/sap/support/notes/1603980","1603980")</f>
        <v>1603980</v>
      </c>
      <c r="E6249">
        <v>4</v>
      </c>
      <c r="F6249" t="s">
        <v>5520</v>
      </c>
    </row>
    <row r="6250" spans="1:6" x14ac:dyDescent="0.25">
      <c r="A6250" t="s">
        <v>5376</v>
      </c>
      <c r="B6250" t="s">
        <v>589</v>
      </c>
      <c r="C6250" t="s">
        <v>443</v>
      </c>
      <c r="D6250" t="str">
        <f>HYPERLINK("http://service.sap.com/sap/support/notes/1610638","1610638")</f>
        <v>1610638</v>
      </c>
      <c r="E6250">
        <v>1</v>
      </c>
      <c r="F6250" t="s">
        <v>5521</v>
      </c>
    </row>
    <row r="6251" spans="1:6" x14ac:dyDescent="0.25">
      <c r="A6251" t="s">
        <v>5376</v>
      </c>
      <c r="B6251" t="s">
        <v>589</v>
      </c>
      <c r="C6251" t="s">
        <v>443</v>
      </c>
      <c r="D6251" t="str">
        <f>HYPERLINK("http://service.sap.com/sap/support/notes/1610673","1610673")</f>
        <v>1610673</v>
      </c>
      <c r="E6251">
        <v>3</v>
      </c>
      <c r="F6251" t="s">
        <v>5522</v>
      </c>
    </row>
    <row r="6252" spans="1:6" x14ac:dyDescent="0.25">
      <c r="A6252" t="s">
        <v>5376</v>
      </c>
      <c r="B6252" t="s">
        <v>589</v>
      </c>
      <c r="C6252" t="s">
        <v>443</v>
      </c>
      <c r="D6252" t="str">
        <f>HYPERLINK("http://service.sap.com/sap/support/notes/1616250","1616250")</f>
        <v>1616250</v>
      </c>
      <c r="E6252">
        <v>2</v>
      </c>
      <c r="F6252" t="s">
        <v>5523</v>
      </c>
    </row>
    <row r="6253" spans="1:6" x14ac:dyDescent="0.25">
      <c r="A6253" t="s">
        <v>5376</v>
      </c>
      <c r="B6253" t="s">
        <v>589</v>
      </c>
      <c r="C6253" t="s">
        <v>443</v>
      </c>
      <c r="D6253" t="str">
        <f>HYPERLINK("http://service.sap.com/sap/support/notes/1620547","1620547")</f>
        <v>1620547</v>
      </c>
      <c r="E6253">
        <v>2</v>
      </c>
      <c r="F6253" t="s">
        <v>5524</v>
      </c>
    </row>
    <row r="6254" spans="1:6" x14ac:dyDescent="0.25">
      <c r="A6254" t="s">
        <v>5376</v>
      </c>
      <c r="B6254" t="s">
        <v>589</v>
      </c>
      <c r="C6254" t="s">
        <v>443</v>
      </c>
      <c r="D6254" t="str">
        <f>HYPERLINK("http://service.sap.com/sap/support/notes/1621488","1621488")</f>
        <v>1621488</v>
      </c>
      <c r="E6254">
        <v>1</v>
      </c>
      <c r="F6254" t="s">
        <v>5525</v>
      </c>
    </row>
    <row r="6255" spans="1:6" x14ac:dyDescent="0.25">
      <c r="A6255" t="s">
        <v>5376</v>
      </c>
      <c r="B6255" t="s">
        <v>589</v>
      </c>
      <c r="C6255" t="s">
        <v>443</v>
      </c>
      <c r="D6255" t="str">
        <f>HYPERLINK("http://service.sap.com/sap/support/notes/1630466","1630466")</f>
        <v>1630466</v>
      </c>
      <c r="E6255">
        <v>1</v>
      </c>
      <c r="F6255" t="s">
        <v>5526</v>
      </c>
    </row>
    <row r="6256" spans="1:6" x14ac:dyDescent="0.25">
      <c r="A6256" t="s">
        <v>5376</v>
      </c>
      <c r="B6256" t="s">
        <v>589</v>
      </c>
      <c r="C6256" t="s">
        <v>443</v>
      </c>
      <c r="D6256" t="str">
        <f>HYPERLINK("http://service.sap.com/sap/support/notes/1633281","1633281")</f>
        <v>1633281</v>
      </c>
      <c r="E6256">
        <v>2</v>
      </c>
      <c r="F6256" t="s">
        <v>5527</v>
      </c>
    </row>
    <row r="6257" spans="1:6" x14ac:dyDescent="0.25">
      <c r="A6257" t="s">
        <v>5376</v>
      </c>
      <c r="B6257" t="s">
        <v>589</v>
      </c>
      <c r="C6257" t="s">
        <v>443</v>
      </c>
      <c r="D6257" t="str">
        <f>HYPERLINK("http://service.sap.com/sap/support/notes/1643225","1643225")</f>
        <v>1643225</v>
      </c>
      <c r="E6257">
        <v>1</v>
      </c>
      <c r="F6257" t="s">
        <v>5528</v>
      </c>
    </row>
    <row r="6258" spans="1:6" x14ac:dyDescent="0.25">
      <c r="A6258" t="s">
        <v>5376</v>
      </c>
      <c r="B6258" t="s">
        <v>589</v>
      </c>
      <c r="C6258" t="s">
        <v>443</v>
      </c>
      <c r="D6258" t="str">
        <f>HYPERLINK("http://service.sap.com/sap/support/notes/1649139","1649139")</f>
        <v>1649139</v>
      </c>
      <c r="E6258">
        <v>2</v>
      </c>
      <c r="F6258" t="s">
        <v>5529</v>
      </c>
    </row>
    <row r="6259" spans="1:6" x14ac:dyDescent="0.25">
      <c r="A6259" t="s">
        <v>5376</v>
      </c>
      <c r="B6259" t="s">
        <v>589</v>
      </c>
      <c r="C6259" t="s">
        <v>443</v>
      </c>
      <c r="D6259" t="str">
        <f>HYPERLINK("http://service.sap.com/sap/support/notes/1650669","1650669")</f>
        <v>1650669</v>
      </c>
      <c r="E6259">
        <v>1</v>
      </c>
      <c r="F6259" t="s">
        <v>5530</v>
      </c>
    </row>
    <row r="6260" spans="1:6" x14ac:dyDescent="0.25">
      <c r="A6260" t="s">
        <v>5376</v>
      </c>
      <c r="B6260" t="s">
        <v>589</v>
      </c>
      <c r="C6260" t="s">
        <v>443</v>
      </c>
      <c r="D6260" t="str">
        <f>HYPERLINK("http://service.sap.com/sap/support/notes/1655072","1655072")</f>
        <v>1655072</v>
      </c>
      <c r="E6260">
        <v>1</v>
      </c>
      <c r="F6260" t="s">
        <v>5531</v>
      </c>
    </row>
    <row r="6261" spans="1:6" x14ac:dyDescent="0.25">
      <c r="A6261" t="s">
        <v>5376</v>
      </c>
      <c r="B6261" t="s">
        <v>76</v>
      </c>
      <c r="C6261" t="s">
        <v>77</v>
      </c>
    </row>
    <row r="6262" spans="1:6" x14ac:dyDescent="0.25">
      <c r="A6262" t="s">
        <v>5376</v>
      </c>
      <c r="B6262" t="s">
        <v>83</v>
      </c>
      <c r="C6262" t="s">
        <v>84</v>
      </c>
      <c r="D6262" t="str">
        <f>HYPERLINK("http://service.sap.com/sap/support/notes/1631897","1631897")</f>
        <v>1631897</v>
      </c>
      <c r="E6262">
        <v>3</v>
      </c>
      <c r="F6262" t="s">
        <v>380</v>
      </c>
    </row>
    <row r="6263" spans="1:6" x14ac:dyDescent="0.25">
      <c r="A6263" t="s">
        <v>5376</v>
      </c>
      <c r="B6263" t="s">
        <v>83</v>
      </c>
      <c r="C6263" t="s">
        <v>84</v>
      </c>
      <c r="D6263" t="str">
        <f>HYPERLINK("http://service.sap.com/sap/support/notes/1651217","1651217")</f>
        <v>1651217</v>
      </c>
      <c r="E6263">
        <v>1</v>
      </c>
      <c r="F6263" t="s">
        <v>1418</v>
      </c>
    </row>
    <row r="6264" spans="1:6" x14ac:dyDescent="0.25">
      <c r="A6264" t="s">
        <v>5376</v>
      </c>
      <c r="B6264" t="s">
        <v>86</v>
      </c>
      <c r="C6264" t="s">
        <v>87</v>
      </c>
      <c r="D6264" t="str">
        <f>HYPERLINK("http://service.sap.com/sap/support/notes/1644585","1644585")</f>
        <v>1644585</v>
      </c>
      <c r="E6264">
        <v>1</v>
      </c>
      <c r="F6264" t="s">
        <v>5532</v>
      </c>
    </row>
    <row r="6265" spans="1:6" x14ac:dyDescent="0.25">
      <c r="A6265" t="s">
        <v>5376</v>
      </c>
      <c r="B6265" t="s">
        <v>94</v>
      </c>
      <c r="C6265" t="s">
        <v>95</v>
      </c>
    </row>
    <row r="6266" spans="1:6" x14ac:dyDescent="0.25">
      <c r="A6266" t="s">
        <v>5376</v>
      </c>
      <c r="B6266" t="s">
        <v>779</v>
      </c>
      <c r="C6266" t="s">
        <v>780</v>
      </c>
      <c r="D6266" t="str">
        <f>HYPERLINK("http://service.sap.com/sap/support/notes/1651423","1651423")</f>
        <v>1651423</v>
      </c>
      <c r="E6266">
        <v>1</v>
      </c>
      <c r="F6266" t="s">
        <v>5533</v>
      </c>
    </row>
    <row r="6267" spans="1:6" x14ac:dyDescent="0.25">
      <c r="A6267" t="s">
        <v>5376</v>
      </c>
      <c r="B6267" t="s">
        <v>101</v>
      </c>
      <c r="C6267" t="s">
        <v>38</v>
      </c>
    </row>
    <row r="6268" spans="1:6" x14ac:dyDescent="0.25">
      <c r="A6268" t="s">
        <v>5376</v>
      </c>
      <c r="B6268" t="s">
        <v>106</v>
      </c>
      <c r="C6268" t="s">
        <v>107</v>
      </c>
    </row>
    <row r="6269" spans="1:6" x14ac:dyDescent="0.25">
      <c r="A6269" t="s">
        <v>5376</v>
      </c>
      <c r="B6269" t="s">
        <v>108</v>
      </c>
      <c r="C6269" t="s">
        <v>109</v>
      </c>
      <c r="D6269" t="str">
        <f>HYPERLINK("http://service.sap.com/sap/support/notes/1625945","1625945")</f>
        <v>1625945</v>
      </c>
      <c r="E6269">
        <v>2</v>
      </c>
      <c r="F6269" t="s">
        <v>946</v>
      </c>
    </row>
    <row r="6270" spans="1:6" x14ac:dyDescent="0.25">
      <c r="A6270" t="s">
        <v>5376</v>
      </c>
      <c r="B6270" t="s">
        <v>112</v>
      </c>
      <c r="C6270" t="s">
        <v>113</v>
      </c>
      <c r="D6270" t="str">
        <f>HYPERLINK("http://service.sap.com/sap/support/notes/1635314","1635314")</f>
        <v>1635314</v>
      </c>
      <c r="E6270">
        <v>1</v>
      </c>
      <c r="F6270" t="s">
        <v>1500</v>
      </c>
    </row>
    <row r="6271" spans="1:6" x14ac:dyDescent="0.25">
      <c r="A6271" t="s">
        <v>5376</v>
      </c>
      <c r="B6271" t="s">
        <v>112</v>
      </c>
      <c r="C6271" t="s">
        <v>113</v>
      </c>
      <c r="D6271" t="str">
        <f>HYPERLINK("http://service.sap.com/sap/support/notes/1648985","1648985")</f>
        <v>1648985</v>
      </c>
      <c r="E6271">
        <v>1</v>
      </c>
      <c r="F6271" t="s">
        <v>5534</v>
      </c>
    </row>
    <row r="6272" spans="1:6" x14ac:dyDescent="0.25">
      <c r="A6272" t="s">
        <v>5376</v>
      </c>
      <c r="B6272" t="s">
        <v>139</v>
      </c>
      <c r="C6272" t="s">
        <v>140</v>
      </c>
      <c r="D6272" t="str">
        <f>HYPERLINK("http://service.sap.com/sap/support/notes/1656172","1656172")</f>
        <v>1656172</v>
      </c>
      <c r="E6272">
        <v>1</v>
      </c>
      <c r="F6272" t="s">
        <v>5535</v>
      </c>
    </row>
    <row r="6273" spans="1:6" x14ac:dyDescent="0.25">
      <c r="A6273" t="s">
        <v>5376</v>
      </c>
      <c r="B6273" t="s">
        <v>146</v>
      </c>
      <c r="C6273" t="s">
        <v>147</v>
      </c>
      <c r="D6273" t="str">
        <f>HYPERLINK("http://service.sap.com/sap/support/notes/1648071","1648071")</f>
        <v>1648071</v>
      </c>
      <c r="E6273">
        <v>2</v>
      </c>
      <c r="F6273" t="s">
        <v>5536</v>
      </c>
    </row>
    <row r="6274" spans="1:6" x14ac:dyDescent="0.25">
      <c r="A6274" t="s">
        <v>5376</v>
      </c>
      <c r="B6274" t="s">
        <v>152</v>
      </c>
      <c r="C6274" t="s">
        <v>47</v>
      </c>
    </row>
    <row r="6275" spans="1:6" x14ac:dyDescent="0.25">
      <c r="A6275" t="s">
        <v>5376</v>
      </c>
      <c r="B6275" t="s">
        <v>153</v>
      </c>
      <c r="C6275" t="s">
        <v>154</v>
      </c>
      <c r="D6275" t="str">
        <f>HYPERLINK("http://service.sap.com/sap/support/notes/1378818","1378818")</f>
        <v>1378818</v>
      </c>
      <c r="E6275">
        <v>1</v>
      </c>
      <c r="F6275" t="s">
        <v>5537</v>
      </c>
    </row>
    <row r="6276" spans="1:6" x14ac:dyDescent="0.25">
      <c r="A6276" t="s">
        <v>5376</v>
      </c>
      <c r="B6276" t="s">
        <v>168</v>
      </c>
      <c r="C6276" t="s">
        <v>169</v>
      </c>
      <c r="D6276" t="str">
        <f>HYPERLINK("http://service.sap.com/sap/support/notes/1649342","1649342")</f>
        <v>1649342</v>
      </c>
      <c r="E6276">
        <v>1</v>
      </c>
      <c r="F6276" t="s">
        <v>5538</v>
      </c>
    </row>
    <row r="6277" spans="1:6" x14ac:dyDescent="0.25">
      <c r="A6277" t="s">
        <v>5376</v>
      </c>
      <c r="B6277" t="s">
        <v>168</v>
      </c>
      <c r="C6277" t="s">
        <v>169</v>
      </c>
      <c r="D6277" t="str">
        <f>HYPERLINK("http://service.sap.com/sap/support/notes/1650612","1650612")</f>
        <v>1650612</v>
      </c>
      <c r="E6277">
        <v>1</v>
      </c>
      <c r="F6277" t="s">
        <v>5539</v>
      </c>
    </row>
    <row r="6278" spans="1:6" x14ac:dyDescent="0.25">
      <c r="A6278" t="s">
        <v>5376</v>
      </c>
      <c r="B6278" t="s">
        <v>175</v>
      </c>
      <c r="C6278" t="s">
        <v>176</v>
      </c>
      <c r="D6278" t="str">
        <f>HYPERLINK("http://service.sap.com/sap/support/notes/1367820","1367820")</f>
        <v>1367820</v>
      </c>
      <c r="E6278">
        <v>12</v>
      </c>
      <c r="F6278" t="s">
        <v>1672</v>
      </c>
    </row>
    <row r="6279" spans="1:6" x14ac:dyDescent="0.25">
      <c r="A6279" t="s">
        <v>5376</v>
      </c>
      <c r="B6279" t="s">
        <v>179</v>
      </c>
      <c r="C6279" t="s">
        <v>180</v>
      </c>
      <c r="D6279" t="str">
        <f>HYPERLINK("http://service.sap.com/sap/support/notes/1643255","1643255")</f>
        <v>1643255</v>
      </c>
      <c r="E6279">
        <v>1</v>
      </c>
      <c r="F6279" t="s">
        <v>1103</v>
      </c>
    </row>
    <row r="6280" spans="1:6" x14ac:dyDescent="0.25">
      <c r="A6280" t="s">
        <v>5376</v>
      </c>
      <c r="B6280" t="s">
        <v>179</v>
      </c>
      <c r="C6280" t="s">
        <v>180</v>
      </c>
      <c r="D6280" t="str">
        <f>HYPERLINK("http://service.sap.com/sap/support/notes/1646564","1646564")</f>
        <v>1646564</v>
      </c>
      <c r="E6280">
        <v>1</v>
      </c>
      <c r="F6280" t="s">
        <v>5540</v>
      </c>
    </row>
    <row r="6281" spans="1:6" x14ac:dyDescent="0.25">
      <c r="A6281" t="s">
        <v>5376</v>
      </c>
      <c r="B6281" t="s">
        <v>179</v>
      </c>
      <c r="C6281" t="s">
        <v>180</v>
      </c>
      <c r="D6281" t="str">
        <f>HYPERLINK("http://service.sap.com/sap/support/notes/1647941","1647941")</f>
        <v>1647941</v>
      </c>
      <c r="E6281">
        <v>1</v>
      </c>
      <c r="F6281" t="s">
        <v>5541</v>
      </c>
    </row>
    <row r="6282" spans="1:6" x14ac:dyDescent="0.25">
      <c r="A6282" t="s">
        <v>5376</v>
      </c>
      <c r="B6282" t="s">
        <v>179</v>
      </c>
      <c r="C6282" t="s">
        <v>180</v>
      </c>
      <c r="D6282" t="str">
        <f>HYPERLINK("http://service.sap.com/sap/support/notes/1648127","1648127")</f>
        <v>1648127</v>
      </c>
      <c r="E6282">
        <v>2</v>
      </c>
      <c r="F6282" t="s">
        <v>1683</v>
      </c>
    </row>
    <row r="6283" spans="1:6" x14ac:dyDescent="0.25">
      <c r="A6283" t="s">
        <v>5376</v>
      </c>
      <c r="B6283" t="s">
        <v>179</v>
      </c>
      <c r="C6283" t="s">
        <v>180</v>
      </c>
      <c r="D6283" t="str">
        <f>HYPERLINK("http://service.sap.com/sap/support/notes/1651301","1651301")</f>
        <v>1651301</v>
      </c>
      <c r="E6283">
        <v>1</v>
      </c>
      <c r="F6283" t="s">
        <v>5542</v>
      </c>
    </row>
    <row r="6284" spans="1:6" x14ac:dyDescent="0.25">
      <c r="A6284" t="s">
        <v>5376</v>
      </c>
      <c r="B6284" t="s">
        <v>179</v>
      </c>
      <c r="C6284" t="s">
        <v>180</v>
      </c>
      <c r="D6284" t="str">
        <f>HYPERLINK("http://service.sap.com/sap/support/notes/1652583","1652583")</f>
        <v>1652583</v>
      </c>
      <c r="E6284">
        <v>1</v>
      </c>
      <c r="F6284" t="s">
        <v>5543</v>
      </c>
    </row>
    <row r="6285" spans="1:6" x14ac:dyDescent="0.25">
      <c r="A6285" t="s">
        <v>5376</v>
      </c>
      <c r="B6285" t="s">
        <v>179</v>
      </c>
      <c r="C6285" t="s">
        <v>180</v>
      </c>
      <c r="D6285" t="str">
        <f>HYPERLINK("http://service.sap.com/sap/support/notes/1652966","1652966")</f>
        <v>1652966</v>
      </c>
      <c r="E6285">
        <v>1</v>
      </c>
      <c r="F6285" t="s">
        <v>5544</v>
      </c>
    </row>
    <row r="6286" spans="1:6" x14ac:dyDescent="0.25">
      <c r="A6286" t="s">
        <v>5376</v>
      </c>
      <c r="B6286" t="s">
        <v>179</v>
      </c>
      <c r="C6286" t="s">
        <v>180</v>
      </c>
      <c r="D6286" t="str">
        <f>HYPERLINK("http://service.sap.com/sap/support/notes/1654030","1654030")</f>
        <v>1654030</v>
      </c>
      <c r="E6286">
        <v>1</v>
      </c>
      <c r="F6286" t="s">
        <v>1687</v>
      </c>
    </row>
    <row r="6287" spans="1:6" x14ac:dyDescent="0.25">
      <c r="A6287" t="s">
        <v>5376</v>
      </c>
      <c r="B6287" t="s">
        <v>181</v>
      </c>
      <c r="C6287" t="s">
        <v>182</v>
      </c>
    </row>
    <row r="6288" spans="1:6" x14ac:dyDescent="0.25">
      <c r="A6288" t="s">
        <v>5376</v>
      </c>
      <c r="B6288" t="s">
        <v>183</v>
      </c>
      <c r="C6288" t="s">
        <v>184</v>
      </c>
      <c r="D6288" t="str">
        <f>HYPERLINK("http://service.sap.com/sap/support/notes/1647032","1647032")</f>
        <v>1647032</v>
      </c>
      <c r="E6288">
        <v>1</v>
      </c>
      <c r="F6288" t="s">
        <v>5545</v>
      </c>
    </row>
    <row r="6289" spans="1:6" x14ac:dyDescent="0.25">
      <c r="A6289" t="s">
        <v>5376</v>
      </c>
      <c r="B6289" t="s">
        <v>183</v>
      </c>
      <c r="C6289" t="s">
        <v>184</v>
      </c>
      <c r="D6289" t="str">
        <f>HYPERLINK("http://service.sap.com/sap/support/notes/1653033","1653033")</f>
        <v>1653033</v>
      </c>
      <c r="E6289">
        <v>1</v>
      </c>
      <c r="F6289" t="s">
        <v>5546</v>
      </c>
    </row>
    <row r="6290" spans="1:6" x14ac:dyDescent="0.25">
      <c r="A6290" t="s">
        <v>5376</v>
      </c>
      <c r="B6290" t="s">
        <v>191</v>
      </c>
      <c r="C6290" t="s">
        <v>62</v>
      </c>
    </row>
    <row r="6291" spans="1:6" x14ac:dyDescent="0.25">
      <c r="A6291" t="s">
        <v>5376</v>
      </c>
      <c r="B6291" t="s">
        <v>195</v>
      </c>
      <c r="C6291" t="s">
        <v>132</v>
      </c>
      <c r="D6291" t="str">
        <f>HYPERLINK("http://service.sap.com/sap/support/notes/1643503","1643503")</f>
        <v>1643503</v>
      </c>
      <c r="E6291">
        <v>3</v>
      </c>
      <c r="F6291" t="s">
        <v>1706</v>
      </c>
    </row>
    <row r="6292" spans="1:6" x14ac:dyDescent="0.25">
      <c r="A6292" t="s">
        <v>5376</v>
      </c>
      <c r="B6292" t="s">
        <v>196</v>
      </c>
      <c r="C6292" t="s">
        <v>197</v>
      </c>
      <c r="D6292" t="str">
        <f>HYPERLINK("http://service.sap.com/sap/support/notes/1643967","1643967")</f>
        <v>1643967</v>
      </c>
      <c r="E6292">
        <v>1</v>
      </c>
      <c r="F6292" t="s">
        <v>1709</v>
      </c>
    </row>
    <row r="6293" spans="1:6" x14ac:dyDescent="0.25">
      <c r="A6293" t="s">
        <v>5376</v>
      </c>
      <c r="B6293" t="s">
        <v>203</v>
      </c>
      <c r="C6293" t="s">
        <v>204</v>
      </c>
    </row>
    <row r="6294" spans="1:6" x14ac:dyDescent="0.25">
      <c r="A6294" t="s">
        <v>5376</v>
      </c>
      <c r="B6294" t="s">
        <v>337</v>
      </c>
      <c r="C6294" t="s">
        <v>634</v>
      </c>
      <c r="D6294" t="str">
        <f>HYPERLINK("http://service.sap.com/sap/support/notes/1616876","1616876")</f>
        <v>1616876</v>
      </c>
      <c r="E6294">
        <v>2</v>
      </c>
      <c r="F6294" t="s">
        <v>5547</v>
      </c>
    </row>
    <row r="6295" spans="1:6" x14ac:dyDescent="0.25">
      <c r="A6295" t="s">
        <v>5376</v>
      </c>
      <c r="B6295" t="s">
        <v>341</v>
      </c>
      <c r="C6295" t="s">
        <v>342</v>
      </c>
      <c r="D6295" t="str">
        <f>HYPERLINK("http://service.sap.com/sap/support/notes/1604428","1604428")</f>
        <v>1604428</v>
      </c>
      <c r="E6295">
        <v>2</v>
      </c>
      <c r="F6295" t="s">
        <v>5548</v>
      </c>
    </row>
    <row r="6296" spans="1:6" x14ac:dyDescent="0.25">
      <c r="A6296" t="s">
        <v>5376</v>
      </c>
      <c r="B6296" t="s">
        <v>537</v>
      </c>
      <c r="C6296" t="s">
        <v>538</v>
      </c>
      <c r="D6296" t="str">
        <f>HYPERLINK("http://service.sap.com/sap/support/notes/1649093","1649093")</f>
        <v>1649093</v>
      </c>
      <c r="E6296">
        <v>1</v>
      </c>
      <c r="F6296" t="s">
        <v>5549</v>
      </c>
    </row>
    <row r="6297" spans="1:6" x14ac:dyDescent="0.25">
      <c r="A6297" t="s">
        <v>5376</v>
      </c>
      <c r="B6297" t="s">
        <v>346</v>
      </c>
      <c r="C6297" t="s">
        <v>347</v>
      </c>
      <c r="D6297" t="str">
        <f>HYPERLINK("http://service.sap.com/sap/support/notes/1628790","1628790")</f>
        <v>1628790</v>
      </c>
      <c r="E6297">
        <v>5</v>
      </c>
      <c r="F6297" t="s">
        <v>5550</v>
      </c>
    </row>
    <row r="6298" spans="1:6" x14ac:dyDescent="0.25">
      <c r="A6298" t="s">
        <v>5376</v>
      </c>
      <c r="B6298" t="s">
        <v>348</v>
      </c>
      <c r="C6298" t="s">
        <v>349</v>
      </c>
      <c r="D6298" t="str">
        <f>HYPERLINK("http://service.sap.com/sap/support/notes/1645541","1645541")</f>
        <v>1645541</v>
      </c>
      <c r="E6298">
        <v>2</v>
      </c>
      <c r="F6298" t="s">
        <v>5551</v>
      </c>
    </row>
    <row r="6299" spans="1:6" x14ac:dyDescent="0.25">
      <c r="A6299" t="s">
        <v>5376</v>
      </c>
      <c r="B6299" t="s">
        <v>352</v>
      </c>
      <c r="C6299" t="s">
        <v>353</v>
      </c>
      <c r="D6299" t="str">
        <f>HYPERLINK("http://service.sap.com/sap/support/notes/1646904","1646904")</f>
        <v>1646904</v>
      </c>
      <c r="E6299">
        <v>1</v>
      </c>
      <c r="F6299" t="s">
        <v>1798</v>
      </c>
    </row>
    <row r="6300" spans="1:6" x14ac:dyDescent="0.25">
      <c r="A6300" t="s">
        <v>5376</v>
      </c>
      <c r="B6300" t="s">
        <v>352</v>
      </c>
      <c r="C6300" t="s">
        <v>353</v>
      </c>
      <c r="D6300" t="str">
        <f>HYPERLINK("http://service.sap.com/sap/support/notes/1647333","1647333")</f>
        <v>1647333</v>
      </c>
      <c r="E6300">
        <v>2</v>
      </c>
      <c r="F6300" t="s">
        <v>1799</v>
      </c>
    </row>
    <row r="6301" spans="1:6" x14ac:dyDescent="0.25">
      <c r="A6301" t="s">
        <v>5376</v>
      </c>
      <c r="B6301" t="s">
        <v>207</v>
      </c>
      <c r="C6301" t="s">
        <v>208</v>
      </c>
    </row>
    <row r="6302" spans="1:6" x14ac:dyDescent="0.25">
      <c r="A6302" t="s">
        <v>5376</v>
      </c>
      <c r="B6302" t="s">
        <v>209</v>
      </c>
      <c r="C6302" t="s">
        <v>210</v>
      </c>
    </row>
    <row r="6303" spans="1:6" x14ac:dyDescent="0.25">
      <c r="A6303" t="s">
        <v>5376</v>
      </c>
      <c r="B6303" t="s">
        <v>790</v>
      </c>
      <c r="C6303" t="s">
        <v>791</v>
      </c>
    </row>
    <row r="6304" spans="1:6" x14ac:dyDescent="0.25">
      <c r="A6304" t="s">
        <v>5376</v>
      </c>
      <c r="B6304" t="s">
        <v>792</v>
      </c>
      <c r="C6304" t="s">
        <v>655</v>
      </c>
      <c r="D6304" t="str">
        <f>HYPERLINK("http://service.sap.com/sap/support/notes/1649983","1649983")</f>
        <v>1649983</v>
      </c>
      <c r="E6304">
        <v>3</v>
      </c>
      <c r="F6304" t="s">
        <v>5552</v>
      </c>
    </row>
    <row r="6305" spans="1:6" x14ac:dyDescent="0.25">
      <c r="A6305" t="s">
        <v>5376</v>
      </c>
      <c r="B6305" t="s">
        <v>792</v>
      </c>
      <c r="C6305" t="s">
        <v>655</v>
      </c>
      <c r="D6305" t="str">
        <f>HYPERLINK("http://service.sap.com/sap/support/notes/1649988","1649988")</f>
        <v>1649988</v>
      </c>
      <c r="E6305">
        <v>2</v>
      </c>
      <c r="F6305" t="s">
        <v>5553</v>
      </c>
    </row>
    <row r="6306" spans="1:6" x14ac:dyDescent="0.25">
      <c r="A6306" t="s">
        <v>5376</v>
      </c>
      <c r="B6306" t="s">
        <v>792</v>
      </c>
      <c r="C6306" t="s">
        <v>655</v>
      </c>
      <c r="D6306" t="str">
        <f>HYPERLINK("http://service.sap.com/sap/support/notes/1650491","1650491")</f>
        <v>1650491</v>
      </c>
      <c r="E6306">
        <v>1</v>
      </c>
      <c r="F6306" t="s">
        <v>5554</v>
      </c>
    </row>
    <row r="6307" spans="1:6" x14ac:dyDescent="0.25">
      <c r="A6307" t="s">
        <v>5376</v>
      </c>
      <c r="B6307" t="s">
        <v>792</v>
      </c>
      <c r="C6307" t="s">
        <v>655</v>
      </c>
      <c r="D6307" t="str">
        <f>HYPERLINK("http://service.sap.com/sap/support/notes/1654452","1654452")</f>
        <v>1654452</v>
      </c>
      <c r="E6307">
        <v>1</v>
      </c>
      <c r="F6307" t="s">
        <v>5555</v>
      </c>
    </row>
    <row r="6308" spans="1:6" x14ac:dyDescent="0.25">
      <c r="A6308" t="s">
        <v>5376</v>
      </c>
      <c r="B6308" t="s">
        <v>5247</v>
      </c>
      <c r="C6308" t="s">
        <v>5248</v>
      </c>
    </row>
    <row r="6309" spans="1:6" x14ac:dyDescent="0.25">
      <c r="A6309" t="s">
        <v>5376</v>
      </c>
      <c r="B6309" t="s">
        <v>5249</v>
      </c>
      <c r="C6309" t="s">
        <v>655</v>
      </c>
      <c r="D6309" t="str">
        <f>HYPERLINK("http://service.sap.com/sap/support/notes/1631134","1631134")</f>
        <v>1631134</v>
      </c>
      <c r="E6309">
        <v>1</v>
      </c>
      <c r="F6309" t="s">
        <v>5556</v>
      </c>
    </row>
    <row r="6310" spans="1:6" x14ac:dyDescent="0.25">
      <c r="A6310" t="s">
        <v>5376</v>
      </c>
      <c r="B6310" t="s">
        <v>5249</v>
      </c>
      <c r="C6310" t="s">
        <v>655</v>
      </c>
      <c r="D6310" t="str">
        <f>HYPERLINK("http://service.sap.com/sap/support/notes/1649847","1649847")</f>
        <v>1649847</v>
      </c>
      <c r="E6310">
        <v>1</v>
      </c>
      <c r="F6310" t="s">
        <v>5557</v>
      </c>
    </row>
    <row r="6311" spans="1:6" x14ac:dyDescent="0.25">
      <c r="A6311" t="s">
        <v>5376</v>
      </c>
      <c r="B6311" t="s">
        <v>389</v>
      </c>
      <c r="C6311" t="s">
        <v>390</v>
      </c>
    </row>
    <row r="6312" spans="1:6" x14ac:dyDescent="0.25">
      <c r="A6312" t="s">
        <v>5376</v>
      </c>
      <c r="B6312" t="s">
        <v>540</v>
      </c>
      <c r="C6312" t="s">
        <v>541</v>
      </c>
      <c r="D6312" t="str">
        <f>HYPERLINK("http://service.sap.com/sap/support/notes/1608367","1608367")</f>
        <v>1608367</v>
      </c>
      <c r="E6312">
        <v>1</v>
      </c>
      <c r="F6312" t="s">
        <v>5558</v>
      </c>
    </row>
    <row r="6313" spans="1:6" x14ac:dyDescent="0.25">
      <c r="A6313" t="s">
        <v>5559</v>
      </c>
      <c r="B6313" t="s">
        <v>15</v>
      </c>
      <c r="C6313" t="s">
        <v>16</v>
      </c>
    </row>
    <row r="6314" spans="1:6" x14ac:dyDescent="0.25">
      <c r="A6314" t="s">
        <v>5559</v>
      </c>
      <c r="B6314" t="s">
        <v>17</v>
      </c>
      <c r="C6314" t="s">
        <v>18</v>
      </c>
    </row>
    <row r="6315" spans="1:6" x14ac:dyDescent="0.25">
      <c r="A6315" t="s">
        <v>5559</v>
      </c>
      <c r="B6315" t="s">
        <v>19</v>
      </c>
      <c r="C6315" t="s">
        <v>20</v>
      </c>
      <c r="D6315" t="str">
        <f>HYPERLINK("http://service.sap.com/sap/support/notes/1657334","1657334")</f>
        <v>1657334</v>
      </c>
      <c r="E6315">
        <v>1</v>
      </c>
      <c r="F6315" t="s">
        <v>5560</v>
      </c>
    </row>
    <row r="6316" spans="1:6" x14ac:dyDescent="0.25">
      <c r="A6316" t="s">
        <v>5559</v>
      </c>
      <c r="B6316" t="s">
        <v>446</v>
      </c>
      <c r="C6316" t="s">
        <v>447</v>
      </c>
      <c r="D6316" t="str">
        <f>HYPERLINK("http://service.sap.com/sap/support/notes/1661108","1661108")</f>
        <v>1661108</v>
      </c>
      <c r="E6316">
        <v>2</v>
      </c>
      <c r="F6316" t="s">
        <v>5561</v>
      </c>
    </row>
    <row r="6317" spans="1:6" x14ac:dyDescent="0.25">
      <c r="A6317" t="s">
        <v>5559</v>
      </c>
      <c r="B6317" t="s">
        <v>21</v>
      </c>
      <c r="C6317" t="s">
        <v>12</v>
      </c>
    </row>
    <row r="6318" spans="1:6" x14ac:dyDescent="0.25">
      <c r="A6318" t="s">
        <v>5559</v>
      </c>
      <c r="B6318" t="s">
        <v>29</v>
      </c>
      <c r="C6318" t="s">
        <v>30</v>
      </c>
    </row>
    <row r="6319" spans="1:6" x14ac:dyDescent="0.25">
      <c r="A6319" t="s">
        <v>5559</v>
      </c>
      <c r="B6319" t="s">
        <v>35</v>
      </c>
      <c r="C6319" t="s">
        <v>36</v>
      </c>
      <c r="D6319" t="str">
        <f>HYPERLINK("http://service.sap.com/sap/support/notes/1659640","1659640")</f>
        <v>1659640</v>
      </c>
      <c r="E6319">
        <v>1</v>
      </c>
      <c r="F6319" t="s">
        <v>2234</v>
      </c>
    </row>
    <row r="6320" spans="1:6" x14ac:dyDescent="0.25">
      <c r="A6320" t="s">
        <v>5559</v>
      </c>
      <c r="B6320" t="s">
        <v>256</v>
      </c>
      <c r="C6320" t="s">
        <v>165</v>
      </c>
      <c r="D6320" t="str">
        <f>HYPERLINK("http://service.sap.com/sap/support/notes/1658888","1658888")</f>
        <v>1658888</v>
      </c>
      <c r="E6320">
        <v>2</v>
      </c>
      <c r="F6320" t="s">
        <v>1809</v>
      </c>
    </row>
    <row r="6321" spans="1:6" x14ac:dyDescent="0.25">
      <c r="A6321" t="s">
        <v>5559</v>
      </c>
      <c r="B6321" t="s">
        <v>76</v>
      </c>
      <c r="C6321" t="s">
        <v>77</v>
      </c>
    </row>
    <row r="6322" spans="1:6" x14ac:dyDescent="0.25">
      <c r="A6322" t="s">
        <v>5559</v>
      </c>
      <c r="B6322" t="s">
        <v>94</v>
      </c>
      <c r="C6322" t="s">
        <v>95</v>
      </c>
    </row>
    <row r="6323" spans="1:6" x14ac:dyDescent="0.25">
      <c r="A6323" t="s">
        <v>5559</v>
      </c>
      <c r="B6323" t="s">
        <v>306</v>
      </c>
      <c r="C6323" t="s">
        <v>132</v>
      </c>
      <c r="D6323" t="str">
        <f>HYPERLINK("http://service.sap.com/sap/support/notes/1649167","1649167")</f>
        <v>1649167</v>
      </c>
      <c r="E6323">
        <v>2</v>
      </c>
      <c r="F6323" t="s">
        <v>1814</v>
      </c>
    </row>
    <row r="6324" spans="1:6" x14ac:dyDescent="0.25">
      <c r="A6324" t="s">
        <v>5559</v>
      </c>
      <c r="B6324" t="s">
        <v>179</v>
      </c>
      <c r="C6324" t="s">
        <v>180</v>
      </c>
      <c r="D6324" t="str">
        <f>HYPERLINK("http://service.sap.com/sap/support/notes/1639489","1639489")</f>
        <v>1639489</v>
      </c>
      <c r="E6324">
        <v>1</v>
      </c>
      <c r="F6324" t="s">
        <v>5562</v>
      </c>
    </row>
    <row r="6325" spans="1:6" x14ac:dyDescent="0.25">
      <c r="A6325" t="s">
        <v>5559</v>
      </c>
      <c r="B6325" t="s">
        <v>179</v>
      </c>
      <c r="C6325" t="s">
        <v>180</v>
      </c>
      <c r="D6325" t="str">
        <f>HYPERLINK("http://service.sap.com/sap/support/notes/1653634","1653634")</f>
        <v>1653634</v>
      </c>
      <c r="E6325">
        <v>2</v>
      </c>
      <c r="F6325" t="s">
        <v>1824</v>
      </c>
    </row>
    <row r="6326" spans="1:6" x14ac:dyDescent="0.25">
      <c r="A6326" t="s">
        <v>5559</v>
      </c>
      <c r="B6326" t="s">
        <v>179</v>
      </c>
      <c r="C6326" t="s">
        <v>180</v>
      </c>
      <c r="D6326" t="str">
        <f>HYPERLINK("http://service.sap.com/sap/support/notes/1658865","1658865")</f>
        <v>1658865</v>
      </c>
      <c r="E6326">
        <v>3</v>
      </c>
      <c r="F6326" t="s">
        <v>1825</v>
      </c>
    </row>
    <row r="6327" spans="1:6" x14ac:dyDescent="0.25">
      <c r="A6327" t="s">
        <v>5559</v>
      </c>
      <c r="B6327" t="s">
        <v>181</v>
      </c>
      <c r="C6327" t="s">
        <v>182</v>
      </c>
    </row>
    <row r="6328" spans="1:6" x14ac:dyDescent="0.25">
      <c r="A6328" t="s">
        <v>5559</v>
      </c>
      <c r="B6328" t="s">
        <v>183</v>
      </c>
      <c r="C6328" t="s">
        <v>184</v>
      </c>
      <c r="D6328" t="str">
        <f>HYPERLINK("http://service.sap.com/sap/support/notes/1655956","1655956")</f>
        <v>1655956</v>
      </c>
      <c r="E6328">
        <v>1</v>
      </c>
      <c r="F6328" t="s">
        <v>5563</v>
      </c>
    </row>
    <row r="6329" spans="1:6" x14ac:dyDescent="0.25">
      <c r="A6329" t="s">
        <v>5564</v>
      </c>
      <c r="B6329" t="s">
        <v>220</v>
      </c>
      <c r="C6329" t="s">
        <v>435</v>
      </c>
    </row>
    <row r="6330" spans="1:6" x14ac:dyDescent="0.25">
      <c r="A6330" t="s">
        <v>5564</v>
      </c>
      <c r="B6330" t="s">
        <v>542</v>
      </c>
      <c r="C6330" t="s">
        <v>543</v>
      </c>
    </row>
    <row r="6331" spans="1:6" x14ac:dyDescent="0.25">
      <c r="A6331" t="s">
        <v>5564</v>
      </c>
      <c r="B6331" t="s">
        <v>544</v>
      </c>
      <c r="C6331" t="s">
        <v>545</v>
      </c>
      <c r="D6331" t="str">
        <f>HYPERLINK("http://service.sap.com/sap/support/notes/1663524","1663524")</f>
        <v>1663524</v>
      </c>
      <c r="E6331">
        <v>3</v>
      </c>
      <c r="F6331" t="s">
        <v>5565</v>
      </c>
    </row>
    <row r="6332" spans="1:6" x14ac:dyDescent="0.25">
      <c r="A6332" t="s">
        <v>5564</v>
      </c>
      <c r="B6332" t="s">
        <v>438</v>
      </c>
      <c r="C6332" t="s">
        <v>439</v>
      </c>
    </row>
    <row r="6333" spans="1:6" x14ac:dyDescent="0.25">
      <c r="A6333" t="s">
        <v>5564</v>
      </c>
      <c r="B6333" t="s">
        <v>440</v>
      </c>
      <c r="C6333" t="s">
        <v>441</v>
      </c>
    </row>
    <row r="6334" spans="1:6" x14ac:dyDescent="0.25">
      <c r="A6334" t="s">
        <v>5564</v>
      </c>
      <c r="B6334" t="s">
        <v>442</v>
      </c>
      <c r="C6334" t="s">
        <v>443</v>
      </c>
      <c r="D6334" t="str">
        <f>HYPERLINK("http://service.sap.com/sap/support/notes/1660905","1660905")</f>
        <v>1660905</v>
      </c>
      <c r="E6334">
        <v>2</v>
      </c>
      <c r="F6334" t="s">
        <v>5566</v>
      </c>
    </row>
    <row r="6335" spans="1:6" x14ac:dyDescent="0.25">
      <c r="A6335" t="s">
        <v>5564</v>
      </c>
      <c r="B6335" t="s">
        <v>225</v>
      </c>
      <c r="C6335" t="s">
        <v>354</v>
      </c>
    </row>
    <row r="6336" spans="1:6" x14ac:dyDescent="0.25">
      <c r="A6336" t="s">
        <v>5564</v>
      </c>
      <c r="B6336" t="s">
        <v>226</v>
      </c>
      <c r="C6336" t="s">
        <v>355</v>
      </c>
    </row>
    <row r="6337" spans="1:6" x14ac:dyDescent="0.25">
      <c r="A6337" t="s">
        <v>5564</v>
      </c>
      <c r="B6337" t="s">
        <v>227</v>
      </c>
      <c r="C6337" t="s">
        <v>356</v>
      </c>
    </row>
    <row r="6338" spans="1:6" x14ac:dyDescent="0.25">
      <c r="A6338" t="s">
        <v>5564</v>
      </c>
      <c r="B6338" t="s">
        <v>228</v>
      </c>
      <c r="C6338" t="s">
        <v>357</v>
      </c>
      <c r="D6338" t="str">
        <f>HYPERLINK("http://service.sap.com/sap/support/notes/1658247","1658247")</f>
        <v>1658247</v>
      </c>
      <c r="E6338">
        <v>1</v>
      </c>
      <c r="F6338" t="s">
        <v>5567</v>
      </c>
    </row>
    <row r="6339" spans="1:6" x14ac:dyDescent="0.25">
      <c r="A6339" t="s">
        <v>5564</v>
      </c>
      <c r="B6339" t="s">
        <v>228</v>
      </c>
      <c r="C6339" t="s">
        <v>357</v>
      </c>
      <c r="D6339" t="str">
        <f>HYPERLINK("http://service.sap.com/sap/support/notes/1660221","1660221")</f>
        <v>1660221</v>
      </c>
      <c r="E6339">
        <v>2</v>
      </c>
      <c r="F6339" t="s">
        <v>5568</v>
      </c>
    </row>
    <row r="6340" spans="1:6" x14ac:dyDescent="0.25">
      <c r="A6340" t="s">
        <v>5564</v>
      </c>
      <c r="B6340" t="s">
        <v>228</v>
      </c>
      <c r="C6340" t="s">
        <v>357</v>
      </c>
      <c r="D6340" t="str">
        <f>HYPERLINK("http://service.sap.com/sap/support/notes/1665545","1665545")</f>
        <v>1665545</v>
      </c>
      <c r="E6340">
        <v>2</v>
      </c>
      <c r="F6340" t="s">
        <v>5569</v>
      </c>
    </row>
    <row r="6341" spans="1:6" x14ac:dyDescent="0.25">
      <c r="A6341" t="s">
        <v>5564</v>
      </c>
      <c r="B6341" t="s">
        <v>15</v>
      </c>
      <c r="C6341" t="s">
        <v>16</v>
      </c>
    </row>
    <row r="6342" spans="1:6" x14ac:dyDescent="0.25">
      <c r="A6342" t="s">
        <v>5564</v>
      </c>
      <c r="B6342" t="s">
        <v>17</v>
      </c>
      <c r="C6342" t="s">
        <v>18</v>
      </c>
      <c r="D6342" t="str">
        <f>HYPERLINK("http://service.sap.com/sap/support/notes/1642255","1642255")</f>
        <v>1642255</v>
      </c>
      <c r="E6342">
        <v>4</v>
      </c>
      <c r="F6342" t="s">
        <v>5570</v>
      </c>
    </row>
    <row r="6343" spans="1:6" x14ac:dyDescent="0.25">
      <c r="A6343" t="s">
        <v>5564</v>
      </c>
      <c r="B6343" t="s">
        <v>17</v>
      </c>
      <c r="C6343" t="s">
        <v>18</v>
      </c>
      <c r="D6343" t="str">
        <f>HYPERLINK("http://service.sap.com/sap/support/notes/1649968","1649968")</f>
        <v>1649968</v>
      </c>
      <c r="E6343">
        <v>1</v>
      </c>
      <c r="F6343" t="s">
        <v>5571</v>
      </c>
    </row>
    <row r="6344" spans="1:6" x14ac:dyDescent="0.25">
      <c r="A6344" t="s">
        <v>5564</v>
      </c>
      <c r="B6344" t="s">
        <v>17</v>
      </c>
      <c r="C6344" t="s">
        <v>18</v>
      </c>
      <c r="D6344" t="str">
        <f>HYPERLINK("http://service.sap.com/sap/support/notes/1653590","1653590")</f>
        <v>1653590</v>
      </c>
      <c r="E6344">
        <v>1</v>
      </c>
      <c r="F6344" t="s">
        <v>5572</v>
      </c>
    </row>
    <row r="6345" spans="1:6" x14ac:dyDescent="0.25">
      <c r="A6345" t="s">
        <v>5564</v>
      </c>
      <c r="B6345" t="s">
        <v>17</v>
      </c>
      <c r="C6345" t="s">
        <v>18</v>
      </c>
      <c r="D6345" t="str">
        <f>HYPERLINK("http://service.sap.com/sap/support/notes/1654278","1654278")</f>
        <v>1654278</v>
      </c>
      <c r="E6345">
        <v>3</v>
      </c>
      <c r="F6345" t="s">
        <v>5573</v>
      </c>
    </row>
    <row r="6346" spans="1:6" x14ac:dyDescent="0.25">
      <c r="A6346" t="s">
        <v>5564</v>
      </c>
      <c r="B6346" t="s">
        <v>17</v>
      </c>
      <c r="C6346" t="s">
        <v>18</v>
      </c>
      <c r="D6346" t="str">
        <f>HYPERLINK("http://service.sap.com/sap/support/notes/1655761","1655761")</f>
        <v>1655761</v>
      </c>
      <c r="E6346">
        <v>1</v>
      </c>
      <c r="F6346" t="s">
        <v>5394</v>
      </c>
    </row>
    <row r="6347" spans="1:6" x14ac:dyDescent="0.25">
      <c r="A6347" t="s">
        <v>5564</v>
      </c>
      <c r="B6347" t="s">
        <v>17</v>
      </c>
      <c r="C6347" t="s">
        <v>18</v>
      </c>
      <c r="D6347" t="str">
        <f>HYPERLINK("http://service.sap.com/sap/support/notes/1656311","1656311")</f>
        <v>1656311</v>
      </c>
      <c r="E6347">
        <v>2</v>
      </c>
      <c r="F6347" t="s">
        <v>5574</v>
      </c>
    </row>
    <row r="6348" spans="1:6" x14ac:dyDescent="0.25">
      <c r="A6348" t="s">
        <v>5564</v>
      </c>
      <c r="B6348" t="s">
        <v>17</v>
      </c>
      <c r="C6348" t="s">
        <v>18</v>
      </c>
      <c r="D6348" t="str">
        <f>HYPERLINK("http://service.sap.com/sap/support/notes/1656355","1656355")</f>
        <v>1656355</v>
      </c>
      <c r="E6348">
        <v>1</v>
      </c>
      <c r="F6348" t="s">
        <v>5575</v>
      </c>
    </row>
    <row r="6349" spans="1:6" x14ac:dyDescent="0.25">
      <c r="A6349" t="s">
        <v>5564</v>
      </c>
      <c r="B6349" t="s">
        <v>17</v>
      </c>
      <c r="C6349" t="s">
        <v>18</v>
      </c>
      <c r="D6349" t="str">
        <f>HYPERLINK("http://service.sap.com/sap/support/notes/1660198","1660198")</f>
        <v>1660198</v>
      </c>
      <c r="E6349">
        <v>1</v>
      </c>
      <c r="F6349" t="s">
        <v>5576</v>
      </c>
    </row>
    <row r="6350" spans="1:6" x14ac:dyDescent="0.25">
      <c r="A6350" t="s">
        <v>5564</v>
      </c>
      <c r="B6350" t="s">
        <v>17</v>
      </c>
      <c r="C6350" t="s">
        <v>18</v>
      </c>
      <c r="D6350" t="str">
        <f>HYPERLINK("http://service.sap.com/sap/support/notes/1660370","1660370")</f>
        <v>1660370</v>
      </c>
      <c r="E6350">
        <v>1</v>
      </c>
      <c r="F6350" t="s">
        <v>5577</v>
      </c>
    </row>
    <row r="6351" spans="1:6" x14ac:dyDescent="0.25">
      <c r="A6351" t="s">
        <v>5564</v>
      </c>
      <c r="B6351" t="s">
        <v>17</v>
      </c>
      <c r="C6351" t="s">
        <v>18</v>
      </c>
      <c r="D6351" t="str">
        <f>HYPERLINK("http://service.sap.com/sap/support/notes/1660762","1660762")</f>
        <v>1660762</v>
      </c>
      <c r="E6351">
        <v>1</v>
      </c>
      <c r="F6351" t="s">
        <v>5578</v>
      </c>
    </row>
    <row r="6352" spans="1:6" x14ac:dyDescent="0.25">
      <c r="A6352" t="s">
        <v>5564</v>
      </c>
      <c r="B6352" t="s">
        <v>17</v>
      </c>
      <c r="C6352" t="s">
        <v>18</v>
      </c>
      <c r="D6352" t="str">
        <f>HYPERLINK("http://service.sap.com/sap/support/notes/1661073","1661073")</f>
        <v>1661073</v>
      </c>
      <c r="E6352">
        <v>1</v>
      </c>
      <c r="F6352" t="s">
        <v>5579</v>
      </c>
    </row>
    <row r="6353" spans="1:6" x14ac:dyDescent="0.25">
      <c r="A6353" t="s">
        <v>5564</v>
      </c>
      <c r="B6353" t="s">
        <v>17</v>
      </c>
      <c r="C6353" t="s">
        <v>18</v>
      </c>
      <c r="D6353" t="str">
        <f>HYPERLINK("http://service.sap.com/sap/support/notes/1666502","1666502")</f>
        <v>1666502</v>
      </c>
      <c r="E6353">
        <v>1</v>
      </c>
      <c r="F6353" t="s">
        <v>5580</v>
      </c>
    </row>
    <row r="6354" spans="1:6" x14ac:dyDescent="0.25">
      <c r="A6354" t="s">
        <v>5564</v>
      </c>
      <c r="B6354" t="s">
        <v>17</v>
      </c>
      <c r="C6354" t="s">
        <v>18</v>
      </c>
      <c r="D6354" t="str">
        <f>HYPERLINK("http://service.sap.com/sap/support/notes/1668710","1668710")</f>
        <v>1668710</v>
      </c>
      <c r="E6354">
        <v>3</v>
      </c>
      <c r="F6354" t="s">
        <v>5581</v>
      </c>
    </row>
    <row r="6355" spans="1:6" x14ac:dyDescent="0.25">
      <c r="A6355" t="s">
        <v>5564</v>
      </c>
      <c r="B6355" t="s">
        <v>19</v>
      </c>
      <c r="C6355" t="s">
        <v>20</v>
      </c>
      <c r="D6355" t="str">
        <f>HYPERLINK("http://service.sap.com/sap/support/notes/1573226","1573226")</f>
        <v>1573226</v>
      </c>
      <c r="E6355">
        <v>1</v>
      </c>
      <c r="F6355" t="s">
        <v>5582</v>
      </c>
    </row>
    <row r="6356" spans="1:6" x14ac:dyDescent="0.25">
      <c r="A6356" t="s">
        <v>5564</v>
      </c>
      <c r="B6356" t="s">
        <v>19</v>
      </c>
      <c r="C6356" t="s">
        <v>20</v>
      </c>
      <c r="D6356" t="str">
        <f>HYPERLINK("http://service.sap.com/sap/support/notes/1636794","1636794")</f>
        <v>1636794</v>
      </c>
      <c r="E6356">
        <v>3</v>
      </c>
      <c r="F6356" t="s">
        <v>5583</v>
      </c>
    </row>
    <row r="6357" spans="1:6" x14ac:dyDescent="0.25">
      <c r="A6357" t="s">
        <v>5564</v>
      </c>
      <c r="B6357" t="s">
        <v>19</v>
      </c>
      <c r="C6357" t="s">
        <v>20</v>
      </c>
      <c r="D6357" t="str">
        <f>HYPERLINK("http://service.sap.com/sap/support/notes/1645977","1645977")</f>
        <v>1645977</v>
      </c>
      <c r="E6357">
        <v>2</v>
      </c>
      <c r="F6357" t="s">
        <v>5403</v>
      </c>
    </row>
    <row r="6358" spans="1:6" x14ac:dyDescent="0.25">
      <c r="A6358" t="s">
        <v>5564</v>
      </c>
      <c r="B6358" t="s">
        <v>19</v>
      </c>
      <c r="C6358" t="s">
        <v>20</v>
      </c>
      <c r="D6358" t="str">
        <f>HYPERLINK("http://service.sap.com/sap/support/notes/1648157","1648157")</f>
        <v>1648157</v>
      </c>
      <c r="E6358">
        <v>2</v>
      </c>
      <c r="F6358" t="s">
        <v>1153</v>
      </c>
    </row>
    <row r="6359" spans="1:6" x14ac:dyDescent="0.25">
      <c r="A6359" t="s">
        <v>5564</v>
      </c>
      <c r="B6359" t="s">
        <v>19</v>
      </c>
      <c r="C6359" t="s">
        <v>20</v>
      </c>
      <c r="D6359" t="str">
        <f>HYPERLINK("http://service.sap.com/sap/support/notes/1650815","1650815")</f>
        <v>1650815</v>
      </c>
      <c r="E6359">
        <v>2</v>
      </c>
      <c r="F6359" t="s">
        <v>5410</v>
      </c>
    </row>
    <row r="6360" spans="1:6" x14ac:dyDescent="0.25">
      <c r="A6360" t="s">
        <v>5564</v>
      </c>
      <c r="B6360" t="s">
        <v>19</v>
      </c>
      <c r="C6360" t="s">
        <v>20</v>
      </c>
      <c r="D6360" t="str">
        <f>HYPERLINK("http://service.sap.com/sap/support/notes/1653038","1653038")</f>
        <v>1653038</v>
      </c>
      <c r="E6360">
        <v>2</v>
      </c>
      <c r="F6360" t="s">
        <v>5415</v>
      </c>
    </row>
    <row r="6361" spans="1:6" x14ac:dyDescent="0.25">
      <c r="A6361" t="s">
        <v>5564</v>
      </c>
      <c r="B6361" t="s">
        <v>19</v>
      </c>
      <c r="C6361" t="s">
        <v>20</v>
      </c>
      <c r="D6361" t="str">
        <f>HYPERLINK("http://service.sap.com/sap/support/notes/1655128","1655128")</f>
        <v>1655128</v>
      </c>
      <c r="E6361">
        <v>1</v>
      </c>
      <c r="F6361" t="s">
        <v>5584</v>
      </c>
    </row>
    <row r="6362" spans="1:6" x14ac:dyDescent="0.25">
      <c r="A6362" t="s">
        <v>5564</v>
      </c>
      <c r="B6362" t="s">
        <v>19</v>
      </c>
      <c r="C6362" t="s">
        <v>20</v>
      </c>
      <c r="D6362" t="str">
        <f>HYPERLINK("http://service.sap.com/sap/support/notes/1655278","1655278")</f>
        <v>1655278</v>
      </c>
      <c r="E6362">
        <v>2</v>
      </c>
      <c r="F6362" t="s">
        <v>5585</v>
      </c>
    </row>
    <row r="6363" spans="1:6" x14ac:dyDescent="0.25">
      <c r="A6363" t="s">
        <v>5564</v>
      </c>
      <c r="B6363" t="s">
        <v>19</v>
      </c>
      <c r="C6363" t="s">
        <v>20</v>
      </c>
      <c r="D6363" t="str">
        <f>HYPERLINK("http://service.sap.com/sap/support/notes/1658377","1658377")</f>
        <v>1658377</v>
      </c>
      <c r="E6363">
        <v>1</v>
      </c>
      <c r="F6363" t="s">
        <v>5586</v>
      </c>
    </row>
    <row r="6364" spans="1:6" x14ac:dyDescent="0.25">
      <c r="A6364" t="s">
        <v>5564</v>
      </c>
      <c r="B6364" t="s">
        <v>19</v>
      </c>
      <c r="C6364" t="s">
        <v>20</v>
      </c>
      <c r="D6364" t="str">
        <f>HYPERLINK("http://service.sap.com/sap/support/notes/1658823","1658823")</f>
        <v>1658823</v>
      </c>
      <c r="E6364">
        <v>1</v>
      </c>
      <c r="F6364" t="s">
        <v>5587</v>
      </c>
    </row>
    <row r="6365" spans="1:6" x14ac:dyDescent="0.25">
      <c r="A6365" t="s">
        <v>5564</v>
      </c>
      <c r="B6365" t="s">
        <v>19</v>
      </c>
      <c r="C6365" t="s">
        <v>20</v>
      </c>
      <c r="D6365" t="str">
        <f>HYPERLINK("http://service.sap.com/sap/support/notes/1658975","1658975")</f>
        <v>1658975</v>
      </c>
      <c r="E6365">
        <v>1</v>
      </c>
      <c r="F6365" t="s">
        <v>5588</v>
      </c>
    </row>
    <row r="6366" spans="1:6" x14ac:dyDescent="0.25">
      <c r="A6366" t="s">
        <v>5564</v>
      </c>
      <c r="B6366" t="s">
        <v>19</v>
      </c>
      <c r="C6366" t="s">
        <v>20</v>
      </c>
      <c r="D6366" t="str">
        <f>HYPERLINK("http://service.sap.com/sap/support/notes/1659289","1659289")</f>
        <v>1659289</v>
      </c>
      <c r="E6366">
        <v>2</v>
      </c>
      <c r="F6366" t="s">
        <v>5589</v>
      </c>
    </row>
    <row r="6367" spans="1:6" x14ac:dyDescent="0.25">
      <c r="A6367" t="s">
        <v>5564</v>
      </c>
      <c r="B6367" t="s">
        <v>19</v>
      </c>
      <c r="C6367" t="s">
        <v>20</v>
      </c>
      <c r="D6367" t="str">
        <f>HYPERLINK("http://service.sap.com/sap/support/notes/1659316","1659316")</f>
        <v>1659316</v>
      </c>
      <c r="E6367">
        <v>1</v>
      </c>
      <c r="F6367" t="s">
        <v>5590</v>
      </c>
    </row>
    <row r="6368" spans="1:6" x14ac:dyDescent="0.25">
      <c r="A6368" t="s">
        <v>5564</v>
      </c>
      <c r="B6368" t="s">
        <v>19</v>
      </c>
      <c r="C6368" t="s">
        <v>20</v>
      </c>
      <c r="D6368" t="str">
        <f>HYPERLINK("http://service.sap.com/sap/support/notes/1659822","1659822")</f>
        <v>1659822</v>
      </c>
      <c r="E6368">
        <v>1</v>
      </c>
      <c r="F6368" t="s">
        <v>5591</v>
      </c>
    </row>
    <row r="6369" spans="1:6" x14ac:dyDescent="0.25">
      <c r="A6369" t="s">
        <v>5564</v>
      </c>
      <c r="B6369" t="s">
        <v>19</v>
      </c>
      <c r="C6369" t="s">
        <v>20</v>
      </c>
      <c r="D6369" t="str">
        <f>HYPERLINK("http://service.sap.com/sap/support/notes/1659989","1659989")</f>
        <v>1659989</v>
      </c>
      <c r="E6369">
        <v>1</v>
      </c>
      <c r="F6369" t="s">
        <v>5592</v>
      </c>
    </row>
    <row r="6370" spans="1:6" x14ac:dyDescent="0.25">
      <c r="A6370" t="s">
        <v>5564</v>
      </c>
      <c r="B6370" t="s">
        <v>19</v>
      </c>
      <c r="C6370" t="s">
        <v>20</v>
      </c>
      <c r="D6370" t="str">
        <f>HYPERLINK("http://service.sap.com/sap/support/notes/1663117","1663117")</f>
        <v>1663117</v>
      </c>
      <c r="E6370">
        <v>5</v>
      </c>
      <c r="F6370" t="s">
        <v>5593</v>
      </c>
    </row>
    <row r="6371" spans="1:6" x14ac:dyDescent="0.25">
      <c r="A6371" t="s">
        <v>5564</v>
      </c>
      <c r="B6371" t="s">
        <v>19</v>
      </c>
      <c r="C6371" t="s">
        <v>20</v>
      </c>
      <c r="D6371" t="str">
        <f>HYPERLINK("http://service.sap.com/sap/support/notes/1663434","1663434")</f>
        <v>1663434</v>
      </c>
      <c r="E6371">
        <v>1</v>
      </c>
      <c r="F6371" t="s">
        <v>5594</v>
      </c>
    </row>
    <row r="6372" spans="1:6" x14ac:dyDescent="0.25">
      <c r="A6372" t="s">
        <v>5564</v>
      </c>
      <c r="B6372" t="s">
        <v>19</v>
      </c>
      <c r="C6372" t="s">
        <v>20</v>
      </c>
      <c r="D6372" t="str">
        <f>HYPERLINK("http://service.sap.com/sap/support/notes/1663736","1663736")</f>
        <v>1663736</v>
      </c>
      <c r="E6372">
        <v>3</v>
      </c>
      <c r="F6372" t="s">
        <v>5595</v>
      </c>
    </row>
    <row r="6373" spans="1:6" x14ac:dyDescent="0.25">
      <c r="A6373" t="s">
        <v>5564</v>
      </c>
      <c r="B6373" t="s">
        <v>19</v>
      </c>
      <c r="C6373" t="s">
        <v>20</v>
      </c>
      <c r="D6373" t="str">
        <f>HYPERLINK("http://service.sap.com/sap/support/notes/1663756","1663756")</f>
        <v>1663756</v>
      </c>
      <c r="E6373">
        <v>2</v>
      </c>
      <c r="F6373" t="s">
        <v>5596</v>
      </c>
    </row>
    <row r="6374" spans="1:6" x14ac:dyDescent="0.25">
      <c r="A6374" t="s">
        <v>5564</v>
      </c>
      <c r="B6374" t="s">
        <v>19</v>
      </c>
      <c r="C6374" t="s">
        <v>20</v>
      </c>
      <c r="D6374" t="str">
        <f>HYPERLINK("http://service.sap.com/sap/support/notes/1664095","1664095")</f>
        <v>1664095</v>
      </c>
      <c r="E6374">
        <v>1</v>
      </c>
      <c r="F6374" t="s">
        <v>5597</v>
      </c>
    </row>
    <row r="6375" spans="1:6" x14ac:dyDescent="0.25">
      <c r="A6375" t="s">
        <v>5564</v>
      </c>
      <c r="B6375" t="s">
        <v>19</v>
      </c>
      <c r="C6375" t="s">
        <v>20</v>
      </c>
      <c r="D6375" t="str">
        <f>HYPERLINK("http://service.sap.com/sap/support/notes/1664407","1664407")</f>
        <v>1664407</v>
      </c>
      <c r="E6375">
        <v>3</v>
      </c>
      <c r="F6375" t="s">
        <v>5598</v>
      </c>
    </row>
    <row r="6376" spans="1:6" x14ac:dyDescent="0.25">
      <c r="A6376" t="s">
        <v>5564</v>
      </c>
      <c r="B6376" t="s">
        <v>19</v>
      </c>
      <c r="C6376" t="s">
        <v>20</v>
      </c>
      <c r="D6376" t="str">
        <f>HYPERLINK("http://service.sap.com/sap/support/notes/1664892","1664892")</f>
        <v>1664892</v>
      </c>
      <c r="E6376">
        <v>1</v>
      </c>
      <c r="F6376" t="s">
        <v>5599</v>
      </c>
    </row>
    <row r="6377" spans="1:6" x14ac:dyDescent="0.25">
      <c r="A6377" t="s">
        <v>5564</v>
      </c>
      <c r="B6377" t="s">
        <v>19</v>
      </c>
      <c r="C6377" t="s">
        <v>20</v>
      </c>
      <c r="D6377" t="str">
        <f>HYPERLINK("http://service.sap.com/sap/support/notes/1665184","1665184")</f>
        <v>1665184</v>
      </c>
      <c r="E6377">
        <v>2</v>
      </c>
      <c r="F6377" t="s">
        <v>5600</v>
      </c>
    </row>
    <row r="6378" spans="1:6" x14ac:dyDescent="0.25">
      <c r="A6378" t="s">
        <v>5564</v>
      </c>
      <c r="B6378" t="s">
        <v>19</v>
      </c>
      <c r="C6378" t="s">
        <v>20</v>
      </c>
      <c r="D6378" t="str">
        <f>HYPERLINK("http://service.sap.com/sap/support/notes/1665213","1665213")</f>
        <v>1665213</v>
      </c>
      <c r="E6378">
        <v>1</v>
      </c>
      <c r="F6378" t="s">
        <v>5601</v>
      </c>
    </row>
    <row r="6379" spans="1:6" x14ac:dyDescent="0.25">
      <c r="A6379" t="s">
        <v>5564</v>
      </c>
      <c r="B6379" t="s">
        <v>19</v>
      </c>
      <c r="C6379" t="s">
        <v>20</v>
      </c>
      <c r="D6379" t="str">
        <f>HYPERLINK("http://service.sap.com/sap/support/notes/1666346","1666346")</f>
        <v>1666346</v>
      </c>
      <c r="E6379">
        <v>2</v>
      </c>
      <c r="F6379" t="s">
        <v>5602</v>
      </c>
    </row>
    <row r="6380" spans="1:6" x14ac:dyDescent="0.25">
      <c r="A6380" t="s">
        <v>5564</v>
      </c>
      <c r="B6380" t="s">
        <v>19</v>
      </c>
      <c r="C6380" t="s">
        <v>20</v>
      </c>
      <c r="D6380" t="str">
        <f>HYPERLINK("http://service.sap.com/sap/support/notes/1666414","1666414")</f>
        <v>1666414</v>
      </c>
      <c r="E6380">
        <v>1</v>
      </c>
      <c r="F6380" t="s">
        <v>5603</v>
      </c>
    </row>
    <row r="6381" spans="1:6" x14ac:dyDescent="0.25">
      <c r="A6381" t="s">
        <v>5564</v>
      </c>
      <c r="B6381" t="s">
        <v>19</v>
      </c>
      <c r="C6381" t="s">
        <v>20</v>
      </c>
      <c r="D6381" t="str">
        <f>HYPERLINK("http://service.sap.com/sap/support/notes/1666526","1666526")</f>
        <v>1666526</v>
      </c>
      <c r="E6381">
        <v>2</v>
      </c>
      <c r="F6381" t="s">
        <v>5604</v>
      </c>
    </row>
    <row r="6382" spans="1:6" x14ac:dyDescent="0.25">
      <c r="A6382" t="s">
        <v>5564</v>
      </c>
      <c r="B6382" t="s">
        <v>19</v>
      </c>
      <c r="C6382" t="s">
        <v>20</v>
      </c>
      <c r="D6382" t="str">
        <f>HYPERLINK("http://service.sap.com/sap/support/notes/1667094","1667094")</f>
        <v>1667094</v>
      </c>
      <c r="E6382">
        <v>2</v>
      </c>
      <c r="F6382" t="s">
        <v>5605</v>
      </c>
    </row>
    <row r="6383" spans="1:6" x14ac:dyDescent="0.25">
      <c r="A6383" t="s">
        <v>5564</v>
      </c>
      <c r="B6383" t="s">
        <v>19</v>
      </c>
      <c r="C6383" t="s">
        <v>20</v>
      </c>
      <c r="D6383" t="str">
        <f>HYPERLINK("http://service.sap.com/sap/support/notes/1667673","1667673")</f>
        <v>1667673</v>
      </c>
      <c r="E6383">
        <v>2</v>
      </c>
      <c r="F6383" t="s">
        <v>5606</v>
      </c>
    </row>
    <row r="6384" spans="1:6" x14ac:dyDescent="0.25">
      <c r="A6384" t="s">
        <v>5564</v>
      </c>
      <c r="B6384" t="s">
        <v>19</v>
      </c>
      <c r="C6384" t="s">
        <v>20</v>
      </c>
      <c r="D6384" t="str">
        <f>HYPERLINK("http://service.sap.com/sap/support/notes/1668308","1668308")</f>
        <v>1668308</v>
      </c>
      <c r="E6384">
        <v>2</v>
      </c>
      <c r="F6384" t="s">
        <v>5607</v>
      </c>
    </row>
    <row r="6385" spans="1:6" x14ac:dyDescent="0.25">
      <c r="A6385" t="s">
        <v>5564</v>
      </c>
      <c r="B6385" t="s">
        <v>446</v>
      </c>
      <c r="C6385" t="s">
        <v>447</v>
      </c>
      <c r="D6385" t="str">
        <f>HYPERLINK("http://service.sap.com/sap/support/notes/1422411","1422411")</f>
        <v>1422411</v>
      </c>
      <c r="E6385">
        <v>2</v>
      </c>
      <c r="F6385" t="s">
        <v>5608</v>
      </c>
    </row>
    <row r="6386" spans="1:6" x14ac:dyDescent="0.25">
      <c r="A6386" t="s">
        <v>5564</v>
      </c>
      <c r="B6386" t="s">
        <v>446</v>
      </c>
      <c r="C6386" t="s">
        <v>447</v>
      </c>
      <c r="D6386" t="str">
        <f>HYPERLINK("http://service.sap.com/sap/support/notes/1559259","1559259")</f>
        <v>1559259</v>
      </c>
      <c r="E6386">
        <v>1</v>
      </c>
      <c r="F6386" t="s">
        <v>5609</v>
      </c>
    </row>
    <row r="6387" spans="1:6" x14ac:dyDescent="0.25">
      <c r="A6387" t="s">
        <v>5564</v>
      </c>
      <c r="B6387" t="s">
        <v>446</v>
      </c>
      <c r="C6387" t="s">
        <v>447</v>
      </c>
      <c r="D6387" t="str">
        <f>HYPERLINK("http://service.sap.com/sap/support/notes/1616645","1616645")</f>
        <v>1616645</v>
      </c>
      <c r="E6387">
        <v>1</v>
      </c>
      <c r="F6387" t="s">
        <v>5610</v>
      </c>
    </row>
    <row r="6388" spans="1:6" x14ac:dyDescent="0.25">
      <c r="A6388" t="s">
        <v>5564</v>
      </c>
      <c r="B6388" t="s">
        <v>446</v>
      </c>
      <c r="C6388" t="s">
        <v>447</v>
      </c>
      <c r="D6388" t="str">
        <f>HYPERLINK("http://service.sap.com/sap/support/notes/1631646","1631646")</f>
        <v>1631646</v>
      </c>
      <c r="E6388">
        <v>1</v>
      </c>
      <c r="F6388" t="s">
        <v>1837</v>
      </c>
    </row>
    <row r="6389" spans="1:6" x14ac:dyDescent="0.25">
      <c r="A6389" t="s">
        <v>5564</v>
      </c>
      <c r="B6389" t="s">
        <v>446</v>
      </c>
      <c r="C6389" t="s">
        <v>447</v>
      </c>
      <c r="D6389" t="str">
        <f>HYPERLINK("http://service.sap.com/sap/support/notes/1648999","1648999")</f>
        <v>1648999</v>
      </c>
      <c r="E6389">
        <v>2</v>
      </c>
      <c r="F6389" t="s">
        <v>5611</v>
      </c>
    </row>
    <row r="6390" spans="1:6" x14ac:dyDescent="0.25">
      <c r="A6390" t="s">
        <v>5564</v>
      </c>
      <c r="B6390" t="s">
        <v>446</v>
      </c>
      <c r="C6390" t="s">
        <v>447</v>
      </c>
      <c r="D6390" t="str">
        <f>HYPERLINK("http://service.sap.com/sap/support/notes/1657072","1657072")</f>
        <v>1657072</v>
      </c>
      <c r="E6390">
        <v>2</v>
      </c>
      <c r="F6390" t="s">
        <v>5612</v>
      </c>
    </row>
    <row r="6391" spans="1:6" x14ac:dyDescent="0.25">
      <c r="A6391" t="s">
        <v>5564</v>
      </c>
      <c r="B6391" t="s">
        <v>446</v>
      </c>
      <c r="C6391" t="s">
        <v>447</v>
      </c>
      <c r="D6391" t="str">
        <f>HYPERLINK("http://service.sap.com/sap/support/notes/1658305","1658305")</f>
        <v>1658305</v>
      </c>
      <c r="E6391">
        <v>1</v>
      </c>
      <c r="F6391" t="s">
        <v>5613</v>
      </c>
    </row>
    <row r="6392" spans="1:6" x14ac:dyDescent="0.25">
      <c r="A6392" t="s">
        <v>5564</v>
      </c>
      <c r="B6392" t="s">
        <v>446</v>
      </c>
      <c r="C6392" t="s">
        <v>447</v>
      </c>
      <c r="D6392" t="str">
        <f>HYPERLINK("http://service.sap.com/sap/support/notes/1658498","1658498")</f>
        <v>1658498</v>
      </c>
      <c r="E6392">
        <v>1</v>
      </c>
      <c r="F6392" t="s">
        <v>5614</v>
      </c>
    </row>
    <row r="6393" spans="1:6" x14ac:dyDescent="0.25">
      <c r="A6393" t="s">
        <v>5564</v>
      </c>
      <c r="B6393" t="s">
        <v>446</v>
      </c>
      <c r="C6393" t="s">
        <v>447</v>
      </c>
      <c r="D6393" t="str">
        <f>HYPERLINK("http://service.sap.com/sap/support/notes/1658510","1658510")</f>
        <v>1658510</v>
      </c>
      <c r="E6393">
        <v>1</v>
      </c>
      <c r="F6393" t="s">
        <v>5615</v>
      </c>
    </row>
    <row r="6394" spans="1:6" x14ac:dyDescent="0.25">
      <c r="A6394" t="s">
        <v>5564</v>
      </c>
      <c r="B6394" t="s">
        <v>446</v>
      </c>
      <c r="C6394" t="s">
        <v>447</v>
      </c>
      <c r="D6394" t="str">
        <f>HYPERLINK("http://service.sap.com/sap/support/notes/1659472","1659472")</f>
        <v>1659472</v>
      </c>
      <c r="E6394">
        <v>3</v>
      </c>
      <c r="F6394" t="s">
        <v>5616</v>
      </c>
    </row>
    <row r="6395" spans="1:6" x14ac:dyDescent="0.25">
      <c r="A6395" t="s">
        <v>5564</v>
      </c>
      <c r="B6395" t="s">
        <v>446</v>
      </c>
      <c r="C6395" t="s">
        <v>447</v>
      </c>
      <c r="D6395" t="str">
        <f>HYPERLINK("http://service.sap.com/sap/support/notes/1660598","1660598")</f>
        <v>1660598</v>
      </c>
      <c r="E6395">
        <v>1</v>
      </c>
      <c r="F6395" t="s">
        <v>5617</v>
      </c>
    </row>
    <row r="6396" spans="1:6" x14ac:dyDescent="0.25">
      <c r="A6396" t="s">
        <v>5564</v>
      </c>
      <c r="B6396" t="s">
        <v>446</v>
      </c>
      <c r="C6396" t="s">
        <v>447</v>
      </c>
      <c r="D6396" t="str">
        <f>HYPERLINK("http://service.sap.com/sap/support/notes/1662311","1662311")</f>
        <v>1662311</v>
      </c>
      <c r="E6396">
        <v>3</v>
      </c>
      <c r="F6396" t="s">
        <v>5618</v>
      </c>
    </row>
    <row r="6397" spans="1:6" x14ac:dyDescent="0.25">
      <c r="A6397" t="s">
        <v>5564</v>
      </c>
      <c r="B6397" t="s">
        <v>446</v>
      </c>
      <c r="C6397" t="s">
        <v>447</v>
      </c>
      <c r="D6397" t="str">
        <f>HYPERLINK("http://service.sap.com/sap/support/notes/1662507","1662507")</f>
        <v>1662507</v>
      </c>
      <c r="E6397">
        <v>1</v>
      </c>
      <c r="F6397" t="s">
        <v>5619</v>
      </c>
    </row>
    <row r="6398" spans="1:6" x14ac:dyDescent="0.25">
      <c r="A6398" t="s">
        <v>5564</v>
      </c>
      <c r="B6398" t="s">
        <v>446</v>
      </c>
      <c r="C6398" t="s">
        <v>447</v>
      </c>
      <c r="D6398" t="str">
        <f>HYPERLINK("http://service.sap.com/sap/support/notes/1662580","1662580")</f>
        <v>1662580</v>
      </c>
      <c r="E6398">
        <v>2</v>
      </c>
      <c r="F6398" t="s">
        <v>5620</v>
      </c>
    </row>
    <row r="6399" spans="1:6" x14ac:dyDescent="0.25">
      <c r="A6399" t="s">
        <v>5564</v>
      </c>
      <c r="B6399" t="s">
        <v>446</v>
      </c>
      <c r="C6399" t="s">
        <v>447</v>
      </c>
      <c r="D6399" t="str">
        <f>HYPERLINK("http://service.sap.com/sap/support/notes/1665194","1665194")</f>
        <v>1665194</v>
      </c>
      <c r="E6399">
        <v>2</v>
      </c>
      <c r="F6399" t="s">
        <v>5621</v>
      </c>
    </row>
    <row r="6400" spans="1:6" x14ac:dyDescent="0.25">
      <c r="A6400" t="s">
        <v>5564</v>
      </c>
      <c r="B6400" t="s">
        <v>446</v>
      </c>
      <c r="C6400" t="s">
        <v>447</v>
      </c>
      <c r="D6400" t="str">
        <f>HYPERLINK("http://service.sap.com/sap/support/notes/1665294","1665294")</f>
        <v>1665294</v>
      </c>
      <c r="F6400" t="s">
        <v>5622</v>
      </c>
    </row>
    <row r="6401" spans="1:6" x14ac:dyDescent="0.25">
      <c r="A6401" t="s">
        <v>5564</v>
      </c>
      <c r="B6401" t="s">
        <v>446</v>
      </c>
      <c r="C6401" t="s">
        <v>447</v>
      </c>
      <c r="D6401" t="str">
        <f>HYPERLINK("http://service.sap.com/sap/support/notes/1665342","1665342")</f>
        <v>1665342</v>
      </c>
      <c r="E6401">
        <v>2</v>
      </c>
      <c r="F6401" t="s">
        <v>5623</v>
      </c>
    </row>
    <row r="6402" spans="1:6" x14ac:dyDescent="0.25">
      <c r="A6402" t="s">
        <v>5564</v>
      </c>
      <c r="B6402" t="s">
        <v>446</v>
      </c>
      <c r="C6402" t="s">
        <v>447</v>
      </c>
      <c r="D6402" t="str">
        <f>HYPERLINK("http://service.sap.com/sap/support/notes/1667958","1667958")</f>
        <v>1667958</v>
      </c>
      <c r="E6402">
        <v>2</v>
      </c>
      <c r="F6402" t="s">
        <v>5624</v>
      </c>
    </row>
    <row r="6403" spans="1:6" x14ac:dyDescent="0.25">
      <c r="A6403" t="s">
        <v>5564</v>
      </c>
      <c r="B6403" t="s">
        <v>446</v>
      </c>
      <c r="C6403" t="s">
        <v>447</v>
      </c>
      <c r="D6403" t="str">
        <f>HYPERLINK("http://service.sap.com/sap/support/notes/1668281","1668281")</f>
        <v>1668281</v>
      </c>
      <c r="E6403">
        <v>1</v>
      </c>
      <c r="F6403" t="s">
        <v>5625</v>
      </c>
    </row>
    <row r="6404" spans="1:6" x14ac:dyDescent="0.25">
      <c r="A6404" t="s">
        <v>5564</v>
      </c>
      <c r="B6404" t="s">
        <v>446</v>
      </c>
      <c r="C6404" t="s">
        <v>447</v>
      </c>
      <c r="D6404" t="str">
        <f>HYPERLINK("http://service.sap.com/sap/support/notes/1668731","1668731")</f>
        <v>1668731</v>
      </c>
      <c r="E6404">
        <v>2</v>
      </c>
      <c r="F6404" t="s">
        <v>5626</v>
      </c>
    </row>
    <row r="6405" spans="1:6" x14ac:dyDescent="0.25">
      <c r="A6405" t="s">
        <v>5564</v>
      </c>
      <c r="B6405" t="s">
        <v>446</v>
      </c>
      <c r="C6405" t="s">
        <v>447</v>
      </c>
      <c r="D6405" t="str">
        <f>HYPERLINK("http://service.sap.com/sap/support/notes/1669190","1669190")</f>
        <v>1669190</v>
      </c>
      <c r="E6405">
        <v>1</v>
      </c>
      <c r="F6405" t="s">
        <v>5627</v>
      </c>
    </row>
    <row r="6406" spans="1:6" x14ac:dyDescent="0.25">
      <c r="A6406" t="s">
        <v>5564</v>
      </c>
      <c r="B6406" t="s">
        <v>448</v>
      </c>
      <c r="C6406" t="s">
        <v>449</v>
      </c>
      <c r="D6406" t="str">
        <f>HYPERLINK("http://service.sap.com/sap/support/notes/1655793","1655793")</f>
        <v>1655793</v>
      </c>
      <c r="E6406">
        <v>4</v>
      </c>
      <c r="F6406" t="s">
        <v>5438</v>
      </c>
    </row>
    <row r="6407" spans="1:6" x14ac:dyDescent="0.25">
      <c r="A6407" t="s">
        <v>5564</v>
      </c>
      <c r="B6407" t="s">
        <v>448</v>
      </c>
      <c r="C6407" t="s">
        <v>449</v>
      </c>
      <c r="D6407" t="str">
        <f>HYPERLINK("http://service.sap.com/sap/support/notes/1660882","1660882")</f>
        <v>1660882</v>
      </c>
      <c r="E6407">
        <v>1</v>
      </c>
      <c r="F6407" t="s">
        <v>5628</v>
      </c>
    </row>
    <row r="6408" spans="1:6" x14ac:dyDescent="0.25">
      <c r="A6408" t="s">
        <v>5564</v>
      </c>
      <c r="B6408" t="s">
        <v>448</v>
      </c>
      <c r="C6408" t="s">
        <v>449</v>
      </c>
      <c r="D6408" t="str">
        <f>HYPERLINK("http://service.sap.com/sap/support/notes/1661401","1661401")</f>
        <v>1661401</v>
      </c>
      <c r="E6408">
        <v>2</v>
      </c>
      <c r="F6408" t="s">
        <v>5629</v>
      </c>
    </row>
    <row r="6409" spans="1:6" x14ac:dyDescent="0.25">
      <c r="A6409" t="s">
        <v>5564</v>
      </c>
      <c r="B6409" t="s">
        <v>448</v>
      </c>
      <c r="C6409" t="s">
        <v>449</v>
      </c>
      <c r="D6409" t="str">
        <f>HYPERLINK("http://service.sap.com/sap/support/notes/1661411","1661411")</f>
        <v>1661411</v>
      </c>
      <c r="E6409">
        <v>2</v>
      </c>
      <c r="F6409" t="s">
        <v>5630</v>
      </c>
    </row>
    <row r="6410" spans="1:6" x14ac:dyDescent="0.25">
      <c r="A6410" t="s">
        <v>5564</v>
      </c>
      <c r="B6410" t="s">
        <v>448</v>
      </c>
      <c r="C6410" t="s">
        <v>449</v>
      </c>
      <c r="D6410" t="str">
        <f>HYPERLINK("http://service.sap.com/sap/support/notes/1661755","1661755")</f>
        <v>1661755</v>
      </c>
      <c r="E6410">
        <v>1</v>
      </c>
      <c r="F6410" t="s">
        <v>5631</v>
      </c>
    </row>
    <row r="6411" spans="1:6" x14ac:dyDescent="0.25">
      <c r="A6411" t="s">
        <v>5564</v>
      </c>
      <c r="B6411" t="s">
        <v>450</v>
      </c>
      <c r="C6411" t="s">
        <v>451</v>
      </c>
      <c r="D6411" t="str">
        <f>HYPERLINK("http://service.sap.com/sap/support/notes/1655819","1655819")</f>
        <v>1655819</v>
      </c>
      <c r="E6411">
        <v>2</v>
      </c>
      <c r="F6411" t="s">
        <v>5632</v>
      </c>
    </row>
    <row r="6412" spans="1:6" x14ac:dyDescent="0.25">
      <c r="A6412" t="s">
        <v>5564</v>
      </c>
      <c r="B6412" t="s">
        <v>450</v>
      </c>
      <c r="C6412" t="s">
        <v>451</v>
      </c>
      <c r="D6412" t="str">
        <f>HYPERLINK("http://service.sap.com/sap/support/notes/1657155","1657155")</f>
        <v>1657155</v>
      </c>
      <c r="E6412">
        <v>1</v>
      </c>
      <c r="F6412" t="s">
        <v>5633</v>
      </c>
    </row>
    <row r="6413" spans="1:6" x14ac:dyDescent="0.25">
      <c r="A6413" t="s">
        <v>5564</v>
      </c>
      <c r="B6413" t="s">
        <v>639</v>
      </c>
      <c r="C6413" t="s">
        <v>640</v>
      </c>
      <c r="D6413" t="str">
        <f>HYPERLINK("http://service.sap.com/sap/support/notes/1659776","1659776")</f>
        <v>1659776</v>
      </c>
      <c r="E6413">
        <v>1</v>
      </c>
      <c r="F6413" t="s">
        <v>5634</v>
      </c>
    </row>
    <row r="6414" spans="1:6" x14ac:dyDescent="0.25">
      <c r="A6414" t="s">
        <v>5564</v>
      </c>
      <c r="B6414" t="s">
        <v>619</v>
      </c>
      <c r="C6414" t="s">
        <v>620</v>
      </c>
      <c r="D6414" t="str">
        <f>HYPERLINK("http://service.sap.com/sap/support/notes/1668950","1668950")</f>
        <v>1668950</v>
      </c>
      <c r="E6414">
        <v>1</v>
      </c>
      <c r="F6414" t="s">
        <v>5635</v>
      </c>
    </row>
    <row r="6415" spans="1:6" x14ac:dyDescent="0.25">
      <c r="A6415" t="s">
        <v>5564</v>
      </c>
      <c r="B6415" t="s">
        <v>453</v>
      </c>
      <c r="C6415" t="s">
        <v>454</v>
      </c>
      <c r="D6415" t="str">
        <f>HYPERLINK("http://service.sap.com/sap/support/notes/1654254","1654254")</f>
        <v>1654254</v>
      </c>
      <c r="E6415">
        <v>1</v>
      </c>
      <c r="F6415" t="s">
        <v>5636</v>
      </c>
    </row>
    <row r="6416" spans="1:6" x14ac:dyDescent="0.25">
      <c r="A6416" t="s">
        <v>5564</v>
      </c>
      <c r="B6416" t="s">
        <v>453</v>
      </c>
      <c r="C6416" t="s">
        <v>454</v>
      </c>
      <c r="D6416" t="str">
        <f>HYPERLINK("http://service.sap.com/sap/support/notes/1665959","1665959")</f>
        <v>1665959</v>
      </c>
      <c r="E6416">
        <v>2</v>
      </c>
      <c r="F6416" t="s">
        <v>5637</v>
      </c>
    </row>
    <row r="6417" spans="1:6" x14ac:dyDescent="0.25">
      <c r="A6417" t="s">
        <v>5564</v>
      </c>
      <c r="B6417" t="s">
        <v>21</v>
      </c>
      <c r="C6417" t="s">
        <v>12</v>
      </c>
    </row>
    <row r="6418" spans="1:6" x14ac:dyDescent="0.25">
      <c r="A6418" t="s">
        <v>5564</v>
      </c>
      <c r="B6418" t="s">
        <v>455</v>
      </c>
      <c r="C6418" t="s">
        <v>456</v>
      </c>
      <c r="D6418" t="str">
        <f>HYPERLINK("http://service.sap.com/sap/support/notes/1641599","1641599")</f>
        <v>1641599</v>
      </c>
      <c r="E6418">
        <v>1</v>
      </c>
      <c r="F6418" t="s">
        <v>5638</v>
      </c>
    </row>
    <row r="6419" spans="1:6" x14ac:dyDescent="0.25">
      <c r="A6419" t="s">
        <v>5564</v>
      </c>
      <c r="B6419" t="s">
        <v>455</v>
      </c>
      <c r="C6419" t="s">
        <v>456</v>
      </c>
      <c r="D6419" t="str">
        <f>HYPERLINK("http://service.sap.com/sap/support/notes/1660824","1660824")</f>
        <v>1660824</v>
      </c>
      <c r="E6419">
        <v>1</v>
      </c>
      <c r="F6419" t="s">
        <v>5639</v>
      </c>
    </row>
    <row r="6420" spans="1:6" x14ac:dyDescent="0.25">
      <c r="A6420" t="s">
        <v>5564</v>
      </c>
      <c r="B6420" t="s">
        <v>378</v>
      </c>
      <c r="C6420" t="s">
        <v>379</v>
      </c>
      <c r="D6420" t="str">
        <f>HYPERLINK("http://service.sap.com/sap/support/notes/1650439","1650439")</f>
        <v>1650439</v>
      </c>
      <c r="E6420">
        <v>2</v>
      </c>
      <c r="F6420" t="s">
        <v>5640</v>
      </c>
    </row>
    <row r="6421" spans="1:6" x14ac:dyDescent="0.25">
      <c r="A6421" t="s">
        <v>5564</v>
      </c>
      <c r="B6421" t="s">
        <v>458</v>
      </c>
      <c r="C6421" t="s">
        <v>459</v>
      </c>
      <c r="D6421" t="str">
        <f>HYPERLINK("http://service.sap.com/sap/support/notes/1659408","1659408")</f>
        <v>1659408</v>
      </c>
      <c r="E6421">
        <v>1</v>
      </c>
      <c r="F6421" t="s">
        <v>5641</v>
      </c>
    </row>
    <row r="6422" spans="1:6" x14ac:dyDescent="0.25">
      <c r="A6422" t="s">
        <v>5564</v>
      </c>
      <c r="B6422" t="s">
        <v>458</v>
      </c>
      <c r="C6422" t="s">
        <v>459</v>
      </c>
      <c r="D6422" t="str">
        <f>HYPERLINK("http://service.sap.com/sap/support/notes/1661389","1661389")</f>
        <v>1661389</v>
      </c>
      <c r="E6422">
        <v>3</v>
      </c>
      <c r="F6422" t="s">
        <v>557</v>
      </c>
    </row>
    <row r="6423" spans="1:6" x14ac:dyDescent="0.25">
      <c r="A6423" t="s">
        <v>5564</v>
      </c>
      <c r="B6423" t="s">
        <v>5642</v>
      </c>
      <c r="C6423" t="s">
        <v>5643</v>
      </c>
      <c r="D6423" t="str">
        <f>HYPERLINK("http://service.sap.com/sap/support/notes/1652716","1652716")</f>
        <v>1652716</v>
      </c>
      <c r="E6423">
        <v>3</v>
      </c>
      <c r="F6423" t="s">
        <v>5644</v>
      </c>
    </row>
    <row r="6424" spans="1:6" x14ac:dyDescent="0.25">
      <c r="A6424" t="s">
        <v>5564</v>
      </c>
      <c r="B6424" t="s">
        <v>462</v>
      </c>
      <c r="C6424" t="s">
        <v>463</v>
      </c>
      <c r="D6424" t="str">
        <f>HYPERLINK("http://service.sap.com/sap/support/notes/1650570","1650570")</f>
        <v>1650570</v>
      </c>
      <c r="E6424">
        <v>1</v>
      </c>
      <c r="F6424" t="s">
        <v>5645</v>
      </c>
    </row>
    <row r="6425" spans="1:6" x14ac:dyDescent="0.25">
      <c r="A6425" t="s">
        <v>5564</v>
      </c>
      <c r="B6425" t="s">
        <v>623</v>
      </c>
      <c r="C6425" t="s">
        <v>624</v>
      </c>
    </row>
    <row r="6426" spans="1:6" x14ac:dyDescent="0.25">
      <c r="A6426" t="s">
        <v>5564</v>
      </c>
      <c r="B6426" t="s">
        <v>625</v>
      </c>
      <c r="C6426" t="s">
        <v>626</v>
      </c>
      <c r="D6426" t="str">
        <f>HYPERLINK("http://service.sap.com/sap/support/notes/1650362","1650362")</f>
        <v>1650362</v>
      </c>
      <c r="E6426">
        <v>1</v>
      </c>
      <c r="F6426" t="s">
        <v>5646</v>
      </c>
    </row>
    <row r="6427" spans="1:6" x14ac:dyDescent="0.25">
      <c r="A6427" t="s">
        <v>5564</v>
      </c>
      <c r="B6427" t="s">
        <v>625</v>
      </c>
      <c r="C6427" t="s">
        <v>626</v>
      </c>
      <c r="D6427" t="str">
        <f>HYPERLINK("http://service.sap.com/sap/support/notes/1654079","1654079")</f>
        <v>1654079</v>
      </c>
      <c r="E6427">
        <v>1</v>
      </c>
      <c r="F6427" t="s">
        <v>5647</v>
      </c>
    </row>
    <row r="6428" spans="1:6" x14ac:dyDescent="0.25">
      <c r="A6428" t="s">
        <v>5564</v>
      </c>
      <c r="B6428" t="s">
        <v>625</v>
      </c>
      <c r="C6428" t="s">
        <v>626</v>
      </c>
      <c r="D6428" t="str">
        <f>HYPERLINK("http://service.sap.com/sap/support/notes/1658145","1658145")</f>
        <v>1658145</v>
      </c>
      <c r="E6428">
        <v>1</v>
      </c>
      <c r="F6428" t="s">
        <v>5648</v>
      </c>
    </row>
    <row r="6429" spans="1:6" x14ac:dyDescent="0.25">
      <c r="A6429" t="s">
        <v>5564</v>
      </c>
      <c r="B6429" t="s">
        <v>625</v>
      </c>
      <c r="C6429" t="s">
        <v>626</v>
      </c>
      <c r="D6429" t="str">
        <f>HYPERLINK("http://service.sap.com/sap/support/notes/1658146","1658146")</f>
        <v>1658146</v>
      </c>
      <c r="E6429">
        <v>1</v>
      </c>
      <c r="F6429" t="s">
        <v>5649</v>
      </c>
    </row>
    <row r="6430" spans="1:6" x14ac:dyDescent="0.25">
      <c r="A6430" t="s">
        <v>5564</v>
      </c>
      <c r="B6430" t="s">
        <v>625</v>
      </c>
      <c r="C6430" t="s">
        <v>626</v>
      </c>
      <c r="D6430" t="str">
        <f>HYPERLINK("http://service.sap.com/sap/support/notes/1659195","1659195")</f>
        <v>1659195</v>
      </c>
      <c r="E6430">
        <v>1</v>
      </c>
      <c r="F6430" t="s">
        <v>5650</v>
      </c>
    </row>
    <row r="6431" spans="1:6" x14ac:dyDescent="0.25">
      <c r="A6431" t="s">
        <v>5564</v>
      </c>
      <c r="B6431" t="s">
        <v>625</v>
      </c>
      <c r="C6431" t="s">
        <v>626</v>
      </c>
      <c r="D6431" t="str">
        <f>HYPERLINK("http://service.sap.com/sap/support/notes/1668101","1668101")</f>
        <v>1668101</v>
      </c>
      <c r="E6431">
        <v>1</v>
      </c>
      <c r="F6431" t="s">
        <v>5651</v>
      </c>
    </row>
    <row r="6432" spans="1:6" x14ac:dyDescent="0.25">
      <c r="A6432" t="s">
        <v>5564</v>
      </c>
      <c r="B6432" t="s">
        <v>625</v>
      </c>
      <c r="C6432" t="s">
        <v>626</v>
      </c>
      <c r="D6432" t="str">
        <f>HYPERLINK("http://service.sap.com/sap/support/notes/1668144","1668144")</f>
        <v>1668144</v>
      </c>
      <c r="E6432">
        <v>1</v>
      </c>
      <c r="F6432" t="s">
        <v>5652</v>
      </c>
    </row>
    <row r="6433" spans="1:6" x14ac:dyDescent="0.25">
      <c r="A6433" t="s">
        <v>5564</v>
      </c>
      <c r="B6433" t="s">
        <v>627</v>
      </c>
      <c r="C6433" t="s">
        <v>628</v>
      </c>
      <c r="D6433" t="str">
        <f>HYPERLINK("http://service.sap.com/sap/support/notes/1654077","1654077")</f>
        <v>1654077</v>
      </c>
      <c r="E6433">
        <v>1</v>
      </c>
      <c r="F6433" t="s">
        <v>5468</v>
      </c>
    </row>
    <row r="6434" spans="1:6" x14ac:dyDescent="0.25">
      <c r="A6434" t="s">
        <v>5564</v>
      </c>
      <c r="B6434" t="s">
        <v>29</v>
      </c>
      <c r="C6434" t="s">
        <v>30</v>
      </c>
    </row>
    <row r="6435" spans="1:6" x14ac:dyDescent="0.25">
      <c r="A6435" t="s">
        <v>5564</v>
      </c>
      <c r="B6435" t="s">
        <v>35</v>
      </c>
      <c r="C6435" t="s">
        <v>36</v>
      </c>
      <c r="D6435" t="str">
        <f>HYPERLINK("http://service.sap.com/sap/support/notes/1632904","1632904")</f>
        <v>1632904</v>
      </c>
      <c r="E6435">
        <v>1</v>
      </c>
      <c r="F6435" t="s">
        <v>5234</v>
      </c>
    </row>
    <row r="6436" spans="1:6" x14ac:dyDescent="0.25">
      <c r="A6436" t="s">
        <v>5564</v>
      </c>
      <c r="B6436" t="s">
        <v>35</v>
      </c>
      <c r="C6436" t="s">
        <v>36</v>
      </c>
      <c r="D6436" t="str">
        <f>HYPERLINK("http://service.sap.com/sap/support/notes/1661858","1661858")</f>
        <v>1661858</v>
      </c>
      <c r="E6436">
        <v>2</v>
      </c>
      <c r="F6436" t="s">
        <v>5653</v>
      </c>
    </row>
    <row r="6437" spans="1:6" x14ac:dyDescent="0.25">
      <c r="A6437" t="s">
        <v>5564</v>
      </c>
      <c r="B6437" t="s">
        <v>41</v>
      </c>
      <c r="C6437" t="s">
        <v>42</v>
      </c>
    </row>
    <row r="6438" spans="1:6" x14ac:dyDescent="0.25">
      <c r="A6438" t="s">
        <v>5564</v>
      </c>
      <c r="B6438" t="s">
        <v>43</v>
      </c>
      <c r="C6438" t="s">
        <v>44</v>
      </c>
      <c r="D6438" t="str">
        <f>HYPERLINK("http://service.sap.com/sap/support/notes/1647679","1647679")</f>
        <v>1647679</v>
      </c>
      <c r="E6438">
        <v>1</v>
      </c>
      <c r="F6438" t="s">
        <v>5654</v>
      </c>
    </row>
    <row r="6439" spans="1:6" x14ac:dyDescent="0.25">
      <c r="A6439" t="s">
        <v>5564</v>
      </c>
      <c r="B6439" t="s">
        <v>43</v>
      </c>
      <c r="C6439" t="s">
        <v>44</v>
      </c>
      <c r="D6439" t="str">
        <f>HYPERLINK("http://service.sap.com/sap/support/notes/1658695","1658695")</f>
        <v>1658695</v>
      </c>
      <c r="E6439">
        <v>2</v>
      </c>
      <c r="F6439" t="s">
        <v>1847</v>
      </c>
    </row>
    <row r="6440" spans="1:6" x14ac:dyDescent="0.25">
      <c r="A6440" t="s">
        <v>5564</v>
      </c>
      <c r="B6440" t="s">
        <v>403</v>
      </c>
      <c r="C6440" t="s">
        <v>147</v>
      </c>
      <c r="D6440" t="str">
        <f>HYPERLINK("http://service.sap.com/sap/support/notes/1668110","1668110")</f>
        <v>1668110</v>
      </c>
      <c r="E6440">
        <v>1</v>
      </c>
      <c r="F6440" t="s">
        <v>5572</v>
      </c>
    </row>
    <row r="6441" spans="1:6" x14ac:dyDescent="0.25">
      <c r="A6441" t="s">
        <v>5564</v>
      </c>
      <c r="B6441" t="s">
        <v>51</v>
      </c>
      <c r="C6441" t="s">
        <v>52</v>
      </c>
    </row>
    <row r="6442" spans="1:6" x14ac:dyDescent="0.25">
      <c r="A6442" t="s">
        <v>5564</v>
      </c>
      <c r="B6442" t="s">
        <v>753</v>
      </c>
      <c r="C6442" t="s">
        <v>754</v>
      </c>
      <c r="D6442" t="str">
        <f>HYPERLINK("http://service.sap.com/sap/support/notes/1662944","1662944")</f>
        <v>1662944</v>
      </c>
      <c r="E6442">
        <v>1</v>
      </c>
      <c r="F6442" t="s">
        <v>5655</v>
      </c>
    </row>
    <row r="6443" spans="1:6" x14ac:dyDescent="0.25">
      <c r="A6443" t="s">
        <v>5564</v>
      </c>
      <c r="B6443" t="s">
        <v>57</v>
      </c>
      <c r="C6443" t="s">
        <v>58</v>
      </c>
      <c r="D6443" t="str">
        <f>HYPERLINK("http://service.sap.com/sap/support/notes/1657818","1657818")</f>
        <v>1657818</v>
      </c>
      <c r="E6443">
        <v>3</v>
      </c>
      <c r="F6443" t="s">
        <v>5656</v>
      </c>
    </row>
    <row r="6444" spans="1:6" x14ac:dyDescent="0.25">
      <c r="A6444" t="s">
        <v>5564</v>
      </c>
      <c r="B6444" t="s">
        <v>57</v>
      </c>
      <c r="C6444" t="s">
        <v>58</v>
      </c>
      <c r="D6444" t="str">
        <f>HYPERLINK("http://service.sap.com/sap/support/notes/1659237","1659237")</f>
        <v>1659237</v>
      </c>
      <c r="E6444">
        <v>1</v>
      </c>
      <c r="F6444" t="s">
        <v>5657</v>
      </c>
    </row>
    <row r="6445" spans="1:6" x14ac:dyDescent="0.25">
      <c r="A6445" t="s">
        <v>5564</v>
      </c>
      <c r="B6445" t="s">
        <v>57</v>
      </c>
      <c r="C6445" t="s">
        <v>58</v>
      </c>
      <c r="D6445" t="str">
        <f>HYPERLINK("http://service.sap.com/sap/support/notes/1666187","1666187")</f>
        <v>1666187</v>
      </c>
      <c r="E6445">
        <v>1</v>
      </c>
      <c r="F6445" t="s">
        <v>5658</v>
      </c>
    </row>
    <row r="6446" spans="1:6" x14ac:dyDescent="0.25">
      <c r="A6446" t="s">
        <v>5564</v>
      </c>
      <c r="B6446" t="s">
        <v>258</v>
      </c>
      <c r="C6446" t="s">
        <v>186</v>
      </c>
      <c r="D6446" t="str">
        <f>HYPERLINK("http://service.sap.com/sap/support/notes/1663329","1663329")</f>
        <v>1663329</v>
      </c>
      <c r="E6446">
        <v>1</v>
      </c>
      <c r="F6446" t="s">
        <v>5659</v>
      </c>
    </row>
    <row r="6447" spans="1:6" x14ac:dyDescent="0.25">
      <c r="A6447" t="s">
        <v>5564</v>
      </c>
      <c r="B6447" t="s">
        <v>267</v>
      </c>
      <c r="C6447" t="s">
        <v>466</v>
      </c>
    </row>
    <row r="6448" spans="1:6" x14ac:dyDescent="0.25">
      <c r="A6448" t="s">
        <v>5564</v>
      </c>
      <c r="B6448" t="s">
        <v>268</v>
      </c>
      <c r="C6448" t="s">
        <v>467</v>
      </c>
      <c r="D6448" t="str">
        <f>HYPERLINK("http://service.sap.com/sap/support/notes/1646141","1646141")</f>
        <v>1646141</v>
      </c>
      <c r="E6448">
        <v>1</v>
      </c>
      <c r="F6448" t="s">
        <v>5660</v>
      </c>
    </row>
    <row r="6449" spans="1:6" x14ac:dyDescent="0.25">
      <c r="A6449" t="s">
        <v>5564</v>
      </c>
      <c r="B6449" t="s">
        <v>268</v>
      </c>
      <c r="C6449" t="s">
        <v>467</v>
      </c>
      <c r="D6449" t="str">
        <f>HYPERLINK("http://service.sap.com/sap/support/notes/1654804","1654804")</f>
        <v>1654804</v>
      </c>
      <c r="E6449">
        <v>1</v>
      </c>
      <c r="F6449" t="s">
        <v>5661</v>
      </c>
    </row>
    <row r="6450" spans="1:6" x14ac:dyDescent="0.25">
      <c r="A6450" t="s">
        <v>5564</v>
      </c>
      <c r="B6450" t="s">
        <v>268</v>
      </c>
      <c r="C6450" t="s">
        <v>467</v>
      </c>
      <c r="D6450" t="str">
        <f>HYPERLINK("http://service.sap.com/sap/support/notes/1656067","1656067")</f>
        <v>1656067</v>
      </c>
      <c r="E6450">
        <v>1</v>
      </c>
      <c r="F6450" t="s">
        <v>5662</v>
      </c>
    </row>
    <row r="6451" spans="1:6" x14ac:dyDescent="0.25">
      <c r="A6451" t="s">
        <v>5564</v>
      </c>
      <c r="B6451" t="s">
        <v>268</v>
      </c>
      <c r="C6451" t="s">
        <v>467</v>
      </c>
      <c r="D6451" t="str">
        <f>HYPERLINK("http://service.sap.com/sap/support/notes/1662365","1662365")</f>
        <v>1662365</v>
      </c>
      <c r="E6451">
        <v>1</v>
      </c>
      <c r="F6451" t="s">
        <v>5663</v>
      </c>
    </row>
    <row r="6452" spans="1:6" x14ac:dyDescent="0.25">
      <c r="A6452" t="s">
        <v>5564</v>
      </c>
      <c r="B6452" t="s">
        <v>268</v>
      </c>
      <c r="C6452" t="s">
        <v>467</v>
      </c>
      <c r="D6452" t="str">
        <f>HYPERLINK("http://service.sap.com/sap/support/notes/1662541","1662541")</f>
        <v>1662541</v>
      </c>
      <c r="E6452">
        <v>2</v>
      </c>
      <c r="F6452" t="s">
        <v>5664</v>
      </c>
    </row>
    <row r="6453" spans="1:6" x14ac:dyDescent="0.25">
      <c r="A6453" t="s">
        <v>5564</v>
      </c>
      <c r="B6453" t="s">
        <v>268</v>
      </c>
      <c r="C6453" t="s">
        <v>467</v>
      </c>
      <c r="D6453" t="str">
        <f>HYPERLINK("http://service.sap.com/sap/support/notes/1663783","1663783")</f>
        <v>1663783</v>
      </c>
      <c r="E6453">
        <v>3</v>
      </c>
      <c r="F6453" t="s">
        <v>5665</v>
      </c>
    </row>
    <row r="6454" spans="1:6" x14ac:dyDescent="0.25">
      <c r="A6454" t="s">
        <v>5564</v>
      </c>
      <c r="B6454" t="s">
        <v>273</v>
      </c>
      <c r="C6454" t="s">
        <v>469</v>
      </c>
    </row>
    <row r="6455" spans="1:6" x14ac:dyDescent="0.25">
      <c r="A6455" t="s">
        <v>5564</v>
      </c>
      <c r="B6455" t="s">
        <v>274</v>
      </c>
      <c r="C6455" t="s">
        <v>470</v>
      </c>
      <c r="D6455" t="str">
        <f>HYPERLINK("http://service.sap.com/sap/support/notes/1656185","1656185")</f>
        <v>1656185</v>
      </c>
      <c r="E6455">
        <v>2</v>
      </c>
      <c r="F6455" t="s">
        <v>5666</v>
      </c>
    </row>
    <row r="6456" spans="1:6" x14ac:dyDescent="0.25">
      <c r="A6456" t="s">
        <v>5564</v>
      </c>
      <c r="B6456" t="s">
        <v>274</v>
      </c>
      <c r="C6456" t="s">
        <v>470</v>
      </c>
      <c r="D6456" t="str">
        <f>HYPERLINK("http://service.sap.com/sap/support/notes/1662245","1662245")</f>
        <v>1662245</v>
      </c>
      <c r="E6456">
        <v>2</v>
      </c>
      <c r="F6456" t="s">
        <v>5667</v>
      </c>
    </row>
    <row r="6457" spans="1:6" x14ac:dyDescent="0.25">
      <c r="A6457" t="s">
        <v>5564</v>
      </c>
      <c r="B6457" t="s">
        <v>471</v>
      </c>
      <c r="C6457" t="s">
        <v>472</v>
      </c>
      <c r="D6457" t="str">
        <f>HYPERLINK("http://service.sap.com/sap/support/notes/1345195","1345195")</f>
        <v>1345195</v>
      </c>
      <c r="E6457">
        <v>5</v>
      </c>
      <c r="F6457" t="s">
        <v>5668</v>
      </c>
    </row>
    <row r="6458" spans="1:6" x14ac:dyDescent="0.25">
      <c r="A6458" t="s">
        <v>5564</v>
      </c>
      <c r="B6458" t="s">
        <v>471</v>
      </c>
      <c r="C6458" t="s">
        <v>472</v>
      </c>
      <c r="D6458" t="str">
        <f>HYPERLINK("http://service.sap.com/sap/support/notes/1652071","1652071")</f>
        <v>1652071</v>
      </c>
      <c r="E6458">
        <v>1</v>
      </c>
      <c r="F6458" t="s">
        <v>5669</v>
      </c>
    </row>
    <row r="6459" spans="1:6" x14ac:dyDescent="0.25">
      <c r="A6459" t="s">
        <v>5564</v>
      </c>
      <c r="B6459" t="s">
        <v>471</v>
      </c>
      <c r="C6459" t="s">
        <v>472</v>
      </c>
      <c r="D6459" t="str">
        <f>HYPERLINK("http://service.sap.com/sap/support/notes/1661007","1661007")</f>
        <v>1661007</v>
      </c>
      <c r="E6459">
        <v>5</v>
      </c>
      <c r="F6459" t="s">
        <v>5670</v>
      </c>
    </row>
    <row r="6460" spans="1:6" x14ac:dyDescent="0.25">
      <c r="A6460" t="s">
        <v>5564</v>
      </c>
      <c r="B6460" t="s">
        <v>421</v>
      </c>
      <c r="C6460" t="s">
        <v>363</v>
      </c>
      <c r="D6460" t="str">
        <f>HYPERLINK("http://service.sap.com/sap/support/notes/1662724","1662724")</f>
        <v>1662724</v>
      </c>
      <c r="E6460">
        <v>5</v>
      </c>
      <c r="F6460" t="s">
        <v>649</v>
      </c>
    </row>
    <row r="6461" spans="1:6" x14ac:dyDescent="0.25">
      <c r="A6461" t="s">
        <v>5564</v>
      </c>
      <c r="B6461" t="s">
        <v>276</v>
      </c>
      <c r="C6461" t="s">
        <v>473</v>
      </c>
      <c r="D6461" t="str">
        <f>HYPERLINK("http://service.sap.com/sap/support/notes/1664344","1664344")</f>
        <v>1664344</v>
      </c>
      <c r="E6461">
        <v>2</v>
      </c>
      <c r="F6461" t="s">
        <v>5671</v>
      </c>
    </row>
    <row r="6462" spans="1:6" x14ac:dyDescent="0.25">
      <c r="A6462" t="s">
        <v>5564</v>
      </c>
      <c r="B6462" t="s">
        <v>474</v>
      </c>
      <c r="C6462" t="s">
        <v>475</v>
      </c>
      <c r="D6462" t="str">
        <f>HYPERLINK("http://service.sap.com/sap/support/notes/1623938","1623938")</f>
        <v>1623938</v>
      </c>
      <c r="E6462">
        <v>4</v>
      </c>
      <c r="F6462" t="s">
        <v>5672</v>
      </c>
    </row>
    <row r="6463" spans="1:6" x14ac:dyDescent="0.25">
      <c r="A6463" t="s">
        <v>5564</v>
      </c>
      <c r="B6463" t="s">
        <v>474</v>
      </c>
      <c r="C6463" t="s">
        <v>475</v>
      </c>
      <c r="D6463" t="str">
        <f>HYPERLINK("http://service.sap.com/sap/support/notes/1625802","1625802")</f>
        <v>1625802</v>
      </c>
      <c r="E6463">
        <v>2</v>
      </c>
      <c r="F6463" t="s">
        <v>5673</v>
      </c>
    </row>
    <row r="6464" spans="1:6" x14ac:dyDescent="0.25">
      <c r="A6464" t="s">
        <v>5564</v>
      </c>
      <c r="B6464" t="s">
        <v>474</v>
      </c>
      <c r="C6464" t="s">
        <v>475</v>
      </c>
      <c r="D6464" t="str">
        <f>HYPERLINK("http://service.sap.com/sap/support/notes/1653169","1653169")</f>
        <v>1653169</v>
      </c>
      <c r="E6464">
        <v>3</v>
      </c>
      <c r="F6464" t="s">
        <v>5674</v>
      </c>
    </row>
    <row r="6465" spans="1:6" x14ac:dyDescent="0.25">
      <c r="A6465" t="s">
        <v>5564</v>
      </c>
      <c r="B6465" t="s">
        <v>474</v>
      </c>
      <c r="C6465" t="s">
        <v>475</v>
      </c>
      <c r="D6465" t="str">
        <f>HYPERLINK("http://service.sap.com/sap/support/notes/1658015","1658015")</f>
        <v>1658015</v>
      </c>
      <c r="E6465">
        <v>2</v>
      </c>
      <c r="F6465" t="s">
        <v>5675</v>
      </c>
    </row>
    <row r="6466" spans="1:6" x14ac:dyDescent="0.25">
      <c r="A6466" t="s">
        <v>5564</v>
      </c>
      <c r="B6466" t="s">
        <v>474</v>
      </c>
      <c r="C6466" t="s">
        <v>475</v>
      </c>
      <c r="D6466" t="str">
        <f>HYPERLINK("http://service.sap.com/sap/support/notes/1660550","1660550")</f>
        <v>1660550</v>
      </c>
      <c r="E6466">
        <v>1</v>
      </c>
      <c r="F6466" t="s">
        <v>5676</v>
      </c>
    </row>
    <row r="6467" spans="1:6" x14ac:dyDescent="0.25">
      <c r="A6467" t="s">
        <v>5564</v>
      </c>
      <c r="B6467" t="s">
        <v>474</v>
      </c>
      <c r="C6467" t="s">
        <v>475</v>
      </c>
      <c r="D6467" t="str">
        <f>HYPERLINK("http://service.sap.com/sap/support/notes/1662877","1662877")</f>
        <v>1662877</v>
      </c>
      <c r="E6467">
        <v>2</v>
      </c>
      <c r="F6467" t="s">
        <v>5677</v>
      </c>
    </row>
    <row r="6468" spans="1:6" x14ac:dyDescent="0.25">
      <c r="A6468" t="s">
        <v>5564</v>
      </c>
      <c r="B6468" t="s">
        <v>474</v>
      </c>
      <c r="C6468" t="s">
        <v>475</v>
      </c>
      <c r="D6468" t="str">
        <f>HYPERLINK("http://service.sap.com/sap/support/notes/1664704","1664704")</f>
        <v>1664704</v>
      </c>
      <c r="E6468">
        <v>1</v>
      </c>
      <c r="F6468" t="s">
        <v>5678</v>
      </c>
    </row>
    <row r="6469" spans="1:6" x14ac:dyDescent="0.25">
      <c r="A6469" t="s">
        <v>5564</v>
      </c>
      <c r="B6469" t="s">
        <v>474</v>
      </c>
      <c r="C6469" t="s">
        <v>475</v>
      </c>
      <c r="D6469" t="str">
        <f>HYPERLINK("http://service.sap.com/sap/support/notes/1665740","1665740")</f>
        <v>1665740</v>
      </c>
      <c r="E6469">
        <v>2</v>
      </c>
      <c r="F6469" t="s">
        <v>5679</v>
      </c>
    </row>
    <row r="6470" spans="1:6" x14ac:dyDescent="0.25">
      <c r="A6470" t="s">
        <v>5564</v>
      </c>
      <c r="B6470" t="s">
        <v>474</v>
      </c>
      <c r="C6470" t="s">
        <v>475</v>
      </c>
      <c r="D6470" t="str">
        <f>HYPERLINK("http://service.sap.com/sap/support/notes/1666570","1666570")</f>
        <v>1666570</v>
      </c>
      <c r="E6470">
        <v>1</v>
      </c>
      <c r="F6470" t="s">
        <v>5680</v>
      </c>
    </row>
    <row r="6471" spans="1:6" x14ac:dyDescent="0.25">
      <c r="A6471" t="s">
        <v>5564</v>
      </c>
      <c r="B6471" t="s">
        <v>474</v>
      </c>
      <c r="C6471" t="s">
        <v>475</v>
      </c>
      <c r="D6471" t="str">
        <f>HYPERLINK("http://service.sap.com/sap/support/notes/1668754","1668754")</f>
        <v>1668754</v>
      </c>
      <c r="E6471">
        <v>1</v>
      </c>
      <c r="F6471" t="s">
        <v>5681</v>
      </c>
    </row>
    <row r="6472" spans="1:6" x14ac:dyDescent="0.25">
      <c r="A6472" t="s">
        <v>5564</v>
      </c>
      <c r="B6472" t="s">
        <v>474</v>
      </c>
      <c r="C6472" t="s">
        <v>475</v>
      </c>
      <c r="D6472" t="str">
        <f>HYPERLINK("http://service.sap.com/sap/support/notes/1669069","1669069")</f>
        <v>1669069</v>
      </c>
      <c r="E6472">
        <v>1</v>
      </c>
      <c r="F6472" t="s">
        <v>5682</v>
      </c>
    </row>
    <row r="6473" spans="1:6" x14ac:dyDescent="0.25">
      <c r="A6473" t="s">
        <v>5564</v>
      </c>
      <c r="B6473" t="s">
        <v>72</v>
      </c>
      <c r="C6473" t="s">
        <v>73</v>
      </c>
    </row>
    <row r="6474" spans="1:6" x14ac:dyDescent="0.25">
      <c r="A6474" t="s">
        <v>5564</v>
      </c>
      <c r="B6474" t="s">
        <v>281</v>
      </c>
      <c r="C6474" t="s">
        <v>368</v>
      </c>
    </row>
    <row r="6475" spans="1:6" x14ac:dyDescent="0.25">
      <c r="A6475" t="s">
        <v>5564</v>
      </c>
      <c r="B6475" t="s">
        <v>566</v>
      </c>
      <c r="C6475" t="s">
        <v>567</v>
      </c>
      <c r="D6475" t="str">
        <f>HYPERLINK("http://service.sap.com/sap/support/notes/1662070","1662070")</f>
        <v>1662070</v>
      </c>
      <c r="E6475">
        <v>1</v>
      </c>
      <c r="F6475" t="s">
        <v>5683</v>
      </c>
    </row>
    <row r="6476" spans="1:6" x14ac:dyDescent="0.25">
      <c r="A6476" t="s">
        <v>5564</v>
      </c>
      <c r="B6476" t="s">
        <v>566</v>
      </c>
      <c r="C6476" t="s">
        <v>567</v>
      </c>
      <c r="D6476" t="str">
        <f>HYPERLINK("http://service.sap.com/sap/support/notes/1664004","1664004")</f>
        <v>1664004</v>
      </c>
      <c r="E6476">
        <v>1</v>
      </c>
      <c r="F6476" t="s">
        <v>5684</v>
      </c>
    </row>
    <row r="6477" spans="1:6" x14ac:dyDescent="0.25">
      <c r="A6477" t="s">
        <v>5564</v>
      </c>
      <c r="B6477" t="s">
        <v>476</v>
      </c>
      <c r="C6477" t="s">
        <v>477</v>
      </c>
      <c r="D6477" t="str">
        <f>HYPERLINK("http://service.sap.com/sap/support/notes/1602332","1602332")</f>
        <v>1602332</v>
      </c>
      <c r="E6477">
        <v>12</v>
      </c>
      <c r="F6477" t="s">
        <v>5685</v>
      </c>
    </row>
    <row r="6478" spans="1:6" x14ac:dyDescent="0.25">
      <c r="A6478" t="s">
        <v>5564</v>
      </c>
      <c r="B6478" t="s">
        <v>282</v>
      </c>
      <c r="C6478" t="s">
        <v>369</v>
      </c>
      <c r="D6478" t="str">
        <f>HYPERLINK("http://service.sap.com/sap/support/notes/1634511","1634511")</f>
        <v>1634511</v>
      </c>
      <c r="E6478">
        <v>6</v>
      </c>
      <c r="F6478" t="s">
        <v>5686</v>
      </c>
    </row>
    <row r="6479" spans="1:6" x14ac:dyDescent="0.25">
      <c r="A6479" t="s">
        <v>5564</v>
      </c>
      <c r="B6479" t="s">
        <v>282</v>
      </c>
      <c r="C6479" t="s">
        <v>369</v>
      </c>
      <c r="D6479" t="str">
        <f>HYPERLINK("http://service.sap.com/sap/support/notes/1642392","1642392")</f>
        <v>1642392</v>
      </c>
      <c r="E6479">
        <v>3</v>
      </c>
      <c r="F6479" t="s">
        <v>5687</v>
      </c>
    </row>
    <row r="6480" spans="1:6" x14ac:dyDescent="0.25">
      <c r="A6480" t="s">
        <v>5564</v>
      </c>
      <c r="B6480" t="s">
        <v>282</v>
      </c>
      <c r="C6480" t="s">
        <v>369</v>
      </c>
      <c r="D6480" t="str">
        <f>HYPERLINK("http://service.sap.com/sap/support/notes/1654020","1654020")</f>
        <v>1654020</v>
      </c>
      <c r="E6480">
        <v>1</v>
      </c>
      <c r="F6480" t="s">
        <v>5688</v>
      </c>
    </row>
    <row r="6481" spans="1:6" x14ac:dyDescent="0.25">
      <c r="A6481" t="s">
        <v>5564</v>
      </c>
      <c r="B6481" t="s">
        <v>282</v>
      </c>
      <c r="C6481" t="s">
        <v>369</v>
      </c>
      <c r="D6481" t="str">
        <f>HYPERLINK("http://service.sap.com/sap/support/notes/1656796","1656796")</f>
        <v>1656796</v>
      </c>
      <c r="E6481">
        <v>1</v>
      </c>
      <c r="F6481" t="s">
        <v>5689</v>
      </c>
    </row>
    <row r="6482" spans="1:6" x14ac:dyDescent="0.25">
      <c r="A6482" t="s">
        <v>5564</v>
      </c>
      <c r="B6482" t="s">
        <v>282</v>
      </c>
      <c r="C6482" t="s">
        <v>369</v>
      </c>
      <c r="D6482" t="str">
        <f>HYPERLINK("http://service.sap.com/sap/support/notes/1657602","1657602")</f>
        <v>1657602</v>
      </c>
      <c r="E6482">
        <v>1</v>
      </c>
      <c r="F6482" t="s">
        <v>5690</v>
      </c>
    </row>
    <row r="6483" spans="1:6" x14ac:dyDescent="0.25">
      <c r="A6483" t="s">
        <v>5564</v>
      </c>
      <c r="B6483" t="s">
        <v>282</v>
      </c>
      <c r="C6483" t="s">
        <v>369</v>
      </c>
      <c r="D6483" t="str">
        <f>HYPERLINK("http://service.sap.com/sap/support/notes/1659201","1659201")</f>
        <v>1659201</v>
      </c>
      <c r="E6483">
        <v>1</v>
      </c>
      <c r="F6483" t="s">
        <v>5691</v>
      </c>
    </row>
    <row r="6484" spans="1:6" x14ac:dyDescent="0.25">
      <c r="A6484" t="s">
        <v>5564</v>
      </c>
      <c r="B6484" t="s">
        <v>282</v>
      </c>
      <c r="C6484" t="s">
        <v>369</v>
      </c>
      <c r="D6484" t="str">
        <f>HYPERLINK("http://service.sap.com/sap/support/notes/1660277","1660277")</f>
        <v>1660277</v>
      </c>
      <c r="E6484">
        <v>1</v>
      </c>
      <c r="F6484" t="s">
        <v>5692</v>
      </c>
    </row>
    <row r="6485" spans="1:6" x14ac:dyDescent="0.25">
      <c r="A6485" t="s">
        <v>5564</v>
      </c>
      <c r="B6485" t="s">
        <v>282</v>
      </c>
      <c r="C6485" t="s">
        <v>369</v>
      </c>
      <c r="D6485" t="str">
        <f>HYPERLINK("http://service.sap.com/sap/support/notes/1660805","1660805")</f>
        <v>1660805</v>
      </c>
      <c r="E6485">
        <v>1</v>
      </c>
      <c r="F6485" t="s">
        <v>5693</v>
      </c>
    </row>
    <row r="6486" spans="1:6" x14ac:dyDescent="0.25">
      <c r="A6486" t="s">
        <v>5564</v>
      </c>
      <c r="B6486" t="s">
        <v>282</v>
      </c>
      <c r="C6486" t="s">
        <v>369</v>
      </c>
      <c r="D6486" t="str">
        <f>HYPERLINK("http://service.sap.com/sap/support/notes/1663058","1663058")</f>
        <v>1663058</v>
      </c>
      <c r="E6486">
        <v>1</v>
      </c>
      <c r="F6486" t="s">
        <v>5694</v>
      </c>
    </row>
    <row r="6487" spans="1:6" x14ac:dyDescent="0.25">
      <c r="A6487" t="s">
        <v>5564</v>
      </c>
      <c r="B6487" t="s">
        <v>282</v>
      </c>
      <c r="C6487" t="s">
        <v>369</v>
      </c>
      <c r="D6487" t="str">
        <f>HYPERLINK("http://service.sap.com/sap/support/notes/1663559","1663559")</f>
        <v>1663559</v>
      </c>
      <c r="E6487">
        <v>1</v>
      </c>
      <c r="F6487" t="s">
        <v>5695</v>
      </c>
    </row>
    <row r="6488" spans="1:6" x14ac:dyDescent="0.25">
      <c r="A6488" t="s">
        <v>5564</v>
      </c>
      <c r="B6488" t="s">
        <v>282</v>
      </c>
      <c r="C6488" t="s">
        <v>369</v>
      </c>
      <c r="D6488" t="str">
        <f>HYPERLINK("http://service.sap.com/sap/support/notes/1665588","1665588")</f>
        <v>1665588</v>
      </c>
      <c r="E6488">
        <v>1</v>
      </c>
      <c r="F6488" t="s">
        <v>5696</v>
      </c>
    </row>
    <row r="6489" spans="1:6" x14ac:dyDescent="0.25">
      <c r="A6489" t="s">
        <v>5564</v>
      </c>
      <c r="B6489" t="s">
        <v>283</v>
      </c>
      <c r="C6489" t="s">
        <v>365</v>
      </c>
      <c r="D6489" t="str">
        <f>HYPERLINK("http://service.sap.com/sap/support/notes/1651465","1651465")</f>
        <v>1651465</v>
      </c>
      <c r="E6489">
        <v>2</v>
      </c>
      <c r="F6489" t="s">
        <v>5697</v>
      </c>
    </row>
    <row r="6490" spans="1:6" x14ac:dyDescent="0.25">
      <c r="A6490" t="s">
        <v>5564</v>
      </c>
      <c r="B6490" t="s">
        <v>284</v>
      </c>
      <c r="C6490" t="s">
        <v>393</v>
      </c>
    </row>
    <row r="6491" spans="1:6" x14ac:dyDescent="0.25">
      <c r="A6491" t="s">
        <v>5564</v>
      </c>
      <c r="B6491" t="s">
        <v>293</v>
      </c>
      <c r="C6491" t="s">
        <v>587</v>
      </c>
    </row>
    <row r="6492" spans="1:6" x14ac:dyDescent="0.25">
      <c r="A6492" t="s">
        <v>5564</v>
      </c>
      <c r="B6492" t="s">
        <v>298</v>
      </c>
      <c r="C6492" t="s">
        <v>588</v>
      </c>
    </row>
    <row r="6493" spans="1:6" x14ac:dyDescent="0.25">
      <c r="A6493" t="s">
        <v>5564</v>
      </c>
      <c r="B6493" t="s">
        <v>589</v>
      </c>
      <c r="C6493" t="s">
        <v>443</v>
      </c>
      <c r="D6493" t="str">
        <f>HYPERLINK("http://service.sap.com/sap/support/notes/1630466","1630466")</f>
        <v>1630466</v>
      </c>
      <c r="E6493">
        <v>4</v>
      </c>
      <c r="F6493" t="s">
        <v>5526</v>
      </c>
    </row>
    <row r="6494" spans="1:6" x14ac:dyDescent="0.25">
      <c r="A6494" t="s">
        <v>5564</v>
      </c>
      <c r="B6494" t="s">
        <v>589</v>
      </c>
      <c r="C6494" t="s">
        <v>443</v>
      </c>
      <c r="D6494" t="str">
        <f>HYPERLINK("http://service.sap.com/sap/support/notes/1660444","1660444")</f>
        <v>1660444</v>
      </c>
      <c r="E6494">
        <v>2</v>
      </c>
      <c r="F6494" t="s">
        <v>5698</v>
      </c>
    </row>
    <row r="6495" spans="1:6" x14ac:dyDescent="0.25">
      <c r="A6495" t="s">
        <v>5564</v>
      </c>
      <c r="B6495" t="s">
        <v>76</v>
      </c>
      <c r="C6495" t="s">
        <v>77</v>
      </c>
    </row>
    <row r="6496" spans="1:6" x14ac:dyDescent="0.25">
      <c r="A6496" t="s">
        <v>5564</v>
      </c>
      <c r="B6496" t="s">
        <v>83</v>
      </c>
      <c r="C6496" t="s">
        <v>84</v>
      </c>
      <c r="D6496" t="str">
        <f>HYPERLINK("http://service.sap.com/sap/support/notes/1667771","1667771")</f>
        <v>1667771</v>
      </c>
      <c r="E6496">
        <v>1</v>
      </c>
      <c r="F6496" t="s">
        <v>1895</v>
      </c>
    </row>
    <row r="6497" spans="1:6" x14ac:dyDescent="0.25">
      <c r="A6497" t="s">
        <v>5564</v>
      </c>
      <c r="B6497" t="s">
        <v>86</v>
      </c>
      <c r="C6497" t="s">
        <v>87</v>
      </c>
      <c r="D6497" t="str">
        <f>HYPERLINK("http://service.sap.com/sap/support/notes/1668886","1668886")</f>
        <v>1668886</v>
      </c>
      <c r="E6497">
        <v>1</v>
      </c>
      <c r="F6497" t="s">
        <v>5699</v>
      </c>
    </row>
    <row r="6498" spans="1:6" x14ac:dyDescent="0.25">
      <c r="A6498" t="s">
        <v>5564</v>
      </c>
      <c r="B6498" t="s">
        <v>94</v>
      </c>
      <c r="C6498" t="s">
        <v>95</v>
      </c>
      <c r="D6498" t="str">
        <f>HYPERLINK("http://service.sap.com/sap/support/notes/1647048","1647048")</f>
        <v>1647048</v>
      </c>
      <c r="E6498">
        <v>1</v>
      </c>
      <c r="F6498" t="s">
        <v>1935</v>
      </c>
    </row>
    <row r="6499" spans="1:6" x14ac:dyDescent="0.25">
      <c r="A6499" t="s">
        <v>5564</v>
      </c>
      <c r="B6499" t="s">
        <v>94</v>
      </c>
      <c r="C6499" t="s">
        <v>95</v>
      </c>
      <c r="D6499" t="str">
        <f>HYPERLINK("http://service.sap.com/sap/support/notes/1667137","1667137")</f>
        <v>1667137</v>
      </c>
      <c r="E6499">
        <v>1</v>
      </c>
      <c r="F6499" t="s">
        <v>1937</v>
      </c>
    </row>
    <row r="6500" spans="1:6" x14ac:dyDescent="0.25">
      <c r="A6500" t="s">
        <v>5564</v>
      </c>
      <c r="B6500" t="s">
        <v>306</v>
      </c>
      <c r="C6500" t="s">
        <v>132</v>
      </c>
      <c r="D6500" t="str">
        <f>HYPERLINK("http://service.sap.com/sap/support/notes/1659721","1659721")</f>
        <v>1659721</v>
      </c>
      <c r="E6500">
        <v>1</v>
      </c>
      <c r="F6500" t="s">
        <v>1939</v>
      </c>
    </row>
    <row r="6501" spans="1:6" x14ac:dyDescent="0.25">
      <c r="A6501" t="s">
        <v>5564</v>
      </c>
      <c r="B6501" t="s">
        <v>306</v>
      </c>
      <c r="C6501" t="s">
        <v>132</v>
      </c>
      <c r="D6501" t="str">
        <f>HYPERLINK("http://service.sap.com/sap/support/notes/1662043","1662043")</f>
        <v>1662043</v>
      </c>
      <c r="E6501">
        <v>2</v>
      </c>
      <c r="F6501" t="s">
        <v>1940</v>
      </c>
    </row>
    <row r="6502" spans="1:6" x14ac:dyDescent="0.25">
      <c r="A6502" t="s">
        <v>5564</v>
      </c>
      <c r="B6502" t="s">
        <v>101</v>
      </c>
      <c r="C6502" t="s">
        <v>38</v>
      </c>
    </row>
    <row r="6503" spans="1:6" x14ac:dyDescent="0.25">
      <c r="A6503" t="s">
        <v>5564</v>
      </c>
      <c r="B6503" t="s">
        <v>106</v>
      </c>
      <c r="C6503" t="s">
        <v>107</v>
      </c>
    </row>
    <row r="6504" spans="1:6" x14ac:dyDescent="0.25">
      <c r="A6504" t="s">
        <v>5564</v>
      </c>
      <c r="B6504" t="s">
        <v>112</v>
      </c>
      <c r="C6504" t="s">
        <v>113</v>
      </c>
      <c r="D6504" t="str">
        <f>HYPERLINK("http://service.sap.com/sap/support/notes/1659988","1659988")</f>
        <v>1659988</v>
      </c>
      <c r="E6504">
        <v>1</v>
      </c>
      <c r="F6504" t="s">
        <v>5700</v>
      </c>
    </row>
    <row r="6505" spans="1:6" x14ac:dyDescent="0.25">
      <c r="A6505" t="s">
        <v>5564</v>
      </c>
      <c r="B6505" t="s">
        <v>152</v>
      </c>
      <c r="C6505" t="s">
        <v>47</v>
      </c>
    </row>
    <row r="6506" spans="1:6" x14ac:dyDescent="0.25">
      <c r="A6506" t="s">
        <v>5564</v>
      </c>
      <c r="B6506" t="s">
        <v>153</v>
      </c>
      <c r="C6506" t="s">
        <v>154</v>
      </c>
      <c r="D6506" t="str">
        <f>HYPERLINK("http://service.sap.com/sap/support/notes/1625594","1625594")</f>
        <v>1625594</v>
      </c>
      <c r="E6506">
        <v>3</v>
      </c>
      <c r="F6506" t="s">
        <v>5701</v>
      </c>
    </row>
    <row r="6507" spans="1:6" x14ac:dyDescent="0.25">
      <c r="A6507" t="s">
        <v>5564</v>
      </c>
      <c r="B6507" t="s">
        <v>179</v>
      </c>
      <c r="C6507" t="s">
        <v>180</v>
      </c>
      <c r="D6507" t="str">
        <f>HYPERLINK("http://service.sap.com/sap/support/notes/1639489","1639489")</f>
        <v>1639489</v>
      </c>
      <c r="E6507">
        <v>1</v>
      </c>
      <c r="F6507" t="s">
        <v>5562</v>
      </c>
    </row>
    <row r="6508" spans="1:6" x14ac:dyDescent="0.25">
      <c r="A6508" t="s">
        <v>5564</v>
      </c>
      <c r="B6508" t="s">
        <v>179</v>
      </c>
      <c r="C6508" t="s">
        <v>180</v>
      </c>
      <c r="D6508" t="str">
        <f>HYPERLINK("http://service.sap.com/sap/support/notes/1652583","1652583")</f>
        <v>1652583</v>
      </c>
      <c r="E6508">
        <v>1</v>
      </c>
      <c r="F6508" t="s">
        <v>5543</v>
      </c>
    </row>
    <row r="6509" spans="1:6" x14ac:dyDescent="0.25">
      <c r="A6509" t="s">
        <v>5564</v>
      </c>
      <c r="B6509" t="s">
        <v>179</v>
      </c>
      <c r="C6509" t="s">
        <v>180</v>
      </c>
      <c r="D6509" t="str">
        <f>HYPERLINK("http://service.sap.com/sap/support/notes/1665265","1665265")</f>
        <v>1665265</v>
      </c>
      <c r="E6509">
        <v>1</v>
      </c>
      <c r="F6509" t="s">
        <v>5702</v>
      </c>
    </row>
    <row r="6510" spans="1:6" x14ac:dyDescent="0.25">
      <c r="A6510" t="s">
        <v>5564</v>
      </c>
      <c r="B6510" t="s">
        <v>179</v>
      </c>
      <c r="C6510" t="s">
        <v>180</v>
      </c>
      <c r="D6510" t="str">
        <f>HYPERLINK("http://service.sap.com/sap/support/notes/1667191","1667191")</f>
        <v>1667191</v>
      </c>
      <c r="E6510">
        <v>2</v>
      </c>
      <c r="F6510" t="s">
        <v>2201</v>
      </c>
    </row>
    <row r="6511" spans="1:6" x14ac:dyDescent="0.25">
      <c r="A6511" t="s">
        <v>5564</v>
      </c>
      <c r="B6511" t="s">
        <v>179</v>
      </c>
      <c r="C6511" t="s">
        <v>180</v>
      </c>
      <c r="D6511" t="str">
        <f>HYPERLINK("http://service.sap.com/sap/support/notes/1668700","1668700")</f>
        <v>1668700</v>
      </c>
      <c r="E6511">
        <v>1</v>
      </c>
      <c r="F6511" t="s">
        <v>5703</v>
      </c>
    </row>
    <row r="6512" spans="1:6" x14ac:dyDescent="0.25">
      <c r="A6512" t="s">
        <v>5564</v>
      </c>
      <c r="B6512" t="s">
        <v>181</v>
      </c>
      <c r="C6512" t="s">
        <v>182</v>
      </c>
    </row>
    <row r="6513" spans="1:6" x14ac:dyDescent="0.25">
      <c r="A6513" t="s">
        <v>5564</v>
      </c>
      <c r="B6513" t="s">
        <v>183</v>
      </c>
      <c r="C6513" t="s">
        <v>184</v>
      </c>
      <c r="D6513" t="str">
        <f>HYPERLINK("http://service.sap.com/sap/support/notes/1662197","1662197")</f>
        <v>1662197</v>
      </c>
      <c r="E6513">
        <v>1</v>
      </c>
      <c r="F6513" t="s">
        <v>5704</v>
      </c>
    </row>
    <row r="6514" spans="1:6" x14ac:dyDescent="0.25">
      <c r="A6514" t="s">
        <v>5564</v>
      </c>
      <c r="B6514" t="s">
        <v>203</v>
      </c>
      <c r="C6514" t="s">
        <v>204</v>
      </c>
    </row>
    <row r="6515" spans="1:6" x14ac:dyDescent="0.25">
      <c r="A6515" t="s">
        <v>5564</v>
      </c>
      <c r="B6515" t="s">
        <v>337</v>
      </c>
      <c r="C6515" t="s">
        <v>634</v>
      </c>
      <c r="D6515" t="str">
        <f>HYPERLINK("http://service.sap.com/sap/support/notes/1616276","1616276")</f>
        <v>1616276</v>
      </c>
      <c r="E6515">
        <v>4</v>
      </c>
      <c r="F6515" t="s">
        <v>5705</v>
      </c>
    </row>
    <row r="6516" spans="1:6" x14ac:dyDescent="0.25">
      <c r="A6516" t="s">
        <v>5564</v>
      </c>
      <c r="B6516" t="s">
        <v>337</v>
      </c>
      <c r="C6516" t="s">
        <v>634</v>
      </c>
      <c r="D6516" t="str">
        <f>HYPERLINK("http://service.sap.com/sap/support/notes/1659575","1659575")</f>
        <v>1659575</v>
      </c>
      <c r="E6516">
        <v>3</v>
      </c>
      <c r="F6516" t="s">
        <v>5706</v>
      </c>
    </row>
    <row r="6517" spans="1:6" x14ac:dyDescent="0.25">
      <c r="A6517" t="s">
        <v>5564</v>
      </c>
      <c r="B6517" t="s">
        <v>537</v>
      </c>
      <c r="C6517" t="s">
        <v>538</v>
      </c>
      <c r="D6517" t="str">
        <f>HYPERLINK("http://service.sap.com/sap/support/notes/1664815","1664815")</f>
        <v>1664815</v>
      </c>
      <c r="E6517">
        <v>1</v>
      </c>
      <c r="F6517" t="s">
        <v>5707</v>
      </c>
    </row>
    <row r="6518" spans="1:6" x14ac:dyDescent="0.25">
      <c r="A6518" t="s">
        <v>5564</v>
      </c>
      <c r="B6518" t="s">
        <v>207</v>
      </c>
      <c r="C6518" t="s">
        <v>208</v>
      </c>
    </row>
    <row r="6519" spans="1:6" x14ac:dyDescent="0.25">
      <c r="A6519" t="s">
        <v>5564</v>
      </c>
      <c r="B6519" t="s">
        <v>209</v>
      </c>
      <c r="C6519" t="s">
        <v>210</v>
      </c>
    </row>
    <row r="6520" spans="1:6" x14ac:dyDescent="0.25">
      <c r="A6520" t="s">
        <v>5564</v>
      </c>
      <c r="B6520" t="s">
        <v>790</v>
      </c>
      <c r="C6520" t="s">
        <v>791</v>
      </c>
    </row>
    <row r="6521" spans="1:6" x14ac:dyDescent="0.25">
      <c r="A6521" t="s">
        <v>5564</v>
      </c>
      <c r="B6521" t="s">
        <v>792</v>
      </c>
      <c r="C6521" t="s">
        <v>655</v>
      </c>
      <c r="D6521" t="str">
        <f>HYPERLINK("http://service.sap.com/sap/support/notes/1646953","1646953")</f>
        <v>1646953</v>
      </c>
      <c r="E6521">
        <v>4</v>
      </c>
      <c r="F6521" t="s">
        <v>5708</v>
      </c>
    </row>
    <row r="6522" spans="1:6" x14ac:dyDescent="0.25">
      <c r="A6522" t="s">
        <v>5564</v>
      </c>
      <c r="B6522" t="s">
        <v>792</v>
      </c>
      <c r="C6522" t="s">
        <v>655</v>
      </c>
      <c r="D6522" t="str">
        <f>HYPERLINK("http://service.sap.com/sap/support/notes/1655511","1655511")</f>
        <v>1655511</v>
      </c>
      <c r="E6522">
        <v>2</v>
      </c>
      <c r="F6522" t="s">
        <v>5709</v>
      </c>
    </row>
    <row r="6523" spans="1:6" x14ac:dyDescent="0.25">
      <c r="A6523" t="s">
        <v>5564</v>
      </c>
      <c r="B6523" t="s">
        <v>792</v>
      </c>
      <c r="C6523" t="s">
        <v>655</v>
      </c>
      <c r="D6523" t="str">
        <f>HYPERLINK("http://service.sap.com/sap/support/notes/1657006","1657006")</f>
        <v>1657006</v>
      </c>
      <c r="E6523">
        <v>2</v>
      </c>
      <c r="F6523" t="s">
        <v>5710</v>
      </c>
    </row>
    <row r="6524" spans="1:6" x14ac:dyDescent="0.25">
      <c r="A6524" t="s">
        <v>5564</v>
      </c>
      <c r="B6524" t="s">
        <v>792</v>
      </c>
      <c r="C6524" t="s">
        <v>655</v>
      </c>
      <c r="D6524" t="str">
        <f>HYPERLINK("http://service.sap.com/sap/support/notes/1658900","1658900")</f>
        <v>1658900</v>
      </c>
      <c r="E6524">
        <v>3</v>
      </c>
      <c r="F6524" t="s">
        <v>5711</v>
      </c>
    </row>
    <row r="6525" spans="1:6" x14ac:dyDescent="0.25">
      <c r="A6525" t="s">
        <v>5564</v>
      </c>
      <c r="B6525" t="s">
        <v>792</v>
      </c>
      <c r="C6525" t="s">
        <v>655</v>
      </c>
      <c r="D6525" t="str">
        <f>HYPERLINK("http://service.sap.com/sap/support/notes/1661527","1661527")</f>
        <v>1661527</v>
      </c>
      <c r="E6525">
        <v>1</v>
      </c>
      <c r="F6525" t="s">
        <v>5712</v>
      </c>
    </row>
    <row r="6526" spans="1:6" x14ac:dyDescent="0.25">
      <c r="A6526" t="s">
        <v>5564</v>
      </c>
      <c r="B6526" t="s">
        <v>792</v>
      </c>
      <c r="C6526" t="s">
        <v>655</v>
      </c>
      <c r="D6526" t="str">
        <f>HYPERLINK("http://service.sap.com/sap/support/notes/1663495","1663495")</f>
        <v>1663495</v>
      </c>
      <c r="E6526">
        <v>2</v>
      </c>
      <c r="F6526" t="s">
        <v>5713</v>
      </c>
    </row>
    <row r="6527" spans="1:6" x14ac:dyDescent="0.25">
      <c r="A6527" t="s">
        <v>5564</v>
      </c>
      <c r="B6527" t="s">
        <v>792</v>
      </c>
      <c r="C6527" t="s">
        <v>655</v>
      </c>
      <c r="D6527" t="str">
        <f>HYPERLINK("http://service.sap.com/sap/support/notes/1663580","1663580")</f>
        <v>1663580</v>
      </c>
      <c r="E6527">
        <v>1</v>
      </c>
      <c r="F6527" t="s">
        <v>5714</v>
      </c>
    </row>
    <row r="6528" spans="1:6" x14ac:dyDescent="0.25">
      <c r="A6528" t="s">
        <v>5564</v>
      </c>
      <c r="B6528" t="s">
        <v>5247</v>
      </c>
      <c r="C6528" t="s">
        <v>5248</v>
      </c>
    </row>
    <row r="6529" spans="1:6" x14ac:dyDescent="0.25">
      <c r="A6529" t="s">
        <v>5564</v>
      </c>
      <c r="B6529" t="s">
        <v>5249</v>
      </c>
      <c r="C6529" t="s">
        <v>655</v>
      </c>
      <c r="D6529" t="str">
        <f>HYPERLINK("http://service.sap.com/sap/support/notes/1661532","1661532")</f>
        <v>1661532</v>
      </c>
      <c r="E6529">
        <v>3</v>
      </c>
      <c r="F6529" t="s">
        <v>5715</v>
      </c>
    </row>
    <row r="6530" spans="1:6" x14ac:dyDescent="0.25">
      <c r="A6530" t="s">
        <v>5564</v>
      </c>
      <c r="B6530" t="s">
        <v>389</v>
      </c>
      <c r="C6530" t="s">
        <v>390</v>
      </c>
    </row>
    <row r="6531" spans="1:6" x14ac:dyDescent="0.25">
      <c r="A6531" t="s">
        <v>5564</v>
      </c>
      <c r="B6531" t="s">
        <v>5716</v>
      </c>
      <c r="C6531" t="s">
        <v>5717</v>
      </c>
      <c r="D6531" t="str">
        <f>HYPERLINK("http://service.sap.com/sap/support/notes/1654818","1654818")</f>
        <v>1654818</v>
      </c>
      <c r="E6531">
        <v>6</v>
      </c>
      <c r="F6531" t="s">
        <v>5718</v>
      </c>
    </row>
    <row r="6532" spans="1:6" x14ac:dyDescent="0.25">
      <c r="A6532" t="s">
        <v>5564</v>
      </c>
      <c r="B6532" t="s">
        <v>5716</v>
      </c>
      <c r="C6532" t="s">
        <v>5717</v>
      </c>
      <c r="D6532" t="str">
        <f>HYPERLINK("http://service.sap.com/sap/support/notes/1662847","1662847")</f>
        <v>1662847</v>
      </c>
      <c r="E6532">
        <v>2</v>
      </c>
      <c r="F6532" t="s">
        <v>5719</v>
      </c>
    </row>
    <row r="6533" spans="1:6" x14ac:dyDescent="0.25">
      <c r="A6533" t="s">
        <v>5720</v>
      </c>
      <c r="B6533" t="s">
        <v>5</v>
      </c>
      <c r="C6533" t="s">
        <v>6</v>
      </c>
    </row>
    <row r="6534" spans="1:6" x14ac:dyDescent="0.25">
      <c r="A6534" t="s">
        <v>5720</v>
      </c>
      <c r="B6534" t="s">
        <v>7</v>
      </c>
      <c r="C6534" t="s">
        <v>8</v>
      </c>
    </row>
    <row r="6535" spans="1:6" x14ac:dyDescent="0.25">
      <c r="A6535" t="s">
        <v>5720</v>
      </c>
      <c r="B6535" t="s">
        <v>9</v>
      </c>
      <c r="C6535" t="s">
        <v>10</v>
      </c>
      <c r="D6535" t="str">
        <f>HYPERLINK("http://service.sap.com/sap/support/notes/1486687","1486687")</f>
        <v>1486687</v>
      </c>
      <c r="E6535">
        <v>2</v>
      </c>
      <c r="F6535" t="s">
        <v>5721</v>
      </c>
    </row>
    <row r="6536" spans="1:6" x14ac:dyDescent="0.25">
      <c r="A6536" t="s">
        <v>5720</v>
      </c>
      <c r="B6536" t="s">
        <v>9</v>
      </c>
      <c r="C6536" t="s">
        <v>10</v>
      </c>
      <c r="D6536" t="str">
        <f>HYPERLINK("http://service.sap.com/sap/support/notes/1645042","1645042")</f>
        <v>1645042</v>
      </c>
      <c r="E6536">
        <v>1</v>
      </c>
      <c r="F6536" t="s">
        <v>5722</v>
      </c>
    </row>
    <row r="6537" spans="1:6" x14ac:dyDescent="0.25">
      <c r="A6537" t="s">
        <v>5720</v>
      </c>
      <c r="B6537" t="s">
        <v>220</v>
      </c>
      <c r="C6537" t="s">
        <v>435</v>
      </c>
    </row>
    <row r="6538" spans="1:6" x14ac:dyDescent="0.25">
      <c r="A6538" t="s">
        <v>5720</v>
      </c>
      <c r="B6538" t="s">
        <v>221</v>
      </c>
      <c r="C6538" t="s">
        <v>556</v>
      </c>
    </row>
    <row r="6539" spans="1:6" x14ac:dyDescent="0.25">
      <c r="A6539" t="s">
        <v>5720</v>
      </c>
      <c r="B6539" t="s">
        <v>224</v>
      </c>
      <c r="C6539" t="s">
        <v>675</v>
      </c>
      <c r="D6539" t="str">
        <f>HYPERLINK("http://service.sap.com/sap/support/notes/1170431","1170431")</f>
        <v>1170431</v>
      </c>
      <c r="E6539">
        <v>4</v>
      </c>
      <c r="F6539" t="s">
        <v>5723</v>
      </c>
    </row>
    <row r="6540" spans="1:6" x14ac:dyDescent="0.25">
      <c r="A6540" t="s">
        <v>5720</v>
      </c>
      <c r="B6540" t="s">
        <v>225</v>
      </c>
      <c r="C6540" t="s">
        <v>354</v>
      </c>
    </row>
    <row r="6541" spans="1:6" x14ac:dyDescent="0.25">
      <c r="A6541" t="s">
        <v>5720</v>
      </c>
      <c r="B6541" t="s">
        <v>226</v>
      </c>
      <c r="C6541" t="s">
        <v>355</v>
      </c>
    </row>
    <row r="6542" spans="1:6" x14ac:dyDescent="0.25">
      <c r="A6542" t="s">
        <v>5720</v>
      </c>
      <c r="B6542" t="s">
        <v>227</v>
      </c>
      <c r="C6542" t="s">
        <v>356</v>
      </c>
    </row>
    <row r="6543" spans="1:6" x14ac:dyDescent="0.25">
      <c r="A6543" t="s">
        <v>5720</v>
      </c>
      <c r="B6543" t="s">
        <v>228</v>
      </c>
      <c r="C6543" t="s">
        <v>357</v>
      </c>
      <c r="D6543" t="str">
        <f>HYPERLINK("http://service.sap.com/sap/support/notes/1670055","1670055")</f>
        <v>1670055</v>
      </c>
      <c r="E6543">
        <v>1</v>
      </c>
      <c r="F6543" t="s">
        <v>5724</v>
      </c>
    </row>
    <row r="6544" spans="1:6" x14ac:dyDescent="0.25">
      <c r="A6544" t="s">
        <v>5720</v>
      </c>
      <c r="B6544" t="s">
        <v>228</v>
      </c>
      <c r="C6544" t="s">
        <v>357</v>
      </c>
      <c r="D6544" t="str">
        <f>HYPERLINK("http://service.sap.com/sap/support/notes/1674641","1674641")</f>
        <v>1674641</v>
      </c>
      <c r="E6544">
        <v>1</v>
      </c>
      <c r="F6544" t="s">
        <v>5725</v>
      </c>
    </row>
    <row r="6545" spans="1:6" x14ac:dyDescent="0.25">
      <c r="A6545" t="s">
        <v>5720</v>
      </c>
      <c r="B6545" t="s">
        <v>15</v>
      </c>
      <c r="C6545" t="s">
        <v>16</v>
      </c>
    </row>
    <row r="6546" spans="1:6" x14ac:dyDescent="0.25">
      <c r="A6546" t="s">
        <v>5720</v>
      </c>
      <c r="B6546" t="s">
        <v>17</v>
      </c>
      <c r="C6546" t="s">
        <v>18</v>
      </c>
      <c r="D6546" t="str">
        <f>HYPERLINK("http://service.sap.com/sap/support/notes/1662388","1662388")</f>
        <v>1662388</v>
      </c>
      <c r="E6546">
        <v>1</v>
      </c>
      <c r="F6546" t="s">
        <v>5726</v>
      </c>
    </row>
    <row r="6547" spans="1:6" x14ac:dyDescent="0.25">
      <c r="A6547" t="s">
        <v>5720</v>
      </c>
      <c r="B6547" t="s">
        <v>17</v>
      </c>
      <c r="C6547" t="s">
        <v>18</v>
      </c>
      <c r="D6547" t="str">
        <f>HYPERLINK("http://service.sap.com/sap/support/notes/1669907","1669907")</f>
        <v>1669907</v>
      </c>
      <c r="E6547">
        <v>1</v>
      </c>
      <c r="F6547" t="s">
        <v>5727</v>
      </c>
    </row>
    <row r="6548" spans="1:6" x14ac:dyDescent="0.25">
      <c r="A6548" t="s">
        <v>5720</v>
      </c>
      <c r="B6548" t="s">
        <v>17</v>
      </c>
      <c r="C6548" t="s">
        <v>18</v>
      </c>
      <c r="D6548" t="str">
        <f>HYPERLINK("http://service.sap.com/sap/support/notes/1670742","1670742")</f>
        <v>1670742</v>
      </c>
      <c r="E6548">
        <v>3</v>
      </c>
      <c r="F6548" t="s">
        <v>5728</v>
      </c>
    </row>
    <row r="6549" spans="1:6" x14ac:dyDescent="0.25">
      <c r="A6549" t="s">
        <v>5720</v>
      </c>
      <c r="B6549" t="s">
        <v>17</v>
      </c>
      <c r="C6549" t="s">
        <v>18</v>
      </c>
      <c r="D6549" t="str">
        <f>HYPERLINK("http://service.sap.com/sap/support/notes/1674317","1674317")</f>
        <v>1674317</v>
      </c>
      <c r="E6549">
        <v>1</v>
      </c>
      <c r="F6549" t="s">
        <v>5729</v>
      </c>
    </row>
    <row r="6550" spans="1:6" x14ac:dyDescent="0.25">
      <c r="A6550" t="s">
        <v>5720</v>
      </c>
      <c r="B6550" t="s">
        <v>19</v>
      </c>
      <c r="C6550" t="s">
        <v>20</v>
      </c>
      <c r="D6550" t="str">
        <f>HYPERLINK("http://service.sap.com/sap/support/notes/1654710","1654710")</f>
        <v>1654710</v>
      </c>
      <c r="E6550">
        <v>1</v>
      </c>
      <c r="F6550" t="s">
        <v>1836</v>
      </c>
    </row>
    <row r="6551" spans="1:6" x14ac:dyDescent="0.25">
      <c r="A6551" t="s">
        <v>5720</v>
      </c>
      <c r="B6551" t="s">
        <v>19</v>
      </c>
      <c r="C6551" t="s">
        <v>20</v>
      </c>
      <c r="D6551" t="str">
        <f>HYPERLINK("http://service.sap.com/sap/support/notes/1663117","1663117")</f>
        <v>1663117</v>
      </c>
      <c r="E6551">
        <v>5</v>
      </c>
      <c r="F6551" t="s">
        <v>5593</v>
      </c>
    </row>
    <row r="6552" spans="1:6" x14ac:dyDescent="0.25">
      <c r="A6552" t="s">
        <v>5720</v>
      </c>
      <c r="B6552" t="s">
        <v>19</v>
      </c>
      <c r="C6552" t="s">
        <v>20</v>
      </c>
      <c r="D6552" t="str">
        <f>HYPERLINK("http://service.sap.com/sap/support/notes/1667899","1667899")</f>
        <v>1667899</v>
      </c>
      <c r="E6552">
        <v>2</v>
      </c>
      <c r="F6552" t="s">
        <v>5730</v>
      </c>
    </row>
    <row r="6553" spans="1:6" x14ac:dyDescent="0.25">
      <c r="A6553" t="s">
        <v>5720</v>
      </c>
      <c r="B6553" t="s">
        <v>19</v>
      </c>
      <c r="C6553" t="s">
        <v>20</v>
      </c>
      <c r="D6553" t="str">
        <f>HYPERLINK("http://service.sap.com/sap/support/notes/1668605","1668605")</f>
        <v>1668605</v>
      </c>
      <c r="E6553">
        <v>1</v>
      </c>
      <c r="F6553" t="s">
        <v>5731</v>
      </c>
    </row>
    <row r="6554" spans="1:6" x14ac:dyDescent="0.25">
      <c r="A6554" t="s">
        <v>5720</v>
      </c>
      <c r="B6554" t="s">
        <v>19</v>
      </c>
      <c r="C6554" t="s">
        <v>20</v>
      </c>
      <c r="D6554" t="str">
        <f>HYPERLINK("http://service.sap.com/sap/support/notes/1668697","1668697")</f>
        <v>1668697</v>
      </c>
      <c r="E6554">
        <v>4</v>
      </c>
      <c r="F6554" t="s">
        <v>5732</v>
      </c>
    </row>
    <row r="6555" spans="1:6" x14ac:dyDescent="0.25">
      <c r="A6555" t="s">
        <v>5720</v>
      </c>
      <c r="B6555" t="s">
        <v>19</v>
      </c>
      <c r="C6555" t="s">
        <v>20</v>
      </c>
      <c r="D6555" t="str">
        <f>HYPERLINK("http://service.sap.com/sap/support/notes/1669249","1669249")</f>
        <v>1669249</v>
      </c>
      <c r="E6555">
        <v>1</v>
      </c>
      <c r="F6555" t="s">
        <v>5733</v>
      </c>
    </row>
    <row r="6556" spans="1:6" x14ac:dyDescent="0.25">
      <c r="A6556" t="s">
        <v>5720</v>
      </c>
      <c r="B6556" t="s">
        <v>19</v>
      </c>
      <c r="C6556" t="s">
        <v>20</v>
      </c>
      <c r="D6556" t="str">
        <f>HYPERLINK("http://service.sap.com/sap/support/notes/1669589","1669589")</f>
        <v>1669589</v>
      </c>
      <c r="E6556">
        <v>2</v>
      </c>
      <c r="F6556" t="s">
        <v>5734</v>
      </c>
    </row>
    <row r="6557" spans="1:6" x14ac:dyDescent="0.25">
      <c r="A6557" t="s">
        <v>5720</v>
      </c>
      <c r="B6557" t="s">
        <v>19</v>
      </c>
      <c r="C6557" t="s">
        <v>20</v>
      </c>
      <c r="D6557" t="str">
        <f>HYPERLINK("http://service.sap.com/sap/support/notes/1669648","1669648")</f>
        <v>1669648</v>
      </c>
      <c r="E6557">
        <v>3</v>
      </c>
      <c r="F6557" t="s">
        <v>5735</v>
      </c>
    </row>
    <row r="6558" spans="1:6" x14ac:dyDescent="0.25">
      <c r="A6558" t="s">
        <v>5720</v>
      </c>
      <c r="B6558" t="s">
        <v>19</v>
      </c>
      <c r="C6558" t="s">
        <v>20</v>
      </c>
      <c r="D6558" t="str">
        <f>HYPERLINK("http://service.sap.com/sap/support/notes/1669890","1669890")</f>
        <v>1669890</v>
      </c>
      <c r="E6558">
        <v>1</v>
      </c>
      <c r="F6558" t="s">
        <v>5736</v>
      </c>
    </row>
    <row r="6559" spans="1:6" x14ac:dyDescent="0.25">
      <c r="A6559" t="s">
        <v>5720</v>
      </c>
      <c r="B6559" t="s">
        <v>19</v>
      </c>
      <c r="C6559" t="s">
        <v>20</v>
      </c>
      <c r="D6559" t="str">
        <f>HYPERLINK("http://service.sap.com/sap/support/notes/1670780","1670780")</f>
        <v>1670780</v>
      </c>
      <c r="E6559">
        <v>2</v>
      </c>
      <c r="F6559" t="s">
        <v>5737</v>
      </c>
    </row>
    <row r="6560" spans="1:6" x14ac:dyDescent="0.25">
      <c r="A6560" t="s">
        <v>5720</v>
      </c>
      <c r="B6560" t="s">
        <v>19</v>
      </c>
      <c r="C6560" t="s">
        <v>20</v>
      </c>
      <c r="D6560" t="str">
        <f>HYPERLINK("http://service.sap.com/sap/support/notes/1671417","1671417")</f>
        <v>1671417</v>
      </c>
      <c r="E6560">
        <v>1</v>
      </c>
      <c r="F6560" t="s">
        <v>5738</v>
      </c>
    </row>
    <row r="6561" spans="1:6" x14ac:dyDescent="0.25">
      <c r="A6561" t="s">
        <v>5720</v>
      </c>
      <c r="B6561" t="s">
        <v>19</v>
      </c>
      <c r="C6561" t="s">
        <v>20</v>
      </c>
      <c r="D6561" t="str">
        <f>HYPERLINK("http://service.sap.com/sap/support/notes/1671469","1671469")</f>
        <v>1671469</v>
      </c>
      <c r="E6561">
        <v>1</v>
      </c>
      <c r="F6561" t="s">
        <v>5739</v>
      </c>
    </row>
    <row r="6562" spans="1:6" x14ac:dyDescent="0.25">
      <c r="A6562" t="s">
        <v>5720</v>
      </c>
      <c r="B6562" t="s">
        <v>19</v>
      </c>
      <c r="C6562" t="s">
        <v>20</v>
      </c>
      <c r="D6562" t="str">
        <f>HYPERLINK("http://service.sap.com/sap/support/notes/1672243","1672243")</f>
        <v>1672243</v>
      </c>
      <c r="E6562">
        <v>1</v>
      </c>
      <c r="F6562" t="s">
        <v>5740</v>
      </c>
    </row>
    <row r="6563" spans="1:6" x14ac:dyDescent="0.25">
      <c r="A6563" t="s">
        <v>5720</v>
      </c>
      <c r="B6563" t="s">
        <v>19</v>
      </c>
      <c r="C6563" t="s">
        <v>20</v>
      </c>
      <c r="D6563" t="str">
        <f>HYPERLINK("http://service.sap.com/sap/support/notes/1672365","1672365")</f>
        <v>1672365</v>
      </c>
      <c r="E6563">
        <v>1</v>
      </c>
      <c r="F6563" t="s">
        <v>5741</v>
      </c>
    </row>
    <row r="6564" spans="1:6" x14ac:dyDescent="0.25">
      <c r="A6564" t="s">
        <v>5720</v>
      </c>
      <c r="B6564" t="s">
        <v>19</v>
      </c>
      <c r="C6564" t="s">
        <v>20</v>
      </c>
      <c r="D6564" t="str">
        <f>HYPERLINK("http://service.sap.com/sap/support/notes/1672399","1672399")</f>
        <v>1672399</v>
      </c>
      <c r="E6564">
        <v>1</v>
      </c>
      <c r="F6564" t="s">
        <v>2232</v>
      </c>
    </row>
    <row r="6565" spans="1:6" x14ac:dyDescent="0.25">
      <c r="A6565" t="s">
        <v>5720</v>
      </c>
      <c r="B6565" t="s">
        <v>19</v>
      </c>
      <c r="C6565" t="s">
        <v>20</v>
      </c>
      <c r="D6565" t="str">
        <f>HYPERLINK("http://service.sap.com/sap/support/notes/1672478","1672478")</f>
        <v>1672478</v>
      </c>
      <c r="E6565">
        <v>2</v>
      </c>
      <c r="F6565" t="s">
        <v>5742</v>
      </c>
    </row>
    <row r="6566" spans="1:6" x14ac:dyDescent="0.25">
      <c r="A6566" t="s">
        <v>5720</v>
      </c>
      <c r="B6566" t="s">
        <v>19</v>
      </c>
      <c r="C6566" t="s">
        <v>20</v>
      </c>
      <c r="D6566" t="str">
        <f>HYPERLINK("http://service.sap.com/sap/support/notes/1673321","1673321")</f>
        <v>1673321</v>
      </c>
      <c r="E6566">
        <v>1</v>
      </c>
      <c r="F6566" t="s">
        <v>5743</v>
      </c>
    </row>
    <row r="6567" spans="1:6" x14ac:dyDescent="0.25">
      <c r="A6567" t="s">
        <v>5720</v>
      </c>
      <c r="B6567" t="s">
        <v>19</v>
      </c>
      <c r="C6567" t="s">
        <v>20</v>
      </c>
      <c r="D6567" t="str">
        <f>HYPERLINK("http://service.sap.com/sap/support/notes/1673846","1673846")</f>
        <v>1673846</v>
      </c>
      <c r="E6567">
        <v>2</v>
      </c>
      <c r="F6567" t="s">
        <v>5744</v>
      </c>
    </row>
    <row r="6568" spans="1:6" x14ac:dyDescent="0.25">
      <c r="A6568" t="s">
        <v>5720</v>
      </c>
      <c r="B6568" t="s">
        <v>19</v>
      </c>
      <c r="C6568" t="s">
        <v>20</v>
      </c>
      <c r="D6568" t="str">
        <f>HYPERLINK("http://service.sap.com/sap/support/notes/1674056","1674056")</f>
        <v>1674056</v>
      </c>
      <c r="E6568">
        <v>1</v>
      </c>
      <c r="F6568" t="s">
        <v>5745</v>
      </c>
    </row>
    <row r="6569" spans="1:6" x14ac:dyDescent="0.25">
      <c r="A6569" t="s">
        <v>5720</v>
      </c>
      <c r="B6569" t="s">
        <v>19</v>
      </c>
      <c r="C6569" t="s">
        <v>20</v>
      </c>
      <c r="D6569" t="str">
        <f>HYPERLINK("http://service.sap.com/sap/support/notes/1674488","1674488")</f>
        <v>1674488</v>
      </c>
      <c r="E6569">
        <v>2</v>
      </c>
      <c r="F6569" t="s">
        <v>5746</v>
      </c>
    </row>
    <row r="6570" spans="1:6" x14ac:dyDescent="0.25">
      <c r="A6570" t="s">
        <v>5720</v>
      </c>
      <c r="B6570" t="s">
        <v>19</v>
      </c>
      <c r="C6570" t="s">
        <v>20</v>
      </c>
      <c r="D6570" t="str">
        <f>HYPERLINK("http://service.sap.com/sap/support/notes/1675009","1675009")</f>
        <v>1675009</v>
      </c>
      <c r="E6570">
        <v>1</v>
      </c>
      <c r="F6570" t="s">
        <v>5747</v>
      </c>
    </row>
    <row r="6571" spans="1:6" x14ac:dyDescent="0.25">
      <c r="A6571" t="s">
        <v>5720</v>
      </c>
      <c r="B6571" t="s">
        <v>19</v>
      </c>
      <c r="C6571" t="s">
        <v>20</v>
      </c>
      <c r="D6571" t="str">
        <f>HYPERLINK("http://service.sap.com/sap/support/notes/1675199","1675199")</f>
        <v>1675199</v>
      </c>
      <c r="E6571">
        <v>1</v>
      </c>
      <c r="F6571" t="s">
        <v>5748</v>
      </c>
    </row>
    <row r="6572" spans="1:6" x14ac:dyDescent="0.25">
      <c r="A6572" t="s">
        <v>5720</v>
      </c>
      <c r="B6572" t="s">
        <v>19</v>
      </c>
      <c r="C6572" t="s">
        <v>20</v>
      </c>
      <c r="D6572" t="str">
        <f>HYPERLINK("http://service.sap.com/sap/support/notes/1675730","1675730")</f>
        <v>1675730</v>
      </c>
      <c r="E6572">
        <v>1</v>
      </c>
      <c r="F6572" t="s">
        <v>5749</v>
      </c>
    </row>
    <row r="6573" spans="1:6" x14ac:dyDescent="0.25">
      <c r="A6573" t="s">
        <v>5720</v>
      </c>
      <c r="B6573" t="s">
        <v>446</v>
      </c>
      <c r="C6573" t="s">
        <v>447</v>
      </c>
      <c r="D6573" t="str">
        <f>HYPERLINK("http://service.sap.com/sap/support/notes/1572801","1572801")</f>
        <v>1572801</v>
      </c>
      <c r="E6573">
        <v>3</v>
      </c>
      <c r="F6573" t="s">
        <v>5750</v>
      </c>
    </row>
    <row r="6574" spans="1:6" x14ac:dyDescent="0.25">
      <c r="A6574" t="s">
        <v>5720</v>
      </c>
      <c r="B6574" t="s">
        <v>446</v>
      </c>
      <c r="C6574" t="s">
        <v>447</v>
      </c>
      <c r="D6574" t="str">
        <f>HYPERLINK("http://service.sap.com/sap/support/notes/1617129","1617129")</f>
        <v>1617129</v>
      </c>
      <c r="E6574">
        <v>5</v>
      </c>
      <c r="F6574" t="s">
        <v>5751</v>
      </c>
    </row>
    <row r="6575" spans="1:6" x14ac:dyDescent="0.25">
      <c r="A6575" t="s">
        <v>5720</v>
      </c>
      <c r="B6575" t="s">
        <v>446</v>
      </c>
      <c r="C6575" t="s">
        <v>447</v>
      </c>
      <c r="D6575" t="str">
        <f>HYPERLINK("http://service.sap.com/sap/support/notes/1645748","1645748")</f>
        <v>1645748</v>
      </c>
      <c r="E6575">
        <v>1</v>
      </c>
      <c r="F6575" t="s">
        <v>5752</v>
      </c>
    </row>
    <row r="6576" spans="1:6" x14ac:dyDescent="0.25">
      <c r="A6576" t="s">
        <v>5720</v>
      </c>
      <c r="B6576" t="s">
        <v>446</v>
      </c>
      <c r="C6576" t="s">
        <v>447</v>
      </c>
      <c r="D6576" t="str">
        <f>HYPERLINK("http://service.sap.com/sap/support/notes/1652684","1652684")</f>
        <v>1652684</v>
      </c>
      <c r="E6576">
        <v>2</v>
      </c>
      <c r="F6576" t="s">
        <v>5753</v>
      </c>
    </row>
    <row r="6577" spans="1:6" x14ac:dyDescent="0.25">
      <c r="A6577" t="s">
        <v>5720</v>
      </c>
      <c r="B6577" t="s">
        <v>446</v>
      </c>
      <c r="C6577" t="s">
        <v>447</v>
      </c>
      <c r="D6577" t="str">
        <f>HYPERLINK("http://service.sap.com/sap/support/notes/1661108","1661108")</f>
        <v>1661108</v>
      </c>
      <c r="E6577">
        <v>3</v>
      </c>
      <c r="F6577" t="s">
        <v>5561</v>
      </c>
    </row>
    <row r="6578" spans="1:6" x14ac:dyDescent="0.25">
      <c r="A6578" t="s">
        <v>5720</v>
      </c>
      <c r="B6578" t="s">
        <v>446</v>
      </c>
      <c r="C6578" t="s">
        <v>447</v>
      </c>
      <c r="D6578" t="str">
        <f>HYPERLINK("http://service.sap.com/sap/support/notes/1670175","1670175")</f>
        <v>1670175</v>
      </c>
      <c r="E6578">
        <v>2</v>
      </c>
      <c r="F6578" t="s">
        <v>5754</v>
      </c>
    </row>
    <row r="6579" spans="1:6" x14ac:dyDescent="0.25">
      <c r="A6579" t="s">
        <v>5720</v>
      </c>
      <c r="B6579" t="s">
        <v>446</v>
      </c>
      <c r="C6579" t="s">
        <v>447</v>
      </c>
      <c r="D6579" t="str">
        <f>HYPERLINK("http://service.sap.com/sap/support/notes/1671531","1671531")</f>
        <v>1671531</v>
      </c>
      <c r="E6579">
        <v>1</v>
      </c>
      <c r="F6579" t="s">
        <v>5755</v>
      </c>
    </row>
    <row r="6580" spans="1:6" x14ac:dyDescent="0.25">
      <c r="A6580" t="s">
        <v>5720</v>
      </c>
      <c r="B6580" t="s">
        <v>446</v>
      </c>
      <c r="C6580" t="s">
        <v>447</v>
      </c>
      <c r="D6580" t="str">
        <f>HYPERLINK("http://service.sap.com/sap/support/notes/1671768","1671768")</f>
        <v>1671768</v>
      </c>
      <c r="E6580">
        <v>1</v>
      </c>
      <c r="F6580" t="s">
        <v>5756</v>
      </c>
    </row>
    <row r="6581" spans="1:6" x14ac:dyDescent="0.25">
      <c r="A6581" t="s">
        <v>5720</v>
      </c>
      <c r="B6581" t="s">
        <v>446</v>
      </c>
      <c r="C6581" t="s">
        <v>447</v>
      </c>
      <c r="D6581" t="str">
        <f>HYPERLINK("http://service.sap.com/sap/support/notes/1672294","1672294")</f>
        <v>1672294</v>
      </c>
      <c r="E6581">
        <v>2</v>
      </c>
      <c r="F6581" t="s">
        <v>5757</v>
      </c>
    </row>
    <row r="6582" spans="1:6" x14ac:dyDescent="0.25">
      <c r="A6582" t="s">
        <v>5720</v>
      </c>
      <c r="B6582" t="s">
        <v>446</v>
      </c>
      <c r="C6582" t="s">
        <v>447</v>
      </c>
      <c r="D6582" t="str">
        <f>HYPERLINK("http://service.sap.com/sap/support/notes/1672748","1672748")</f>
        <v>1672748</v>
      </c>
      <c r="E6582">
        <v>4</v>
      </c>
      <c r="F6582" t="s">
        <v>5758</v>
      </c>
    </row>
    <row r="6583" spans="1:6" x14ac:dyDescent="0.25">
      <c r="A6583" t="s">
        <v>5720</v>
      </c>
      <c r="B6583" t="s">
        <v>446</v>
      </c>
      <c r="C6583" t="s">
        <v>447</v>
      </c>
      <c r="D6583" t="str">
        <f>HYPERLINK("http://service.sap.com/sap/support/notes/1673526","1673526")</f>
        <v>1673526</v>
      </c>
      <c r="E6583">
        <v>2</v>
      </c>
      <c r="F6583" t="s">
        <v>5759</v>
      </c>
    </row>
    <row r="6584" spans="1:6" x14ac:dyDescent="0.25">
      <c r="A6584" t="s">
        <v>5720</v>
      </c>
      <c r="B6584" t="s">
        <v>446</v>
      </c>
      <c r="C6584" t="s">
        <v>447</v>
      </c>
      <c r="D6584" t="str">
        <f>HYPERLINK("http://service.sap.com/sap/support/notes/1674160","1674160")</f>
        <v>1674160</v>
      </c>
      <c r="E6584">
        <v>1</v>
      </c>
      <c r="F6584" t="s">
        <v>5760</v>
      </c>
    </row>
    <row r="6585" spans="1:6" x14ac:dyDescent="0.25">
      <c r="A6585" t="s">
        <v>5720</v>
      </c>
      <c r="B6585" t="s">
        <v>446</v>
      </c>
      <c r="C6585" t="s">
        <v>447</v>
      </c>
      <c r="D6585" t="str">
        <f>HYPERLINK("http://service.sap.com/sap/support/notes/1674828","1674828")</f>
        <v>1674828</v>
      </c>
      <c r="E6585">
        <v>1</v>
      </c>
      <c r="F6585" t="s">
        <v>5761</v>
      </c>
    </row>
    <row r="6586" spans="1:6" x14ac:dyDescent="0.25">
      <c r="A6586" t="s">
        <v>5720</v>
      </c>
      <c r="B6586" t="s">
        <v>448</v>
      </c>
      <c r="C6586" t="s">
        <v>449</v>
      </c>
      <c r="D6586" t="str">
        <f>HYPERLINK("http://service.sap.com/sap/support/notes/1669536","1669536")</f>
        <v>1669536</v>
      </c>
      <c r="E6586">
        <v>1</v>
      </c>
      <c r="F6586" t="s">
        <v>5762</v>
      </c>
    </row>
    <row r="6587" spans="1:6" x14ac:dyDescent="0.25">
      <c r="A6587" t="s">
        <v>5720</v>
      </c>
      <c r="B6587" t="s">
        <v>448</v>
      </c>
      <c r="C6587" t="s">
        <v>449</v>
      </c>
      <c r="D6587" t="str">
        <f>HYPERLINK("http://service.sap.com/sap/support/notes/1670173","1670173")</f>
        <v>1670173</v>
      </c>
      <c r="E6587">
        <v>1</v>
      </c>
      <c r="F6587" t="s">
        <v>5763</v>
      </c>
    </row>
    <row r="6588" spans="1:6" x14ac:dyDescent="0.25">
      <c r="A6588" t="s">
        <v>5720</v>
      </c>
      <c r="B6588" t="s">
        <v>448</v>
      </c>
      <c r="C6588" t="s">
        <v>449</v>
      </c>
      <c r="D6588" t="str">
        <f>HYPERLINK("http://service.sap.com/sap/support/notes/1671352","1671352")</f>
        <v>1671352</v>
      </c>
      <c r="E6588">
        <v>1</v>
      </c>
      <c r="F6588" t="s">
        <v>5764</v>
      </c>
    </row>
    <row r="6589" spans="1:6" x14ac:dyDescent="0.25">
      <c r="A6589" t="s">
        <v>5720</v>
      </c>
      <c r="B6589" t="s">
        <v>448</v>
      </c>
      <c r="C6589" t="s">
        <v>449</v>
      </c>
      <c r="D6589" t="str">
        <f>HYPERLINK("http://service.sap.com/sap/support/notes/1674467","1674467")</f>
        <v>1674467</v>
      </c>
      <c r="E6589">
        <v>2</v>
      </c>
      <c r="F6589" t="s">
        <v>5765</v>
      </c>
    </row>
    <row r="6590" spans="1:6" x14ac:dyDescent="0.25">
      <c r="A6590" t="s">
        <v>5720</v>
      </c>
      <c r="B6590" t="s">
        <v>21</v>
      </c>
      <c r="C6590" t="s">
        <v>12</v>
      </c>
    </row>
    <row r="6591" spans="1:6" x14ac:dyDescent="0.25">
      <c r="A6591" t="s">
        <v>5720</v>
      </c>
      <c r="B6591" t="s">
        <v>455</v>
      </c>
      <c r="C6591" t="s">
        <v>456</v>
      </c>
      <c r="D6591" t="str">
        <f>HYPERLINK("http://service.sap.com/sap/support/notes/1614262","1614262")</f>
        <v>1614262</v>
      </c>
      <c r="E6591">
        <v>2</v>
      </c>
      <c r="F6591" t="s">
        <v>5766</v>
      </c>
    </row>
    <row r="6592" spans="1:6" x14ac:dyDescent="0.25">
      <c r="A6592" t="s">
        <v>5720</v>
      </c>
      <c r="B6592" t="s">
        <v>455</v>
      </c>
      <c r="C6592" t="s">
        <v>456</v>
      </c>
      <c r="D6592" t="str">
        <f>HYPERLINK("http://service.sap.com/sap/support/notes/1635929","1635929")</f>
        <v>1635929</v>
      </c>
      <c r="E6592">
        <v>3</v>
      </c>
      <c r="F6592" t="s">
        <v>5767</v>
      </c>
    </row>
    <row r="6593" spans="1:6" x14ac:dyDescent="0.25">
      <c r="A6593" t="s">
        <v>5720</v>
      </c>
      <c r="B6593" t="s">
        <v>455</v>
      </c>
      <c r="C6593" t="s">
        <v>456</v>
      </c>
      <c r="D6593" t="str">
        <f>HYPERLINK("http://service.sap.com/sap/support/notes/1668100","1668100")</f>
        <v>1668100</v>
      </c>
      <c r="E6593">
        <v>2</v>
      </c>
      <c r="F6593" t="s">
        <v>5768</v>
      </c>
    </row>
    <row r="6594" spans="1:6" x14ac:dyDescent="0.25">
      <c r="A6594" t="s">
        <v>5720</v>
      </c>
      <c r="B6594" t="s">
        <v>458</v>
      </c>
      <c r="C6594" t="s">
        <v>459</v>
      </c>
      <c r="D6594" t="str">
        <f>HYPERLINK("http://service.sap.com/sap/support/notes/1658340","1658340")</f>
        <v>1658340</v>
      </c>
      <c r="E6594">
        <v>4</v>
      </c>
      <c r="F6594" t="s">
        <v>5769</v>
      </c>
    </row>
    <row r="6595" spans="1:6" x14ac:dyDescent="0.25">
      <c r="A6595" t="s">
        <v>5720</v>
      </c>
      <c r="B6595" t="s">
        <v>460</v>
      </c>
      <c r="C6595" t="s">
        <v>461</v>
      </c>
      <c r="D6595" t="str">
        <f>HYPERLINK("http://service.sap.com/sap/support/notes/1643233","1643233")</f>
        <v>1643233</v>
      </c>
      <c r="E6595">
        <v>24</v>
      </c>
      <c r="F6595" t="s">
        <v>5770</v>
      </c>
    </row>
    <row r="6596" spans="1:6" x14ac:dyDescent="0.25">
      <c r="A6596" t="s">
        <v>5720</v>
      </c>
      <c r="B6596" t="s">
        <v>460</v>
      </c>
      <c r="C6596" t="s">
        <v>461</v>
      </c>
      <c r="D6596" t="str">
        <f>HYPERLINK("http://service.sap.com/sap/support/notes/1658302","1658302")</f>
        <v>1658302</v>
      </c>
      <c r="E6596">
        <v>2</v>
      </c>
      <c r="F6596" t="s">
        <v>5771</v>
      </c>
    </row>
    <row r="6597" spans="1:6" x14ac:dyDescent="0.25">
      <c r="A6597" t="s">
        <v>5720</v>
      </c>
      <c r="B6597" t="s">
        <v>512</v>
      </c>
      <c r="C6597" t="s">
        <v>513</v>
      </c>
      <c r="D6597" t="str">
        <f>HYPERLINK("http://service.sap.com/sap/support/notes/1643278","1643278")</f>
        <v>1643278</v>
      </c>
      <c r="E6597">
        <v>4</v>
      </c>
      <c r="F6597" t="s">
        <v>5772</v>
      </c>
    </row>
    <row r="6598" spans="1:6" x14ac:dyDescent="0.25">
      <c r="A6598" t="s">
        <v>5720</v>
      </c>
      <c r="B6598" t="s">
        <v>512</v>
      </c>
      <c r="C6598" t="s">
        <v>513</v>
      </c>
      <c r="D6598" t="str">
        <f>HYPERLINK("http://service.sap.com/sap/support/notes/1645480","1645480")</f>
        <v>1645480</v>
      </c>
      <c r="E6598">
        <v>10</v>
      </c>
      <c r="F6598" t="s">
        <v>5773</v>
      </c>
    </row>
    <row r="6599" spans="1:6" x14ac:dyDescent="0.25">
      <c r="A6599" t="s">
        <v>5720</v>
      </c>
      <c r="B6599" t="s">
        <v>462</v>
      </c>
      <c r="C6599" t="s">
        <v>463</v>
      </c>
      <c r="D6599" t="str">
        <f>HYPERLINK("http://service.sap.com/sap/support/notes/1674437","1674437")</f>
        <v>1674437</v>
      </c>
      <c r="E6599">
        <v>2</v>
      </c>
      <c r="F6599" t="s">
        <v>5774</v>
      </c>
    </row>
    <row r="6600" spans="1:6" x14ac:dyDescent="0.25">
      <c r="A6600" t="s">
        <v>5720</v>
      </c>
      <c r="B6600" t="s">
        <v>623</v>
      </c>
      <c r="C6600" t="s">
        <v>624</v>
      </c>
    </row>
    <row r="6601" spans="1:6" x14ac:dyDescent="0.25">
      <c r="A6601" t="s">
        <v>5720</v>
      </c>
      <c r="B6601" t="s">
        <v>625</v>
      </c>
      <c r="C6601" t="s">
        <v>626</v>
      </c>
      <c r="D6601" t="str">
        <f>HYPERLINK("http://service.sap.com/sap/support/notes/1654079","1654079")</f>
        <v>1654079</v>
      </c>
      <c r="E6601">
        <v>1</v>
      </c>
      <c r="F6601" t="s">
        <v>5647</v>
      </c>
    </row>
    <row r="6602" spans="1:6" x14ac:dyDescent="0.25">
      <c r="A6602" t="s">
        <v>5720</v>
      </c>
      <c r="B6602" t="s">
        <v>625</v>
      </c>
      <c r="C6602" t="s">
        <v>626</v>
      </c>
      <c r="D6602" t="str">
        <f>HYPERLINK("http://service.sap.com/sap/support/notes/1658145","1658145")</f>
        <v>1658145</v>
      </c>
      <c r="E6602">
        <v>1</v>
      </c>
      <c r="F6602" t="s">
        <v>5648</v>
      </c>
    </row>
    <row r="6603" spans="1:6" x14ac:dyDescent="0.25">
      <c r="A6603" t="s">
        <v>5720</v>
      </c>
      <c r="B6603" t="s">
        <v>625</v>
      </c>
      <c r="C6603" t="s">
        <v>626</v>
      </c>
      <c r="D6603" t="str">
        <f>HYPERLINK("http://service.sap.com/sap/support/notes/1671704","1671704")</f>
        <v>1671704</v>
      </c>
      <c r="E6603">
        <v>1</v>
      </c>
      <c r="F6603" t="s">
        <v>5775</v>
      </c>
    </row>
    <row r="6604" spans="1:6" x14ac:dyDescent="0.25">
      <c r="A6604" t="s">
        <v>5720</v>
      </c>
      <c r="B6604" t="s">
        <v>625</v>
      </c>
      <c r="C6604" t="s">
        <v>626</v>
      </c>
      <c r="D6604" t="str">
        <f>HYPERLINK("http://service.sap.com/sap/support/notes/1673167","1673167")</f>
        <v>1673167</v>
      </c>
      <c r="E6604">
        <v>1</v>
      </c>
      <c r="F6604" t="s">
        <v>5776</v>
      </c>
    </row>
    <row r="6605" spans="1:6" x14ac:dyDescent="0.25">
      <c r="A6605" t="s">
        <v>5720</v>
      </c>
      <c r="B6605" t="s">
        <v>625</v>
      </c>
      <c r="C6605" t="s">
        <v>626</v>
      </c>
      <c r="D6605" t="str">
        <f>HYPERLINK("http://service.sap.com/sap/support/notes/1674128","1674128")</f>
        <v>1674128</v>
      </c>
      <c r="E6605">
        <v>1</v>
      </c>
      <c r="F6605" t="s">
        <v>5777</v>
      </c>
    </row>
    <row r="6606" spans="1:6" x14ac:dyDescent="0.25">
      <c r="A6606" t="s">
        <v>5720</v>
      </c>
      <c r="B6606" t="s">
        <v>627</v>
      </c>
      <c r="C6606" t="s">
        <v>628</v>
      </c>
      <c r="D6606" t="str">
        <f>HYPERLINK("http://service.sap.com/sap/support/notes/1670516","1670516")</f>
        <v>1670516</v>
      </c>
      <c r="E6606">
        <v>2</v>
      </c>
      <c r="F6606" t="s">
        <v>5778</v>
      </c>
    </row>
    <row r="6607" spans="1:6" x14ac:dyDescent="0.25">
      <c r="A6607" t="s">
        <v>5720</v>
      </c>
      <c r="B6607" t="s">
        <v>29</v>
      </c>
      <c r="C6607" t="s">
        <v>30</v>
      </c>
    </row>
    <row r="6608" spans="1:6" x14ac:dyDescent="0.25">
      <c r="A6608" t="s">
        <v>5720</v>
      </c>
      <c r="B6608" t="s">
        <v>839</v>
      </c>
      <c r="C6608" t="s">
        <v>160</v>
      </c>
      <c r="D6608" t="str">
        <f>HYPERLINK("http://service.sap.com/sap/support/notes/1668020","1668020")</f>
        <v>1668020</v>
      </c>
      <c r="E6608">
        <v>1</v>
      </c>
      <c r="F6608" t="s">
        <v>5779</v>
      </c>
    </row>
    <row r="6609" spans="1:6" x14ac:dyDescent="0.25">
      <c r="A6609" t="s">
        <v>5720</v>
      </c>
      <c r="B6609" t="s">
        <v>55</v>
      </c>
      <c r="C6609" t="s">
        <v>56</v>
      </c>
      <c r="D6609" t="str">
        <f>HYPERLINK("http://service.sap.com/sap/support/notes/1668089","1668089")</f>
        <v>1668089</v>
      </c>
      <c r="E6609">
        <v>1</v>
      </c>
      <c r="F6609" t="s">
        <v>5780</v>
      </c>
    </row>
    <row r="6610" spans="1:6" x14ac:dyDescent="0.25">
      <c r="A6610" t="s">
        <v>5720</v>
      </c>
      <c r="B6610" t="s">
        <v>358</v>
      </c>
      <c r="C6610" t="s">
        <v>176</v>
      </c>
      <c r="D6610" t="str">
        <f>HYPERLINK("http://service.sap.com/sap/support/notes/1669704","1669704")</f>
        <v>1669704</v>
      </c>
      <c r="E6610">
        <v>5</v>
      </c>
      <c r="F6610" t="s">
        <v>5781</v>
      </c>
    </row>
    <row r="6611" spans="1:6" x14ac:dyDescent="0.25">
      <c r="A6611" t="s">
        <v>5720</v>
      </c>
      <c r="B6611" t="s">
        <v>57</v>
      </c>
      <c r="C6611" t="s">
        <v>58</v>
      </c>
      <c r="D6611" t="str">
        <f>HYPERLINK("http://service.sap.com/sap/support/notes/1661812","1661812")</f>
        <v>1661812</v>
      </c>
      <c r="E6611">
        <v>1</v>
      </c>
      <c r="F6611" t="s">
        <v>5782</v>
      </c>
    </row>
    <row r="6612" spans="1:6" x14ac:dyDescent="0.25">
      <c r="A6612" t="s">
        <v>5720</v>
      </c>
      <c r="B6612" t="s">
        <v>57</v>
      </c>
      <c r="C6612" t="s">
        <v>58</v>
      </c>
      <c r="D6612" t="str">
        <f>HYPERLINK("http://service.sap.com/sap/support/notes/1674130","1674130")</f>
        <v>1674130</v>
      </c>
      <c r="E6612">
        <v>1</v>
      </c>
      <c r="F6612" t="s">
        <v>5783</v>
      </c>
    </row>
    <row r="6613" spans="1:6" x14ac:dyDescent="0.25">
      <c r="A6613" t="s">
        <v>5720</v>
      </c>
      <c r="B6613" t="s">
        <v>258</v>
      </c>
      <c r="C6613" t="s">
        <v>186</v>
      </c>
      <c r="D6613" t="str">
        <f>HYPERLINK("http://service.sap.com/sap/support/notes/1667787","1667787")</f>
        <v>1667787</v>
      </c>
      <c r="E6613">
        <v>1</v>
      </c>
      <c r="F6613" t="s">
        <v>5784</v>
      </c>
    </row>
    <row r="6614" spans="1:6" x14ac:dyDescent="0.25">
      <c r="A6614" t="s">
        <v>5720</v>
      </c>
      <c r="B6614" t="s">
        <v>267</v>
      </c>
      <c r="C6614" t="s">
        <v>466</v>
      </c>
    </row>
    <row r="6615" spans="1:6" x14ac:dyDescent="0.25">
      <c r="A6615" t="s">
        <v>5720</v>
      </c>
      <c r="B6615" t="s">
        <v>268</v>
      </c>
      <c r="C6615" t="s">
        <v>467</v>
      </c>
      <c r="D6615" t="str">
        <f>HYPERLINK("http://service.sap.com/sap/support/notes/1662365","1662365")</f>
        <v>1662365</v>
      </c>
      <c r="E6615">
        <v>1</v>
      </c>
      <c r="F6615" t="s">
        <v>5663</v>
      </c>
    </row>
    <row r="6616" spans="1:6" x14ac:dyDescent="0.25">
      <c r="A6616" t="s">
        <v>5720</v>
      </c>
      <c r="B6616" t="s">
        <v>268</v>
      </c>
      <c r="C6616" t="s">
        <v>467</v>
      </c>
      <c r="D6616" t="str">
        <f>HYPERLINK("http://service.sap.com/sap/support/notes/1663783","1663783")</f>
        <v>1663783</v>
      </c>
      <c r="E6616">
        <v>3</v>
      </c>
      <c r="F6616" t="s">
        <v>5665</v>
      </c>
    </row>
    <row r="6617" spans="1:6" x14ac:dyDescent="0.25">
      <c r="A6617" t="s">
        <v>5720</v>
      </c>
      <c r="B6617" t="s">
        <v>273</v>
      </c>
      <c r="C6617" t="s">
        <v>469</v>
      </c>
    </row>
    <row r="6618" spans="1:6" x14ac:dyDescent="0.25">
      <c r="A6618" t="s">
        <v>5720</v>
      </c>
      <c r="B6618" t="s">
        <v>274</v>
      </c>
      <c r="C6618" t="s">
        <v>470</v>
      </c>
      <c r="D6618" t="str">
        <f>HYPERLINK("http://service.sap.com/sap/support/notes/1597185","1597185")</f>
        <v>1597185</v>
      </c>
      <c r="E6618">
        <v>4</v>
      </c>
      <c r="F6618" t="s">
        <v>5486</v>
      </c>
    </row>
    <row r="6619" spans="1:6" x14ac:dyDescent="0.25">
      <c r="A6619" t="s">
        <v>5720</v>
      </c>
      <c r="B6619" t="s">
        <v>274</v>
      </c>
      <c r="C6619" t="s">
        <v>470</v>
      </c>
      <c r="D6619" t="str">
        <f>HYPERLINK("http://service.sap.com/sap/support/notes/1613716","1613716")</f>
        <v>1613716</v>
      </c>
      <c r="E6619">
        <v>4</v>
      </c>
      <c r="F6619" t="s">
        <v>5785</v>
      </c>
    </row>
    <row r="6620" spans="1:6" x14ac:dyDescent="0.25">
      <c r="A6620" t="s">
        <v>5720</v>
      </c>
      <c r="B6620" t="s">
        <v>274</v>
      </c>
      <c r="C6620" t="s">
        <v>470</v>
      </c>
      <c r="D6620" t="str">
        <f>HYPERLINK("http://service.sap.com/sap/support/notes/1625670","1625670")</f>
        <v>1625670</v>
      </c>
      <c r="E6620">
        <v>1</v>
      </c>
      <c r="F6620" t="s">
        <v>5347</v>
      </c>
    </row>
    <row r="6621" spans="1:6" x14ac:dyDescent="0.25">
      <c r="A6621" t="s">
        <v>5720</v>
      </c>
      <c r="B6621" t="s">
        <v>274</v>
      </c>
      <c r="C6621" t="s">
        <v>470</v>
      </c>
      <c r="D6621" t="str">
        <f>HYPERLINK("http://service.sap.com/sap/support/notes/1675408","1675408")</f>
        <v>1675408</v>
      </c>
      <c r="E6621">
        <v>3</v>
      </c>
      <c r="F6621" t="s">
        <v>5786</v>
      </c>
    </row>
    <row r="6622" spans="1:6" x14ac:dyDescent="0.25">
      <c r="A6622" t="s">
        <v>5720</v>
      </c>
      <c r="B6622" t="s">
        <v>471</v>
      </c>
      <c r="C6622" t="s">
        <v>472</v>
      </c>
      <c r="D6622" t="str">
        <f>HYPERLINK("http://service.sap.com/sap/support/notes/1425212","1425212")</f>
        <v>1425212</v>
      </c>
      <c r="E6622">
        <v>6</v>
      </c>
      <c r="F6622" t="s">
        <v>5787</v>
      </c>
    </row>
    <row r="6623" spans="1:6" x14ac:dyDescent="0.25">
      <c r="A6623" t="s">
        <v>5720</v>
      </c>
      <c r="B6623" t="s">
        <v>471</v>
      </c>
      <c r="C6623" t="s">
        <v>472</v>
      </c>
      <c r="D6623" t="str">
        <f>HYPERLINK("http://service.sap.com/sap/support/notes/1563156","1563156")</f>
        <v>1563156</v>
      </c>
      <c r="E6623">
        <v>5</v>
      </c>
      <c r="F6623" t="s">
        <v>5788</v>
      </c>
    </row>
    <row r="6624" spans="1:6" x14ac:dyDescent="0.25">
      <c r="A6624" t="s">
        <v>5720</v>
      </c>
      <c r="B6624" t="s">
        <v>471</v>
      </c>
      <c r="C6624" t="s">
        <v>472</v>
      </c>
      <c r="D6624" t="str">
        <f>HYPERLINK("http://service.sap.com/sap/support/notes/1660389","1660389")</f>
        <v>1660389</v>
      </c>
      <c r="E6624">
        <v>4</v>
      </c>
      <c r="F6624" t="s">
        <v>5789</v>
      </c>
    </row>
    <row r="6625" spans="1:6" x14ac:dyDescent="0.25">
      <c r="A6625" t="s">
        <v>5720</v>
      </c>
      <c r="B6625" t="s">
        <v>471</v>
      </c>
      <c r="C6625" t="s">
        <v>472</v>
      </c>
      <c r="D6625" t="str">
        <f>HYPERLINK("http://service.sap.com/sap/support/notes/1664557","1664557")</f>
        <v>1664557</v>
      </c>
      <c r="E6625">
        <v>3</v>
      </c>
      <c r="F6625" t="s">
        <v>5790</v>
      </c>
    </row>
    <row r="6626" spans="1:6" x14ac:dyDescent="0.25">
      <c r="A6626" t="s">
        <v>5720</v>
      </c>
      <c r="B6626" t="s">
        <v>471</v>
      </c>
      <c r="C6626" t="s">
        <v>472</v>
      </c>
      <c r="D6626" t="str">
        <f>HYPERLINK("http://service.sap.com/sap/support/notes/1670726","1670726")</f>
        <v>1670726</v>
      </c>
      <c r="E6626">
        <v>2</v>
      </c>
      <c r="F6626" t="s">
        <v>5791</v>
      </c>
    </row>
    <row r="6627" spans="1:6" x14ac:dyDescent="0.25">
      <c r="A6627" t="s">
        <v>5720</v>
      </c>
      <c r="B6627" t="s">
        <v>421</v>
      </c>
      <c r="C6627" t="s">
        <v>363</v>
      </c>
      <c r="D6627" t="str">
        <f>HYPERLINK("http://service.sap.com/sap/support/notes/1622866","1622866")</f>
        <v>1622866</v>
      </c>
      <c r="E6627">
        <v>12</v>
      </c>
      <c r="F6627" t="s">
        <v>5792</v>
      </c>
    </row>
    <row r="6628" spans="1:6" x14ac:dyDescent="0.25">
      <c r="A6628" t="s">
        <v>5720</v>
      </c>
      <c r="B6628" t="s">
        <v>474</v>
      </c>
      <c r="C6628" t="s">
        <v>475</v>
      </c>
      <c r="D6628" t="str">
        <f>HYPERLINK("http://service.sap.com/sap/support/notes/1629591","1629591")</f>
        <v>1629591</v>
      </c>
      <c r="E6628">
        <v>8</v>
      </c>
      <c r="F6628" t="s">
        <v>5793</v>
      </c>
    </row>
    <row r="6629" spans="1:6" x14ac:dyDescent="0.25">
      <c r="A6629" t="s">
        <v>5720</v>
      </c>
      <c r="B6629" t="s">
        <v>474</v>
      </c>
      <c r="C6629" t="s">
        <v>475</v>
      </c>
      <c r="D6629" t="str">
        <f>HYPERLINK("http://service.sap.com/sap/support/notes/1654090","1654090")</f>
        <v>1654090</v>
      </c>
      <c r="E6629">
        <v>2</v>
      </c>
      <c r="F6629" t="s">
        <v>5794</v>
      </c>
    </row>
    <row r="6630" spans="1:6" x14ac:dyDescent="0.25">
      <c r="A6630" t="s">
        <v>5720</v>
      </c>
      <c r="B6630" t="s">
        <v>474</v>
      </c>
      <c r="C6630" t="s">
        <v>475</v>
      </c>
      <c r="D6630" t="str">
        <f>HYPERLINK("http://service.sap.com/sap/support/notes/1654914","1654914")</f>
        <v>1654914</v>
      </c>
      <c r="E6630">
        <v>1</v>
      </c>
      <c r="F6630" t="s">
        <v>5795</v>
      </c>
    </row>
    <row r="6631" spans="1:6" x14ac:dyDescent="0.25">
      <c r="A6631" t="s">
        <v>5720</v>
      </c>
      <c r="B6631" t="s">
        <v>474</v>
      </c>
      <c r="C6631" t="s">
        <v>475</v>
      </c>
      <c r="D6631" t="str">
        <f>HYPERLINK("http://service.sap.com/sap/support/notes/1658564","1658564")</f>
        <v>1658564</v>
      </c>
      <c r="E6631">
        <v>1</v>
      </c>
      <c r="F6631" t="s">
        <v>5796</v>
      </c>
    </row>
    <row r="6632" spans="1:6" x14ac:dyDescent="0.25">
      <c r="A6632" t="s">
        <v>5720</v>
      </c>
      <c r="B6632" t="s">
        <v>474</v>
      </c>
      <c r="C6632" t="s">
        <v>475</v>
      </c>
      <c r="D6632" t="str">
        <f>HYPERLINK("http://service.sap.com/sap/support/notes/1671831","1671831")</f>
        <v>1671831</v>
      </c>
      <c r="E6632">
        <v>1</v>
      </c>
      <c r="F6632" t="s">
        <v>5797</v>
      </c>
    </row>
    <row r="6633" spans="1:6" x14ac:dyDescent="0.25">
      <c r="A6633" t="s">
        <v>5720</v>
      </c>
      <c r="B6633" t="s">
        <v>474</v>
      </c>
      <c r="C6633" t="s">
        <v>475</v>
      </c>
      <c r="D6633" t="str">
        <f>HYPERLINK("http://service.sap.com/sap/support/notes/1672641","1672641")</f>
        <v>1672641</v>
      </c>
      <c r="E6633">
        <v>1</v>
      </c>
      <c r="F6633" t="s">
        <v>5798</v>
      </c>
    </row>
    <row r="6634" spans="1:6" x14ac:dyDescent="0.25">
      <c r="A6634" t="s">
        <v>5720</v>
      </c>
      <c r="B6634" t="s">
        <v>474</v>
      </c>
      <c r="C6634" t="s">
        <v>475</v>
      </c>
      <c r="D6634" t="str">
        <f>HYPERLINK("http://service.sap.com/sap/support/notes/1674439","1674439")</f>
        <v>1674439</v>
      </c>
      <c r="E6634">
        <v>1</v>
      </c>
      <c r="F6634" t="s">
        <v>5799</v>
      </c>
    </row>
    <row r="6635" spans="1:6" x14ac:dyDescent="0.25">
      <c r="A6635" t="s">
        <v>5720</v>
      </c>
      <c r="B6635" t="s">
        <v>72</v>
      </c>
      <c r="C6635" t="s">
        <v>73</v>
      </c>
    </row>
    <row r="6636" spans="1:6" x14ac:dyDescent="0.25">
      <c r="A6636" t="s">
        <v>5720</v>
      </c>
      <c r="B6636" t="s">
        <v>364</v>
      </c>
      <c r="C6636" t="s">
        <v>365</v>
      </c>
      <c r="D6636" t="str">
        <f>HYPERLINK("http://service.sap.com/sap/support/notes/1662228","1662228")</f>
        <v>1662228</v>
      </c>
      <c r="E6636">
        <v>1</v>
      </c>
      <c r="F6636" t="s">
        <v>633</v>
      </c>
    </row>
    <row r="6637" spans="1:6" x14ac:dyDescent="0.25">
      <c r="A6637" t="s">
        <v>5720</v>
      </c>
      <c r="B6637" t="s">
        <v>366</v>
      </c>
      <c r="C6637" t="s">
        <v>367</v>
      </c>
      <c r="D6637" t="str">
        <f>HYPERLINK("http://service.sap.com/sap/support/notes/1661855","1661855")</f>
        <v>1661855</v>
      </c>
      <c r="E6637">
        <v>1</v>
      </c>
      <c r="F6637" t="s">
        <v>5800</v>
      </c>
    </row>
    <row r="6638" spans="1:6" x14ac:dyDescent="0.25">
      <c r="A6638" t="s">
        <v>5720</v>
      </c>
      <c r="B6638" t="s">
        <v>281</v>
      </c>
      <c r="C6638" t="s">
        <v>368</v>
      </c>
    </row>
    <row r="6639" spans="1:6" x14ac:dyDescent="0.25">
      <c r="A6639" t="s">
        <v>5720</v>
      </c>
      <c r="B6639" t="s">
        <v>476</v>
      </c>
      <c r="C6639" t="s">
        <v>477</v>
      </c>
      <c r="D6639" t="str">
        <f>HYPERLINK("http://service.sap.com/sap/support/notes/1654979","1654979")</f>
        <v>1654979</v>
      </c>
      <c r="E6639">
        <v>1</v>
      </c>
      <c r="F6639" t="s">
        <v>5801</v>
      </c>
    </row>
    <row r="6640" spans="1:6" x14ac:dyDescent="0.25">
      <c r="A6640" t="s">
        <v>5720</v>
      </c>
      <c r="B6640" t="s">
        <v>282</v>
      </c>
      <c r="C6640" t="s">
        <v>369</v>
      </c>
      <c r="D6640" t="str">
        <f>HYPERLINK("http://service.sap.com/sap/support/notes/1463094","1463094")</f>
        <v>1463094</v>
      </c>
      <c r="E6640">
        <v>2</v>
      </c>
      <c r="F6640" t="s">
        <v>5802</v>
      </c>
    </row>
    <row r="6641" spans="1:6" x14ac:dyDescent="0.25">
      <c r="A6641" t="s">
        <v>5720</v>
      </c>
      <c r="B6641" t="s">
        <v>282</v>
      </c>
      <c r="C6641" t="s">
        <v>369</v>
      </c>
      <c r="D6641" t="str">
        <f>HYPERLINK("http://service.sap.com/sap/support/notes/1519837","1519837")</f>
        <v>1519837</v>
      </c>
      <c r="E6641">
        <v>2</v>
      </c>
      <c r="F6641" t="s">
        <v>5803</v>
      </c>
    </row>
    <row r="6642" spans="1:6" x14ac:dyDescent="0.25">
      <c r="A6642" t="s">
        <v>5720</v>
      </c>
      <c r="B6642" t="s">
        <v>282</v>
      </c>
      <c r="C6642" t="s">
        <v>369</v>
      </c>
      <c r="D6642" t="str">
        <f>HYPERLINK("http://service.sap.com/sap/support/notes/1630837","1630837")</f>
        <v>1630837</v>
      </c>
      <c r="E6642">
        <v>3</v>
      </c>
      <c r="F6642" t="s">
        <v>776</v>
      </c>
    </row>
    <row r="6643" spans="1:6" x14ac:dyDescent="0.25">
      <c r="A6643" t="s">
        <v>5720</v>
      </c>
      <c r="B6643" t="s">
        <v>282</v>
      </c>
      <c r="C6643" t="s">
        <v>369</v>
      </c>
      <c r="D6643" t="str">
        <f>HYPERLINK("http://service.sap.com/sap/support/notes/1631981","1631981")</f>
        <v>1631981</v>
      </c>
      <c r="E6643">
        <v>4</v>
      </c>
      <c r="F6643" t="s">
        <v>5804</v>
      </c>
    </row>
    <row r="6644" spans="1:6" x14ac:dyDescent="0.25">
      <c r="A6644" t="s">
        <v>5720</v>
      </c>
      <c r="B6644" t="s">
        <v>282</v>
      </c>
      <c r="C6644" t="s">
        <v>369</v>
      </c>
      <c r="D6644" t="str">
        <f>HYPERLINK("http://service.sap.com/sap/support/notes/1640847","1640847")</f>
        <v>1640847</v>
      </c>
      <c r="E6644">
        <v>2</v>
      </c>
      <c r="F6644" t="s">
        <v>5805</v>
      </c>
    </row>
    <row r="6645" spans="1:6" x14ac:dyDescent="0.25">
      <c r="A6645" t="s">
        <v>5720</v>
      </c>
      <c r="B6645" t="s">
        <v>282</v>
      </c>
      <c r="C6645" t="s">
        <v>369</v>
      </c>
      <c r="D6645" t="str">
        <f>HYPERLINK("http://service.sap.com/sap/support/notes/1672589","1672589")</f>
        <v>1672589</v>
      </c>
      <c r="E6645">
        <v>1</v>
      </c>
      <c r="F6645" t="s">
        <v>5806</v>
      </c>
    </row>
    <row r="6646" spans="1:6" x14ac:dyDescent="0.25">
      <c r="A6646" t="s">
        <v>5720</v>
      </c>
      <c r="B6646" t="s">
        <v>580</v>
      </c>
      <c r="C6646" t="s">
        <v>581</v>
      </c>
      <c r="D6646" t="str">
        <f>HYPERLINK("http://service.sap.com/sap/support/notes/1483983","1483983")</f>
        <v>1483983</v>
      </c>
      <c r="E6646">
        <v>3</v>
      </c>
      <c r="F6646" t="s">
        <v>5807</v>
      </c>
    </row>
    <row r="6647" spans="1:6" x14ac:dyDescent="0.25">
      <c r="A6647" t="s">
        <v>5720</v>
      </c>
      <c r="B6647" t="s">
        <v>370</v>
      </c>
      <c r="C6647" t="s">
        <v>371</v>
      </c>
      <c r="D6647" t="str">
        <f>HYPERLINK("http://service.sap.com/sap/support/notes/1651220","1651220")</f>
        <v>1651220</v>
      </c>
      <c r="E6647">
        <v>2</v>
      </c>
      <c r="F6647" t="s">
        <v>5808</v>
      </c>
    </row>
    <row r="6648" spans="1:6" x14ac:dyDescent="0.25">
      <c r="A6648" t="s">
        <v>5720</v>
      </c>
      <c r="B6648" t="s">
        <v>284</v>
      </c>
      <c r="C6648" t="s">
        <v>393</v>
      </c>
    </row>
    <row r="6649" spans="1:6" x14ac:dyDescent="0.25">
      <c r="A6649" t="s">
        <v>5720</v>
      </c>
      <c r="B6649" t="s">
        <v>293</v>
      </c>
      <c r="C6649" t="s">
        <v>587</v>
      </c>
    </row>
    <row r="6650" spans="1:6" x14ac:dyDescent="0.25">
      <c r="A6650" t="s">
        <v>5720</v>
      </c>
      <c r="B6650" t="s">
        <v>298</v>
      </c>
      <c r="C6650" t="s">
        <v>588</v>
      </c>
    </row>
    <row r="6651" spans="1:6" x14ac:dyDescent="0.25">
      <c r="A6651" t="s">
        <v>5720</v>
      </c>
      <c r="B6651" t="s">
        <v>589</v>
      </c>
      <c r="C6651" t="s">
        <v>443</v>
      </c>
      <c r="D6651" t="str">
        <f>HYPERLINK("http://service.sap.com/sap/support/notes/1630466","1630466")</f>
        <v>1630466</v>
      </c>
      <c r="E6651">
        <v>4</v>
      </c>
      <c r="F6651" t="s">
        <v>5526</v>
      </c>
    </row>
    <row r="6652" spans="1:6" x14ac:dyDescent="0.25">
      <c r="A6652" t="s">
        <v>5720</v>
      </c>
      <c r="B6652" t="s">
        <v>589</v>
      </c>
      <c r="C6652" t="s">
        <v>443</v>
      </c>
      <c r="D6652" t="str">
        <f>HYPERLINK("http://service.sap.com/sap/support/notes/1650669","1650669")</f>
        <v>1650669</v>
      </c>
      <c r="E6652">
        <v>1</v>
      </c>
      <c r="F6652" t="s">
        <v>5530</v>
      </c>
    </row>
    <row r="6653" spans="1:6" x14ac:dyDescent="0.25">
      <c r="A6653" t="s">
        <v>5720</v>
      </c>
      <c r="B6653" t="s">
        <v>589</v>
      </c>
      <c r="C6653" t="s">
        <v>443</v>
      </c>
      <c r="D6653" t="str">
        <f>HYPERLINK("http://service.sap.com/sap/support/notes/1655072","1655072")</f>
        <v>1655072</v>
      </c>
      <c r="E6653">
        <v>1</v>
      </c>
      <c r="F6653" t="s">
        <v>5531</v>
      </c>
    </row>
    <row r="6654" spans="1:6" x14ac:dyDescent="0.25">
      <c r="A6654" t="s">
        <v>5720</v>
      </c>
      <c r="B6654" t="s">
        <v>589</v>
      </c>
      <c r="C6654" t="s">
        <v>443</v>
      </c>
      <c r="D6654" t="str">
        <f>HYPERLINK("http://service.sap.com/sap/support/notes/1668318","1668318")</f>
        <v>1668318</v>
      </c>
      <c r="E6654">
        <v>1</v>
      </c>
      <c r="F6654" t="s">
        <v>5809</v>
      </c>
    </row>
    <row r="6655" spans="1:6" x14ac:dyDescent="0.25">
      <c r="A6655" t="s">
        <v>5720</v>
      </c>
      <c r="B6655" t="s">
        <v>589</v>
      </c>
      <c r="C6655" t="s">
        <v>443</v>
      </c>
      <c r="D6655" t="str">
        <f>HYPERLINK("http://service.sap.com/sap/support/notes/1673714","1673714")</f>
        <v>1673714</v>
      </c>
      <c r="E6655">
        <v>1</v>
      </c>
      <c r="F6655" t="s">
        <v>5810</v>
      </c>
    </row>
    <row r="6656" spans="1:6" x14ac:dyDescent="0.25">
      <c r="A6656" t="s">
        <v>5720</v>
      </c>
      <c r="B6656" t="s">
        <v>76</v>
      </c>
      <c r="C6656" t="s">
        <v>77</v>
      </c>
    </row>
    <row r="6657" spans="1:6" x14ac:dyDescent="0.25">
      <c r="A6657" t="s">
        <v>5720</v>
      </c>
      <c r="B6657" t="s">
        <v>96</v>
      </c>
      <c r="C6657" t="s">
        <v>97</v>
      </c>
      <c r="D6657" t="str">
        <f>HYPERLINK("http://service.sap.com/sap/support/notes/1663139","1663139")</f>
        <v>1663139</v>
      </c>
      <c r="E6657">
        <v>2</v>
      </c>
      <c r="F6657" t="s">
        <v>5811</v>
      </c>
    </row>
    <row r="6658" spans="1:6" x14ac:dyDescent="0.25">
      <c r="A6658" t="s">
        <v>5720</v>
      </c>
      <c r="B6658" t="s">
        <v>101</v>
      </c>
      <c r="C6658" t="s">
        <v>38</v>
      </c>
    </row>
    <row r="6659" spans="1:6" x14ac:dyDescent="0.25">
      <c r="A6659" t="s">
        <v>5720</v>
      </c>
      <c r="B6659" t="s">
        <v>106</v>
      </c>
      <c r="C6659" t="s">
        <v>107</v>
      </c>
    </row>
    <row r="6660" spans="1:6" x14ac:dyDescent="0.25">
      <c r="A6660" t="s">
        <v>5720</v>
      </c>
      <c r="B6660" t="s">
        <v>112</v>
      </c>
      <c r="C6660" t="s">
        <v>113</v>
      </c>
      <c r="D6660" t="str">
        <f>HYPERLINK("http://service.sap.com/sap/support/notes/1669655","1669655")</f>
        <v>1669655</v>
      </c>
      <c r="E6660">
        <v>4</v>
      </c>
      <c r="F6660" t="s">
        <v>5812</v>
      </c>
    </row>
    <row r="6661" spans="1:6" x14ac:dyDescent="0.25">
      <c r="A6661" t="s">
        <v>5720</v>
      </c>
      <c r="B6661" t="s">
        <v>139</v>
      </c>
      <c r="C6661" t="s">
        <v>140</v>
      </c>
      <c r="D6661" t="str">
        <f>HYPERLINK("http://service.sap.com/sap/support/notes/1663844","1663844")</f>
        <v>1663844</v>
      </c>
      <c r="E6661">
        <v>2</v>
      </c>
      <c r="F6661" t="s">
        <v>5813</v>
      </c>
    </row>
    <row r="6662" spans="1:6" x14ac:dyDescent="0.25">
      <c r="A6662" t="s">
        <v>5720</v>
      </c>
      <c r="B6662" t="s">
        <v>139</v>
      </c>
      <c r="C6662" t="s">
        <v>140</v>
      </c>
      <c r="D6662" t="str">
        <f>HYPERLINK("http://service.sap.com/sap/support/notes/1674006","1674006")</f>
        <v>1674006</v>
      </c>
      <c r="E6662">
        <v>1</v>
      </c>
      <c r="F6662" t="s">
        <v>5814</v>
      </c>
    </row>
    <row r="6663" spans="1:6" x14ac:dyDescent="0.25">
      <c r="A6663" t="s">
        <v>5720</v>
      </c>
      <c r="B6663" t="s">
        <v>152</v>
      </c>
      <c r="C6663" t="s">
        <v>47</v>
      </c>
    </row>
    <row r="6664" spans="1:6" x14ac:dyDescent="0.25">
      <c r="A6664" t="s">
        <v>5720</v>
      </c>
      <c r="B6664" t="s">
        <v>153</v>
      </c>
      <c r="C6664" t="s">
        <v>154</v>
      </c>
      <c r="D6664" t="str">
        <f>HYPERLINK("http://service.sap.com/sap/support/notes/1378818","1378818")</f>
        <v>1378818</v>
      </c>
      <c r="E6664">
        <v>1</v>
      </c>
      <c r="F6664" t="s">
        <v>5537</v>
      </c>
    </row>
    <row r="6665" spans="1:6" x14ac:dyDescent="0.25">
      <c r="A6665" t="s">
        <v>5720</v>
      </c>
      <c r="B6665" t="s">
        <v>153</v>
      </c>
      <c r="C6665" t="s">
        <v>154</v>
      </c>
      <c r="D6665" t="str">
        <f>HYPERLINK("http://service.sap.com/sap/support/notes/1667265","1667265")</f>
        <v>1667265</v>
      </c>
      <c r="E6665">
        <v>2</v>
      </c>
      <c r="F6665" t="s">
        <v>5815</v>
      </c>
    </row>
    <row r="6666" spans="1:6" x14ac:dyDescent="0.25">
      <c r="A6666" t="s">
        <v>5720</v>
      </c>
      <c r="B6666" t="s">
        <v>153</v>
      </c>
      <c r="C6666" t="s">
        <v>154</v>
      </c>
      <c r="D6666" t="str">
        <f>HYPERLINK("http://service.sap.com/sap/support/notes/1672871","1672871")</f>
        <v>1672871</v>
      </c>
      <c r="E6666">
        <v>1</v>
      </c>
      <c r="F6666" t="s">
        <v>5816</v>
      </c>
    </row>
    <row r="6667" spans="1:6" x14ac:dyDescent="0.25">
      <c r="A6667" t="s">
        <v>5720</v>
      </c>
      <c r="B6667" t="s">
        <v>168</v>
      </c>
      <c r="C6667" t="s">
        <v>169</v>
      </c>
      <c r="D6667" t="str">
        <f>HYPERLINK("http://service.sap.com/sap/support/notes/1668175","1668175")</f>
        <v>1668175</v>
      </c>
      <c r="E6667">
        <v>1</v>
      </c>
      <c r="F6667" t="s">
        <v>5817</v>
      </c>
    </row>
    <row r="6668" spans="1:6" x14ac:dyDescent="0.25">
      <c r="A6668" t="s">
        <v>5720</v>
      </c>
      <c r="B6668" t="s">
        <v>168</v>
      </c>
      <c r="C6668" t="s">
        <v>169</v>
      </c>
      <c r="D6668" t="str">
        <f>HYPERLINK("http://service.sap.com/sap/support/notes/1669212","1669212")</f>
        <v>1669212</v>
      </c>
      <c r="E6668">
        <v>2</v>
      </c>
      <c r="F6668" t="s">
        <v>5818</v>
      </c>
    </row>
    <row r="6669" spans="1:6" x14ac:dyDescent="0.25">
      <c r="A6669" t="s">
        <v>5720</v>
      </c>
      <c r="B6669" t="s">
        <v>171</v>
      </c>
      <c r="C6669" t="s">
        <v>172</v>
      </c>
      <c r="D6669" t="str">
        <f>HYPERLINK("http://service.sap.com/sap/support/notes/1650638","1650638")</f>
        <v>1650638</v>
      </c>
      <c r="E6669">
        <v>1</v>
      </c>
      <c r="F6669" t="s">
        <v>2432</v>
      </c>
    </row>
    <row r="6670" spans="1:6" x14ac:dyDescent="0.25">
      <c r="A6670" t="s">
        <v>5720</v>
      </c>
      <c r="B6670" t="s">
        <v>171</v>
      </c>
      <c r="C6670" t="s">
        <v>172</v>
      </c>
      <c r="D6670" t="str">
        <f>HYPERLINK("http://service.sap.com/sap/support/notes/1664056","1664056")</f>
        <v>1664056</v>
      </c>
      <c r="E6670">
        <v>1</v>
      </c>
      <c r="F6670" t="s">
        <v>2433</v>
      </c>
    </row>
    <row r="6671" spans="1:6" x14ac:dyDescent="0.25">
      <c r="A6671" t="s">
        <v>5720</v>
      </c>
      <c r="B6671" t="s">
        <v>179</v>
      </c>
      <c r="C6671" t="s">
        <v>180</v>
      </c>
      <c r="D6671" t="str">
        <f>HYPERLINK("http://service.sap.com/sap/support/notes/1669441","1669441")</f>
        <v>1669441</v>
      </c>
      <c r="E6671">
        <v>1</v>
      </c>
      <c r="F6671" t="s">
        <v>2203</v>
      </c>
    </row>
    <row r="6672" spans="1:6" x14ac:dyDescent="0.25">
      <c r="A6672" t="s">
        <v>5720</v>
      </c>
      <c r="B6672" t="s">
        <v>179</v>
      </c>
      <c r="C6672" t="s">
        <v>180</v>
      </c>
      <c r="D6672" t="str">
        <f>HYPERLINK("http://service.sap.com/sap/support/notes/1672459","1672459")</f>
        <v>1672459</v>
      </c>
      <c r="E6672">
        <v>1</v>
      </c>
      <c r="F6672" t="s">
        <v>5819</v>
      </c>
    </row>
    <row r="6673" spans="1:6" x14ac:dyDescent="0.25">
      <c r="A6673" t="s">
        <v>5720</v>
      </c>
      <c r="B6673" t="s">
        <v>179</v>
      </c>
      <c r="C6673" t="s">
        <v>180</v>
      </c>
      <c r="D6673" t="str">
        <f>HYPERLINK("http://service.sap.com/sap/support/notes/1674138","1674138")</f>
        <v>1674138</v>
      </c>
      <c r="E6673">
        <v>1</v>
      </c>
      <c r="F6673" t="s">
        <v>5820</v>
      </c>
    </row>
    <row r="6674" spans="1:6" x14ac:dyDescent="0.25">
      <c r="A6674" t="s">
        <v>5720</v>
      </c>
      <c r="B6674" t="s">
        <v>181</v>
      </c>
      <c r="C6674" t="s">
        <v>182</v>
      </c>
    </row>
    <row r="6675" spans="1:6" x14ac:dyDescent="0.25">
      <c r="A6675" t="s">
        <v>5720</v>
      </c>
      <c r="B6675" t="s">
        <v>183</v>
      </c>
      <c r="C6675" t="s">
        <v>184</v>
      </c>
      <c r="D6675" t="str">
        <f>HYPERLINK("http://service.sap.com/sap/support/notes/1670103","1670103")</f>
        <v>1670103</v>
      </c>
      <c r="E6675">
        <v>1</v>
      </c>
      <c r="F6675" t="s">
        <v>5821</v>
      </c>
    </row>
    <row r="6676" spans="1:6" x14ac:dyDescent="0.25">
      <c r="A6676" t="s">
        <v>5720</v>
      </c>
      <c r="B6676" t="s">
        <v>191</v>
      </c>
      <c r="C6676" t="s">
        <v>62</v>
      </c>
    </row>
    <row r="6677" spans="1:6" x14ac:dyDescent="0.25">
      <c r="A6677" t="s">
        <v>5720</v>
      </c>
      <c r="B6677" t="s">
        <v>335</v>
      </c>
      <c r="C6677" t="s">
        <v>2455</v>
      </c>
      <c r="D6677" t="str">
        <f>HYPERLINK("http://service.sap.com/sap/support/notes/1665251","1665251")</f>
        <v>1665251</v>
      </c>
      <c r="E6677">
        <v>5</v>
      </c>
      <c r="F6677" t="s">
        <v>2457</v>
      </c>
    </row>
    <row r="6678" spans="1:6" x14ac:dyDescent="0.25">
      <c r="A6678" t="s">
        <v>5720</v>
      </c>
      <c r="B6678" t="s">
        <v>196</v>
      </c>
      <c r="C6678" t="s">
        <v>197</v>
      </c>
      <c r="D6678" t="str">
        <f>HYPERLINK("http://service.sap.com/sap/support/notes/1659090","1659090")</f>
        <v>1659090</v>
      </c>
      <c r="E6678">
        <v>2</v>
      </c>
      <c r="F6678" t="s">
        <v>2458</v>
      </c>
    </row>
    <row r="6679" spans="1:6" x14ac:dyDescent="0.25">
      <c r="A6679" t="s">
        <v>5720</v>
      </c>
      <c r="B6679" t="s">
        <v>203</v>
      </c>
      <c r="C6679" t="s">
        <v>204</v>
      </c>
    </row>
    <row r="6680" spans="1:6" x14ac:dyDescent="0.25">
      <c r="A6680" t="s">
        <v>5720</v>
      </c>
      <c r="B6680" t="s">
        <v>343</v>
      </c>
      <c r="C6680" t="s">
        <v>344</v>
      </c>
    </row>
    <row r="6681" spans="1:6" x14ac:dyDescent="0.25">
      <c r="A6681" t="s">
        <v>5720</v>
      </c>
      <c r="B6681" t="s">
        <v>662</v>
      </c>
      <c r="C6681" t="s">
        <v>663</v>
      </c>
      <c r="D6681" t="str">
        <f>HYPERLINK("http://service.sap.com/sap/support/notes/1671492","1671492")</f>
        <v>1671492</v>
      </c>
      <c r="E6681">
        <v>1</v>
      </c>
      <c r="F6681" t="s">
        <v>5822</v>
      </c>
    </row>
    <row r="6682" spans="1:6" x14ac:dyDescent="0.25">
      <c r="A6682" t="s">
        <v>5720</v>
      </c>
      <c r="B6682" t="s">
        <v>207</v>
      </c>
      <c r="C6682" t="s">
        <v>208</v>
      </c>
    </row>
    <row r="6683" spans="1:6" x14ac:dyDescent="0.25">
      <c r="A6683" t="s">
        <v>5720</v>
      </c>
      <c r="B6683" t="s">
        <v>209</v>
      </c>
      <c r="C6683" t="s">
        <v>210</v>
      </c>
    </row>
    <row r="6684" spans="1:6" x14ac:dyDescent="0.25">
      <c r="A6684" t="s">
        <v>5720</v>
      </c>
      <c r="B6684" t="s">
        <v>790</v>
      </c>
      <c r="C6684" t="s">
        <v>791</v>
      </c>
    </row>
    <row r="6685" spans="1:6" x14ac:dyDescent="0.25">
      <c r="A6685" t="s">
        <v>5720</v>
      </c>
      <c r="B6685" t="s">
        <v>792</v>
      </c>
      <c r="C6685" t="s">
        <v>655</v>
      </c>
      <c r="D6685" t="str">
        <f>HYPERLINK("http://service.sap.com/sap/support/notes/1670707","1670707")</f>
        <v>1670707</v>
      </c>
      <c r="E6685">
        <v>1</v>
      </c>
      <c r="F6685" t="s">
        <v>5823</v>
      </c>
    </row>
    <row r="6686" spans="1:6" x14ac:dyDescent="0.25">
      <c r="A6686" t="s">
        <v>5720</v>
      </c>
      <c r="B6686" t="s">
        <v>792</v>
      </c>
      <c r="C6686" t="s">
        <v>655</v>
      </c>
      <c r="D6686" t="str">
        <f>HYPERLINK("http://service.sap.com/sap/support/notes/1672874","1672874")</f>
        <v>1672874</v>
      </c>
      <c r="E6686">
        <v>1</v>
      </c>
      <c r="F6686" t="s">
        <v>5824</v>
      </c>
    </row>
    <row r="6687" spans="1:6" x14ac:dyDescent="0.25">
      <c r="A6687" t="s">
        <v>5720</v>
      </c>
      <c r="B6687" t="s">
        <v>5247</v>
      </c>
      <c r="C6687" t="s">
        <v>5248</v>
      </c>
    </row>
    <row r="6688" spans="1:6" x14ac:dyDescent="0.25">
      <c r="A6688" t="s">
        <v>5720</v>
      </c>
      <c r="B6688" t="s">
        <v>5249</v>
      </c>
      <c r="C6688" t="s">
        <v>655</v>
      </c>
      <c r="D6688" t="str">
        <f>HYPERLINK("http://service.sap.com/sap/support/notes/1649974","1649974")</f>
        <v>1649974</v>
      </c>
      <c r="E6688">
        <v>1</v>
      </c>
      <c r="F6688" t="s">
        <v>5825</v>
      </c>
    </row>
    <row r="6689" spans="1:6" x14ac:dyDescent="0.25">
      <c r="A6689" t="s">
        <v>5720</v>
      </c>
      <c r="B6689" t="s">
        <v>5249</v>
      </c>
      <c r="C6689" t="s">
        <v>655</v>
      </c>
      <c r="D6689" t="str">
        <f>HYPERLINK("http://service.sap.com/sap/support/notes/1658027","1658027")</f>
        <v>1658027</v>
      </c>
      <c r="E6689">
        <v>1</v>
      </c>
      <c r="F6689" t="s">
        <v>5826</v>
      </c>
    </row>
    <row r="6690" spans="1:6" x14ac:dyDescent="0.25">
      <c r="A6690" t="s">
        <v>5720</v>
      </c>
      <c r="B6690" t="s">
        <v>5249</v>
      </c>
      <c r="C6690" t="s">
        <v>655</v>
      </c>
      <c r="D6690" t="str">
        <f>HYPERLINK("http://service.sap.com/sap/support/notes/1670314","1670314")</f>
        <v>1670314</v>
      </c>
      <c r="E6690">
        <v>1</v>
      </c>
      <c r="F6690" t="s">
        <v>5827</v>
      </c>
    </row>
    <row r="6691" spans="1:6" x14ac:dyDescent="0.25">
      <c r="A6691" t="s">
        <v>5720</v>
      </c>
      <c r="B6691" t="s">
        <v>389</v>
      </c>
      <c r="C6691" t="s">
        <v>390</v>
      </c>
    </row>
    <row r="6692" spans="1:6" x14ac:dyDescent="0.25">
      <c r="A6692" t="s">
        <v>5720</v>
      </c>
      <c r="B6692" t="s">
        <v>433</v>
      </c>
      <c r="C6692" t="s">
        <v>593</v>
      </c>
      <c r="D6692" t="str">
        <f>HYPERLINK("http://service.sap.com/sap/support/notes/1670367","1670367")</f>
        <v>1670367</v>
      </c>
      <c r="E6692">
        <v>2</v>
      </c>
      <c r="F6692" t="s">
        <v>5828</v>
      </c>
    </row>
    <row r="6693" spans="1:6" x14ac:dyDescent="0.25">
      <c r="A6693" t="s">
        <v>5829</v>
      </c>
      <c r="B6693" t="s">
        <v>5</v>
      </c>
      <c r="C6693" t="s">
        <v>6</v>
      </c>
    </row>
    <row r="6694" spans="1:6" x14ac:dyDescent="0.25">
      <c r="A6694" t="s">
        <v>5829</v>
      </c>
      <c r="B6694" t="s">
        <v>7</v>
      </c>
      <c r="C6694" t="s">
        <v>8</v>
      </c>
    </row>
    <row r="6695" spans="1:6" x14ac:dyDescent="0.25">
      <c r="A6695" t="s">
        <v>5829</v>
      </c>
      <c r="B6695" t="s">
        <v>9</v>
      </c>
      <c r="C6695" t="s">
        <v>10</v>
      </c>
      <c r="D6695" t="str">
        <f>HYPERLINK("http://service.sap.com/sap/support/notes/1647135","1647135")</f>
        <v>1647135</v>
      </c>
      <c r="E6695">
        <v>2</v>
      </c>
      <c r="F6695" t="s">
        <v>5830</v>
      </c>
    </row>
    <row r="6696" spans="1:6" x14ac:dyDescent="0.25">
      <c r="A6696" t="s">
        <v>5829</v>
      </c>
      <c r="B6696" t="s">
        <v>220</v>
      </c>
      <c r="C6696" t="s">
        <v>435</v>
      </c>
    </row>
    <row r="6697" spans="1:6" x14ac:dyDescent="0.25">
      <c r="A6697" t="s">
        <v>5829</v>
      </c>
      <c r="B6697" t="s">
        <v>542</v>
      </c>
      <c r="C6697" t="s">
        <v>543</v>
      </c>
    </row>
    <row r="6698" spans="1:6" x14ac:dyDescent="0.25">
      <c r="A6698" t="s">
        <v>5829</v>
      </c>
      <c r="B6698" t="s">
        <v>544</v>
      </c>
      <c r="C6698" t="s">
        <v>545</v>
      </c>
      <c r="D6698" t="str">
        <f>HYPERLINK("http://service.sap.com/sap/support/notes/1668382","1668382")</f>
        <v>1668382</v>
      </c>
      <c r="E6698">
        <v>1</v>
      </c>
      <c r="F6698" t="s">
        <v>5831</v>
      </c>
    </row>
    <row r="6699" spans="1:6" x14ac:dyDescent="0.25">
      <c r="A6699" t="s">
        <v>5829</v>
      </c>
      <c r="B6699" t="s">
        <v>544</v>
      </c>
      <c r="C6699" t="s">
        <v>545</v>
      </c>
      <c r="D6699" t="str">
        <f>HYPERLINK("http://service.sap.com/sap/support/notes/1678465","1678465")</f>
        <v>1678465</v>
      </c>
      <c r="E6699">
        <v>1</v>
      </c>
      <c r="F6699" t="s">
        <v>5832</v>
      </c>
    </row>
    <row r="6700" spans="1:6" x14ac:dyDescent="0.25">
      <c r="A6700" t="s">
        <v>5829</v>
      </c>
      <c r="B6700" t="s">
        <v>225</v>
      </c>
      <c r="C6700" t="s">
        <v>354</v>
      </c>
    </row>
    <row r="6701" spans="1:6" x14ac:dyDescent="0.25">
      <c r="A6701" t="s">
        <v>5829</v>
      </c>
      <c r="B6701" t="s">
        <v>226</v>
      </c>
      <c r="C6701" t="s">
        <v>355</v>
      </c>
    </row>
    <row r="6702" spans="1:6" x14ac:dyDescent="0.25">
      <c r="A6702" t="s">
        <v>5829</v>
      </c>
      <c r="B6702" t="s">
        <v>227</v>
      </c>
      <c r="C6702" t="s">
        <v>356</v>
      </c>
    </row>
    <row r="6703" spans="1:6" x14ac:dyDescent="0.25">
      <c r="A6703" t="s">
        <v>5829</v>
      </c>
      <c r="B6703" t="s">
        <v>228</v>
      </c>
      <c r="C6703" t="s">
        <v>357</v>
      </c>
      <c r="D6703" t="str">
        <f>HYPERLINK("http://service.sap.com/sap/support/notes/1674795","1674795")</f>
        <v>1674795</v>
      </c>
      <c r="E6703">
        <v>2</v>
      </c>
      <c r="F6703" t="s">
        <v>5833</v>
      </c>
    </row>
    <row r="6704" spans="1:6" x14ac:dyDescent="0.25">
      <c r="A6704" t="s">
        <v>5829</v>
      </c>
      <c r="B6704" t="s">
        <v>228</v>
      </c>
      <c r="C6704" t="s">
        <v>357</v>
      </c>
      <c r="D6704" t="str">
        <f>HYPERLINK("http://service.sap.com/sap/support/notes/1675684","1675684")</f>
        <v>1675684</v>
      </c>
      <c r="E6704">
        <v>2</v>
      </c>
      <c r="F6704" t="s">
        <v>5834</v>
      </c>
    </row>
    <row r="6705" spans="1:6" x14ac:dyDescent="0.25">
      <c r="A6705" t="s">
        <v>5829</v>
      </c>
      <c r="B6705" t="s">
        <v>228</v>
      </c>
      <c r="C6705" t="s">
        <v>357</v>
      </c>
      <c r="D6705" t="str">
        <f>HYPERLINK("http://service.sap.com/sap/support/notes/1678531","1678531")</f>
        <v>1678531</v>
      </c>
      <c r="E6705">
        <v>1</v>
      </c>
      <c r="F6705" t="s">
        <v>5835</v>
      </c>
    </row>
    <row r="6706" spans="1:6" x14ac:dyDescent="0.25">
      <c r="A6706" t="s">
        <v>5829</v>
      </c>
      <c r="B6706" t="s">
        <v>228</v>
      </c>
      <c r="C6706" t="s">
        <v>357</v>
      </c>
      <c r="D6706" t="str">
        <f>HYPERLINK("http://service.sap.com/sap/support/notes/1686593","1686593")</f>
        <v>1686593</v>
      </c>
      <c r="E6706">
        <v>1</v>
      </c>
      <c r="F6706" t="s">
        <v>5836</v>
      </c>
    </row>
    <row r="6707" spans="1:6" x14ac:dyDescent="0.25">
      <c r="A6707" t="s">
        <v>5829</v>
      </c>
      <c r="B6707" t="s">
        <v>15</v>
      </c>
      <c r="C6707" t="s">
        <v>16</v>
      </c>
    </row>
    <row r="6708" spans="1:6" x14ac:dyDescent="0.25">
      <c r="A6708" t="s">
        <v>5829</v>
      </c>
      <c r="B6708" t="s">
        <v>17</v>
      </c>
      <c r="C6708" t="s">
        <v>18</v>
      </c>
      <c r="D6708" t="str">
        <f>HYPERLINK("http://service.sap.com/sap/support/notes/1667084","1667084")</f>
        <v>1667084</v>
      </c>
      <c r="E6708">
        <v>2</v>
      </c>
      <c r="F6708" t="s">
        <v>5837</v>
      </c>
    </row>
    <row r="6709" spans="1:6" x14ac:dyDescent="0.25">
      <c r="A6709" t="s">
        <v>5829</v>
      </c>
      <c r="B6709" t="s">
        <v>17</v>
      </c>
      <c r="C6709" t="s">
        <v>18</v>
      </c>
      <c r="D6709" t="str">
        <f>HYPERLINK("http://service.sap.com/sap/support/notes/1670742","1670742")</f>
        <v>1670742</v>
      </c>
      <c r="E6709">
        <v>4</v>
      </c>
      <c r="F6709" t="s">
        <v>5728</v>
      </c>
    </row>
    <row r="6710" spans="1:6" x14ac:dyDescent="0.25">
      <c r="A6710" t="s">
        <v>5829</v>
      </c>
      <c r="B6710" t="s">
        <v>17</v>
      </c>
      <c r="C6710" t="s">
        <v>18</v>
      </c>
      <c r="D6710" t="str">
        <f>HYPERLINK("http://service.sap.com/sap/support/notes/1674708","1674708")</f>
        <v>1674708</v>
      </c>
      <c r="E6710">
        <v>2</v>
      </c>
      <c r="F6710" t="s">
        <v>5838</v>
      </c>
    </row>
    <row r="6711" spans="1:6" x14ac:dyDescent="0.25">
      <c r="A6711" t="s">
        <v>5829</v>
      </c>
      <c r="B6711" t="s">
        <v>17</v>
      </c>
      <c r="C6711" t="s">
        <v>18</v>
      </c>
      <c r="D6711" t="str">
        <f>HYPERLINK("http://service.sap.com/sap/support/notes/1685162","1685162")</f>
        <v>1685162</v>
      </c>
      <c r="E6711">
        <v>3</v>
      </c>
      <c r="F6711" t="s">
        <v>5839</v>
      </c>
    </row>
    <row r="6712" spans="1:6" x14ac:dyDescent="0.25">
      <c r="A6712" t="s">
        <v>5829</v>
      </c>
      <c r="B6712" t="s">
        <v>19</v>
      </c>
      <c r="C6712" t="s">
        <v>20</v>
      </c>
      <c r="D6712" t="str">
        <f>HYPERLINK("http://service.sap.com/sap/support/notes/1648978","1648978")</f>
        <v>1648978</v>
      </c>
      <c r="E6712">
        <v>1</v>
      </c>
      <c r="F6712" t="s">
        <v>5840</v>
      </c>
    </row>
    <row r="6713" spans="1:6" x14ac:dyDescent="0.25">
      <c r="A6713" t="s">
        <v>5829</v>
      </c>
      <c r="B6713" t="s">
        <v>19</v>
      </c>
      <c r="C6713" t="s">
        <v>20</v>
      </c>
      <c r="D6713" t="str">
        <f>HYPERLINK("http://service.sap.com/sap/support/notes/1670834","1670834")</f>
        <v>1670834</v>
      </c>
      <c r="E6713">
        <v>1</v>
      </c>
      <c r="F6713" t="s">
        <v>5841</v>
      </c>
    </row>
    <row r="6714" spans="1:6" x14ac:dyDescent="0.25">
      <c r="A6714" t="s">
        <v>5829</v>
      </c>
      <c r="B6714" t="s">
        <v>19</v>
      </c>
      <c r="C6714" t="s">
        <v>20</v>
      </c>
      <c r="D6714" t="str">
        <f>HYPERLINK("http://service.sap.com/sap/support/notes/1673875","1673875")</f>
        <v>1673875</v>
      </c>
      <c r="E6714">
        <v>1</v>
      </c>
      <c r="F6714" t="s">
        <v>5842</v>
      </c>
    </row>
    <row r="6715" spans="1:6" x14ac:dyDescent="0.25">
      <c r="A6715" t="s">
        <v>5829</v>
      </c>
      <c r="B6715" t="s">
        <v>19</v>
      </c>
      <c r="C6715" t="s">
        <v>20</v>
      </c>
      <c r="D6715" t="str">
        <f>HYPERLINK("http://service.sap.com/sap/support/notes/1675552","1675552")</f>
        <v>1675552</v>
      </c>
      <c r="E6715">
        <v>3</v>
      </c>
      <c r="F6715" t="s">
        <v>2469</v>
      </c>
    </row>
    <row r="6716" spans="1:6" x14ac:dyDescent="0.25">
      <c r="A6716" t="s">
        <v>5829</v>
      </c>
      <c r="B6716" t="s">
        <v>19</v>
      </c>
      <c r="C6716" t="s">
        <v>20</v>
      </c>
      <c r="D6716" t="str">
        <f>HYPERLINK("http://service.sap.com/sap/support/notes/1675852","1675852")</f>
        <v>1675852</v>
      </c>
      <c r="E6716">
        <v>2</v>
      </c>
      <c r="F6716" t="s">
        <v>5843</v>
      </c>
    </row>
    <row r="6717" spans="1:6" x14ac:dyDescent="0.25">
      <c r="A6717" t="s">
        <v>5829</v>
      </c>
      <c r="B6717" t="s">
        <v>19</v>
      </c>
      <c r="C6717" t="s">
        <v>20</v>
      </c>
      <c r="D6717" t="str">
        <f>HYPERLINK("http://service.sap.com/sap/support/notes/1676901","1676901")</f>
        <v>1676901</v>
      </c>
      <c r="E6717">
        <v>1</v>
      </c>
      <c r="F6717" t="s">
        <v>5844</v>
      </c>
    </row>
    <row r="6718" spans="1:6" x14ac:dyDescent="0.25">
      <c r="A6718" t="s">
        <v>5829</v>
      </c>
      <c r="B6718" t="s">
        <v>19</v>
      </c>
      <c r="C6718" t="s">
        <v>20</v>
      </c>
      <c r="D6718" t="str">
        <f>HYPERLINK("http://service.sap.com/sap/support/notes/1677054","1677054")</f>
        <v>1677054</v>
      </c>
      <c r="E6718">
        <v>1</v>
      </c>
      <c r="F6718" t="s">
        <v>5845</v>
      </c>
    </row>
    <row r="6719" spans="1:6" x14ac:dyDescent="0.25">
      <c r="A6719" t="s">
        <v>5829</v>
      </c>
      <c r="B6719" t="s">
        <v>19</v>
      </c>
      <c r="C6719" t="s">
        <v>20</v>
      </c>
      <c r="D6719" t="str">
        <f>HYPERLINK("http://service.sap.com/sap/support/notes/1677116","1677116")</f>
        <v>1677116</v>
      </c>
      <c r="E6719">
        <v>1</v>
      </c>
      <c r="F6719" t="s">
        <v>5846</v>
      </c>
    </row>
    <row r="6720" spans="1:6" x14ac:dyDescent="0.25">
      <c r="A6720" t="s">
        <v>5829</v>
      </c>
      <c r="B6720" t="s">
        <v>19</v>
      </c>
      <c r="C6720" t="s">
        <v>20</v>
      </c>
      <c r="D6720" t="str">
        <f>HYPERLINK("http://service.sap.com/sap/support/notes/1677336","1677336")</f>
        <v>1677336</v>
      </c>
      <c r="E6720">
        <v>1</v>
      </c>
      <c r="F6720" t="s">
        <v>5847</v>
      </c>
    </row>
    <row r="6721" spans="1:6" x14ac:dyDescent="0.25">
      <c r="A6721" t="s">
        <v>5829</v>
      </c>
      <c r="B6721" t="s">
        <v>19</v>
      </c>
      <c r="C6721" t="s">
        <v>20</v>
      </c>
      <c r="D6721" t="str">
        <f>HYPERLINK("http://service.sap.com/sap/support/notes/1677812","1677812")</f>
        <v>1677812</v>
      </c>
      <c r="E6721">
        <v>1</v>
      </c>
      <c r="F6721" t="s">
        <v>5848</v>
      </c>
    </row>
    <row r="6722" spans="1:6" x14ac:dyDescent="0.25">
      <c r="A6722" t="s">
        <v>5829</v>
      </c>
      <c r="B6722" t="s">
        <v>19</v>
      </c>
      <c r="C6722" t="s">
        <v>20</v>
      </c>
      <c r="D6722" t="str">
        <f>HYPERLINK("http://service.sap.com/sap/support/notes/1677858","1677858")</f>
        <v>1677858</v>
      </c>
      <c r="E6722">
        <v>3</v>
      </c>
      <c r="F6722" t="s">
        <v>5849</v>
      </c>
    </row>
    <row r="6723" spans="1:6" x14ac:dyDescent="0.25">
      <c r="A6723" t="s">
        <v>5829</v>
      </c>
      <c r="B6723" t="s">
        <v>19</v>
      </c>
      <c r="C6723" t="s">
        <v>20</v>
      </c>
      <c r="D6723" t="str">
        <f>HYPERLINK("http://service.sap.com/sap/support/notes/1677880","1677880")</f>
        <v>1677880</v>
      </c>
      <c r="E6723">
        <v>1</v>
      </c>
      <c r="F6723" t="s">
        <v>5850</v>
      </c>
    </row>
    <row r="6724" spans="1:6" x14ac:dyDescent="0.25">
      <c r="A6724" t="s">
        <v>5829</v>
      </c>
      <c r="B6724" t="s">
        <v>19</v>
      </c>
      <c r="C6724" t="s">
        <v>20</v>
      </c>
      <c r="D6724" t="str">
        <f>HYPERLINK("http://service.sap.com/sap/support/notes/1678853","1678853")</f>
        <v>1678853</v>
      </c>
      <c r="E6724">
        <v>1</v>
      </c>
      <c r="F6724" t="s">
        <v>5851</v>
      </c>
    </row>
    <row r="6725" spans="1:6" x14ac:dyDescent="0.25">
      <c r="A6725" t="s">
        <v>5829</v>
      </c>
      <c r="B6725" t="s">
        <v>19</v>
      </c>
      <c r="C6725" t="s">
        <v>20</v>
      </c>
      <c r="D6725" t="str">
        <f>HYPERLINK("http://service.sap.com/sap/support/notes/1679223","1679223")</f>
        <v>1679223</v>
      </c>
      <c r="E6725">
        <v>1</v>
      </c>
      <c r="F6725" t="s">
        <v>5852</v>
      </c>
    </row>
    <row r="6726" spans="1:6" x14ac:dyDescent="0.25">
      <c r="A6726" t="s">
        <v>5829</v>
      </c>
      <c r="B6726" t="s">
        <v>19</v>
      </c>
      <c r="C6726" t="s">
        <v>20</v>
      </c>
      <c r="D6726" t="str">
        <f>HYPERLINK("http://service.sap.com/sap/support/notes/1679320","1679320")</f>
        <v>1679320</v>
      </c>
      <c r="E6726">
        <v>2</v>
      </c>
      <c r="F6726" t="s">
        <v>5853</v>
      </c>
    </row>
    <row r="6727" spans="1:6" x14ac:dyDescent="0.25">
      <c r="A6727" t="s">
        <v>5829</v>
      </c>
      <c r="B6727" t="s">
        <v>19</v>
      </c>
      <c r="C6727" t="s">
        <v>20</v>
      </c>
      <c r="D6727" t="str">
        <f>HYPERLINK("http://service.sap.com/sap/support/notes/1679671","1679671")</f>
        <v>1679671</v>
      </c>
      <c r="E6727">
        <v>2</v>
      </c>
      <c r="F6727" t="s">
        <v>5854</v>
      </c>
    </row>
    <row r="6728" spans="1:6" x14ac:dyDescent="0.25">
      <c r="A6728" t="s">
        <v>5829</v>
      </c>
      <c r="B6728" t="s">
        <v>19</v>
      </c>
      <c r="C6728" t="s">
        <v>20</v>
      </c>
      <c r="D6728" t="str">
        <f>HYPERLINK("http://service.sap.com/sap/support/notes/1680208","1680208")</f>
        <v>1680208</v>
      </c>
      <c r="E6728">
        <v>2</v>
      </c>
      <c r="F6728" t="s">
        <v>5855</v>
      </c>
    </row>
    <row r="6729" spans="1:6" x14ac:dyDescent="0.25">
      <c r="A6729" t="s">
        <v>5829</v>
      </c>
      <c r="B6729" t="s">
        <v>19</v>
      </c>
      <c r="C6729" t="s">
        <v>20</v>
      </c>
      <c r="D6729" t="str">
        <f>HYPERLINK("http://service.sap.com/sap/support/notes/1680310","1680310")</f>
        <v>1680310</v>
      </c>
      <c r="E6729">
        <v>1</v>
      </c>
      <c r="F6729" t="s">
        <v>5856</v>
      </c>
    </row>
    <row r="6730" spans="1:6" x14ac:dyDescent="0.25">
      <c r="A6730" t="s">
        <v>5829</v>
      </c>
      <c r="B6730" t="s">
        <v>19</v>
      </c>
      <c r="C6730" t="s">
        <v>20</v>
      </c>
      <c r="D6730" t="str">
        <f>HYPERLINK("http://service.sap.com/sap/support/notes/1680442","1680442")</f>
        <v>1680442</v>
      </c>
      <c r="E6730">
        <v>1</v>
      </c>
      <c r="F6730" t="s">
        <v>5857</v>
      </c>
    </row>
    <row r="6731" spans="1:6" x14ac:dyDescent="0.25">
      <c r="A6731" t="s">
        <v>5829</v>
      </c>
      <c r="B6731" t="s">
        <v>19</v>
      </c>
      <c r="C6731" t="s">
        <v>20</v>
      </c>
      <c r="D6731" t="str">
        <f>HYPERLINK("http://service.sap.com/sap/support/notes/1680761","1680761")</f>
        <v>1680761</v>
      </c>
      <c r="E6731">
        <v>1</v>
      </c>
      <c r="F6731" t="s">
        <v>5858</v>
      </c>
    </row>
    <row r="6732" spans="1:6" x14ac:dyDescent="0.25">
      <c r="A6732" t="s">
        <v>5829</v>
      </c>
      <c r="B6732" t="s">
        <v>19</v>
      </c>
      <c r="C6732" t="s">
        <v>20</v>
      </c>
      <c r="D6732" t="str">
        <f>HYPERLINK("http://service.sap.com/sap/support/notes/1680858","1680858")</f>
        <v>1680858</v>
      </c>
      <c r="E6732">
        <v>1</v>
      </c>
      <c r="F6732" t="s">
        <v>5859</v>
      </c>
    </row>
    <row r="6733" spans="1:6" x14ac:dyDescent="0.25">
      <c r="A6733" t="s">
        <v>5829</v>
      </c>
      <c r="B6733" t="s">
        <v>19</v>
      </c>
      <c r="C6733" t="s">
        <v>20</v>
      </c>
      <c r="D6733" t="str">
        <f>HYPERLINK("http://service.sap.com/sap/support/notes/1682379","1682379")</f>
        <v>1682379</v>
      </c>
      <c r="E6733">
        <v>2</v>
      </c>
      <c r="F6733" t="s">
        <v>5860</v>
      </c>
    </row>
    <row r="6734" spans="1:6" x14ac:dyDescent="0.25">
      <c r="A6734" t="s">
        <v>5829</v>
      </c>
      <c r="B6734" t="s">
        <v>19</v>
      </c>
      <c r="C6734" t="s">
        <v>20</v>
      </c>
      <c r="D6734" t="str">
        <f>HYPERLINK("http://service.sap.com/sap/support/notes/1682516","1682516")</f>
        <v>1682516</v>
      </c>
      <c r="E6734">
        <v>1</v>
      </c>
      <c r="F6734" t="s">
        <v>5861</v>
      </c>
    </row>
    <row r="6735" spans="1:6" x14ac:dyDescent="0.25">
      <c r="A6735" t="s">
        <v>5829</v>
      </c>
      <c r="B6735" t="s">
        <v>19</v>
      </c>
      <c r="C6735" t="s">
        <v>20</v>
      </c>
      <c r="D6735" t="str">
        <f>HYPERLINK("http://service.sap.com/sap/support/notes/1683434","1683434")</f>
        <v>1683434</v>
      </c>
      <c r="E6735">
        <v>1</v>
      </c>
      <c r="F6735" t="s">
        <v>5862</v>
      </c>
    </row>
    <row r="6736" spans="1:6" x14ac:dyDescent="0.25">
      <c r="A6736" t="s">
        <v>5829</v>
      </c>
      <c r="B6736" t="s">
        <v>19</v>
      </c>
      <c r="C6736" t="s">
        <v>20</v>
      </c>
      <c r="D6736" t="str">
        <f>HYPERLINK("http://service.sap.com/sap/support/notes/1683636","1683636")</f>
        <v>1683636</v>
      </c>
      <c r="E6736">
        <v>2</v>
      </c>
      <c r="F6736" t="s">
        <v>5863</v>
      </c>
    </row>
    <row r="6737" spans="1:6" x14ac:dyDescent="0.25">
      <c r="A6737" t="s">
        <v>5829</v>
      </c>
      <c r="B6737" t="s">
        <v>19</v>
      </c>
      <c r="C6737" t="s">
        <v>20</v>
      </c>
      <c r="D6737" t="str">
        <f>HYPERLINK("http://service.sap.com/sap/support/notes/1683876","1683876")</f>
        <v>1683876</v>
      </c>
      <c r="E6737">
        <v>1</v>
      </c>
      <c r="F6737" t="s">
        <v>5864</v>
      </c>
    </row>
    <row r="6738" spans="1:6" x14ac:dyDescent="0.25">
      <c r="A6738" t="s">
        <v>5829</v>
      </c>
      <c r="B6738" t="s">
        <v>19</v>
      </c>
      <c r="C6738" t="s">
        <v>20</v>
      </c>
      <c r="D6738" t="str">
        <f>HYPERLINK("http://service.sap.com/sap/support/notes/1683966","1683966")</f>
        <v>1683966</v>
      </c>
      <c r="E6738">
        <v>1</v>
      </c>
      <c r="F6738" t="s">
        <v>5865</v>
      </c>
    </row>
    <row r="6739" spans="1:6" x14ac:dyDescent="0.25">
      <c r="A6739" t="s">
        <v>5829</v>
      </c>
      <c r="B6739" t="s">
        <v>19</v>
      </c>
      <c r="C6739" t="s">
        <v>20</v>
      </c>
      <c r="D6739" t="str">
        <f>HYPERLINK("http://service.sap.com/sap/support/notes/1684210","1684210")</f>
        <v>1684210</v>
      </c>
      <c r="E6739">
        <v>1</v>
      </c>
      <c r="F6739" t="s">
        <v>5866</v>
      </c>
    </row>
    <row r="6740" spans="1:6" x14ac:dyDescent="0.25">
      <c r="A6740" t="s">
        <v>5829</v>
      </c>
      <c r="B6740" t="s">
        <v>19</v>
      </c>
      <c r="C6740" t="s">
        <v>20</v>
      </c>
      <c r="D6740" t="str">
        <f>HYPERLINK("http://service.sap.com/sap/support/notes/1684690","1684690")</f>
        <v>1684690</v>
      </c>
      <c r="E6740">
        <v>1</v>
      </c>
      <c r="F6740" t="s">
        <v>5867</v>
      </c>
    </row>
    <row r="6741" spans="1:6" x14ac:dyDescent="0.25">
      <c r="A6741" t="s">
        <v>5829</v>
      </c>
      <c r="B6741" t="s">
        <v>19</v>
      </c>
      <c r="C6741" t="s">
        <v>20</v>
      </c>
      <c r="D6741" t="str">
        <f>HYPERLINK("http://service.sap.com/sap/support/notes/1684962","1684962")</f>
        <v>1684962</v>
      </c>
      <c r="E6741">
        <v>1</v>
      </c>
      <c r="F6741" t="s">
        <v>5868</v>
      </c>
    </row>
    <row r="6742" spans="1:6" x14ac:dyDescent="0.25">
      <c r="A6742" t="s">
        <v>5829</v>
      </c>
      <c r="B6742" t="s">
        <v>19</v>
      </c>
      <c r="C6742" t="s">
        <v>20</v>
      </c>
      <c r="D6742" t="str">
        <f>HYPERLINK("http://service.sap.com/sap/support/notes/1685111","1685111")</f>
        <v>1685111</v>
      </c>
      <c r="E6742">
        <v>1</v>
      </c>
      <c r="F6742" t="s">
        <v>5869</v>
      </c>
    </row>
    <row r="6743" spans="1:6" x14ac:dyDescent="0.25">
      <c r="A6743" t="s">
        <v>5829</v>
      </c>
      <c r="B6743" t="s">
        <v>19</v>
      </c>
      <c r="C6743" t="s">
        <v>20</v>
      </c>
      <c r="D6743" t="str">
        <f>HYPERLINK("http://service.sap.com/sap/support/notes/1685565","1685565")</f>
        <v>1685565</v>
      </c>
      <c r="E6743">
        <v>1</v>
      </c>
      <c r="F6743" t="s">
        <v>5870</v>
      </c>
    </row>
    <row r="6744" spans="1:6" x14ac:dyDescent="0.25">
      <c r="A6744" t="s">
        <v>5829</v>
      </c>
      <c r="B6744" t="s">
        <v>446</v>
      </c>
      <c r="C6744" t="s">
        <v>447</v>
      </c>
      <c r="D6744" t="str">
        <f>HYPERLINK("http://service.sap.com/sap/support/notes/1666539","1666539")</f>
        <v>1666539</v>
      </c>
      <c r="E6744">
        <v>2</v>
      </c>
      <c r="F6744" t="s">
        <v>5871</v>
      </c>
    </row>
    <row r="6745" spans="1:6" x14ac:dyDescent="0.25">
      <c r="A6745" t="s">
        <v>5829</v>
      </c>
      <c r="B6745" t="s">
        <v>446</v>
      </c>
      <c r="C6745" t="s">
        <v>447</v>
      </c>
      <c r="D6745" t="str">
        <f>HYPERLINK("http://service.sap.com/sap/support/notes/1676560","1676560")</f>
        <v>1676560</v>
      </c>
      <c r="E6745">
        <v>2</v>
      </c>
      <c r="F6745" t="s">
        <v>5872</v>
      </c>
    </row>
    <row r="6746" spans="1:6" x14ac:dyDescent="0.25">
      <c r="A6746" t="s">
        <v>5829</v>
      </c>
      <c r="B6746" t="s">
        <v>446</v>
      </c>
      <c r="C6746" t="s">
        <v>447</v>
      </c>
      <c r="D6746" t="str">
        <f>HYPERLINK("http://service.sap.com/sap/support/notes/1677076","1677076")</f>
        <v>1677076</v>
      </c>
      <c r="E6746">
        <v>1</v>
      </c>
      <c r="F6746" t="s">
        <v>5873</v>
      </c>
    </row>
    <row r="6747" spans="1:6" x14ac:dyDescent="0.25">
      <c r="A6747" t="s">
        <v>5829</v>
      </c>
      <c r="B6747" t="s">
        <v>446</v>
      </c>
      <c r="C6747" t="s">
        <v>447</v>
      </c>
      <c r="D6747" t="str">
        <f>HYPERLINK("http://service.sap.com/sap/support/notes/1677854","1677854")</f>
        <v>1677854</v>
      </c>
      <c r="E6747">
        <v>2</v>
      </c>
      <c r="F6747" t="s">
        <v>5874</v>
      </c>
    </row>
    <row r="6748" spans="1:6" x14ac:dyDescent="0.25">
      <c r="A6748" t="s">
        <v>5829</v>
      </c>
      <c r="B6748" t="s">
        <v>446</v>
      </c>
      <c r="C6748" t="s">
        <v>447</v>
      </c>
      <c r="D6748" t="str">
        <f>HYPERLINK("http://service.sap.com/sap/support/notes/1677954","1677954")</f>
        <v>1677954</v>
      </c>
      <c r="E6748">
        <v>2</v>
      </c>
      <c r="F6748" t="s">
        <v>5875</v>
      </c>
    </row>
    <row r="6749" spans="1:6" x14ac:dyDescent="0.25">
      <c r="A6749" t="s">
        <v>5829</v>
      </c>
      <c r="B6749" t="s">
        <v>446</v>
      </c>
      <c r="C6749" t="s">
        <v>447</v>
      </c>
      <c r="D6749" t="str">
        <f>HYPERLINK("http://service.sap.com/sap/support/notes/1678846","1678846")</f>
        <v>1678846</v>
      </c>
      <c r="E6749">
        <v>1</v>
      </c>
      <c r="F6749" t="s">
        <v>5876</v>
      </c>
    </row>
    <row r="6750" spans="1:6" x14ac:dyDescent="0.25">
      <c r="A6750" t="s">
        <v>5829</v>
      </c>
      <c r="B6750" t="s">
        <v>446</v>
      </c>
      <c r="C6750" t="s">
        <v>447</v>
      </c>
      <c r="D6750" t="str">
        <f>HYPERLINK("http://service.sap.com/sap/support/notes/1679208","1679208")</f>
        <v>1679208</v>
      </c>
      <c r="E6750">
        <v>2</v>
      </c>
      <c r="F6750" t="s">
        <v>5877</v>
      </c>
    </row>
    <row r="6751" spans="1:6" x14ac:dyDescent="0.25">
      <c r="A6751" t="s">
        <v>5829</v>
      </c>
      <c r="B6751" t="s">
        <v>446</v>
      </c>
      <c r="C6751" t="s">
        <v>447</v>
      </c>
      <c r="D6751" t="str">
        <f>HYPERLINK("http://service.sap.com/sap/support/notes/1679768","1679768")</f>
        <v>1679768</v>
      </c>
      <c r="E6751">
        <v>3</v>
      </c>
      <c r="F6751" t="s">
        <v>5878</v>
      </c>
    </row>
    <row r="6752" spans="1:6" x14ac:dyDescent="0.25">
      <c r="A6752" t="s">
        <v>5829</v>
      </c>
      <c r="B6752" t="s">
        <v>446</v>
      </c>
      <c r="C6752" t="s">
        <v>447</v>
      </c>
      <c r="D6752" t="str">
        <f>HYPERLINK("http://service.sap.com/sap/support/notes/1680362","1680362")</f>
        <v>1680362</v>
      </c>
      <c r="E6752">
        <v>1</v>
      </c>
      <c r="F6752" t="s">
        <v>5879</v>
      </c>
    </row>
    <row r="6753" spans="1:6" x14ac:dyDescent="0.25">
      <c r="A6753" t="s">
        <v>5829</v>
      </c>
      <c r="B6753" t="s">
        <v>446</v>
      </c>
      <c r="C6753" t="s">
        <v>447</v>
      </c>
      <c r="D6753" t="str">
        <f>HYPERLINK("http://service.sap.com/sap/support/notes/1680765","1680765")</f>
        <v>1680765</v>
      </c>
      <c r="E6753">
        <v>2</v>
      </c>
      <c r="F6753" t="s">
        <v>5880</v>
      </c>
    </row>
    <row r="6754" spans="1:6" x14ac:dyDescent="0.25">
      <c r="A6754" t="s">
        <v>5829</v>
      </c>
      <c r="B6754" t="s">
        <v>446</v>
      </c>
      <c r="C6754" t="s">
        <v>447</v>
      </c>
      <c r="D6754" t="str">
        <f>HYPERLINK("http://service.sap.com/sap/support/notes/1683852","1683852")</f>
        <v>1683852</v>
      </c>
      <c r="E6754">
        <v>2</v>
      </c>
      <c r="F6754" t="s">
        <v>5881</v>
      </c>
    </row>
    <row r="6755" spans="1:6" x14ac:dyDescent="0.25">
      <c r="A6755" t="s">
        <v>5829</v>
      </c>
      <c r="B6755" t="s">
        <v>446</v>
      </c>
      <c r="C6755" t="s">
        <v>447</v>
      </c>
      <c r="D6755" t="str">
        <f>HYPERLINK("http://service.sap.com/sap/support/notes/1684543","1684543")</f>
        <v>1684543</v>
      </c>
      <c r="E6755">
        <v>1</v>
      </c>
      <c r="F6755" t="s">
        <v>5882</v>
      </c>
    </row>
    <row r="6756" spans="1:6" x14ac:dyDescent="0.25">
      <c r="A6756" t="s">
        <v>5829</v>
      </c>
      <c r="B6756" t="s">
        <v>446</v>
      </c>
      <c r="C6756" t="s">
        <v>447</v>
      </c>
      <c r="D6756" t="str">
        <f>HYPERLINK("http://service.sap.com/sap/support/notes/1685734","1685734")</f>
        <v>1685734</v>
      </c>
      <c r="E6756">
        <v>1</v>
      </c>
      <c r="F6756" t="s">
        <v>5883</v>
      </c>
    </row>
    <row r="6757" spans="1:6" x14ac:dyDescent="0.25">
      <c r="A6757" t="s">
        <v>5829</v>
      </c>
      <c r="B6757" t="s">
        <v>448</v>
      </c>
      <c r="C6757" t="s">
        <v>449</v>
      </c>
      <c r="D6757" t="str">
        <f>HYPERLINK("http://service.sap.com/sap/support/notes/1677585","1677585")</f>
        <v>1677585</v>
      </c>
      <c r="E6757">
        <v>3</v>
      </c>
      <c r="F6757" t="s">
        <v>5884</v>
      </c>
    </row>
    <row r="6758" spans="1:6" x14ac:dyDescent="0.25">
      <c r="A6758" t="s">
        <v>5829</v>
      </c>
      <c r="B6758" t="s">
        <v>448</v>
      </c>
      <c r="C6758" t="s">
        <v>449</v>
      </c>
      <c r="D6758" t="str">
        <f>HYPERLINK("http://service.sap.com/sap/support/notes/1677779","1677779")</f>
        <v>1677779</v>
      </c>
      <c r="E6758">
        <v>2</v>
      </c>
      <c r="F6758" t="s">
        <v>5885</v>
      </c>
    </row>
    <row r="6759" spans="1:6" x14ac:dyDescent="0.25">
      <c r="A6759" t="s">
        <v>5829</v>
      </c>
      <c r="B6759" t="s">
        <v>448</v>
      </c>
      <c r="C6759" t="s">
        <v>449</v>
      </c>
      <c r="D6759" t="str">
        <f>HYPERLINK("http://service.sap.com/sap/support/notes/1678035","1678035")</f>
        <v>1678035</v>
      </c>
      <c r="E6759">
        <v>1</v>
      </c>
      <c r="F6759" t="s">
        <v>5886</v>
      </c>
    </row>
    <row r="6760" spans="1:6" x14ac:dyDescent="0.25">
      <c r="A6760" t="s">
        <v>5829</v>
      </c>
      <c r="B6760" t="s">
        <v>448</v>
      </c>
      <c r="C6760" t="s">
        <v>449</v>
      </c>
      <c r="D6760" t="str">
        <f>HYPERLINK("http://service.sap.com/sap/support/notes/1678914","1678914")</f>
        <v>1678914</v>
      </c>
      <c r="E6760">
        <v>2</v>
      </c>
      <c r="F6760" t="s">
        <v>5886</v>
      </c>
    </row>
    <row r="6761" spans="1:6" x14ac:dyDescent="0.25">
      <c r="A6761" t="s">
        <v>5829</v>
      </c>
      <c r="B6761" t="s">
        <v>448</v>
      </c>
      <c r="C6761" t="s">
        <v>449</v>
      </c>
      <c r="D6761" t="str">
        <f>HYPERLINK("http://service.sap.com/sap/support/notes/1682420","1682420")</f>
        <v>1682420</v>
      </c>
      <c r="E6761">
        <v>2</v>
      </c>
      <c r="F6761" t="s">
        <v>5887</v>
      </c>
    </row>
    <row r="6762" spans="1:6" x14ac:dyDescent="0.25">
      <c r="A6762" t="s">
        <v>5829</v>
      </c>
      <c r="B6762" t="s">
        <v>448</v>
      </c>
      <c r="C6762" t="s">
        <v>449</v>
      </c>
      <c r="D6762" t="str">
        <f>HYPERLINK("http://service.sap.com/sap/support/notes/1685745","1685745")</f>
        <v>1685745</v>
      </c>
      <c r="E6762">
        <v>1</v>
      </c>
      <c r="F6762" t="s">
        <v>5888</v>
      </c>
    </row>
    <row r="6763" spans="1:6" x14ac:dyDescent="0.25">
      <c r="A6763" t="s">
        <v>5829</v>
      </c>
      <c r="B6763" t="s">
        <v>448</v>
      </c>
      <c r="C6763" t="s">
        <v>449</v>
      </c>
      <c r="D6763" t="str">
        <f>HYPERLINK("http://service.sap.com/sap/support/notes/1686153","1686153")</f>
        <v>1686153</v>
      </c>
      <c r="E6763">
        <v>2</v>
      </c>
      <c r="F6763" t="s">
        <v>5889</v>
      </c>
    </row>
    <row r="6764" spans="1:6" x14ac:dyDescent="0.25">
      <c r="A6764" t="s">
        <v>5829</v>
      </c>
      <c r="B6764" t="s">
        <v>453</v>
      </c>
      <c r="C6764" t="s">
        <v>454</v>
      </c>
      <c r="D6764" t="str">
        <f>HYPERLINK("http://service.sap.com/sap/support/notes/1676495","1676495")</f>
        <v>1676495</v>
      </c>
      <c r="E6764">
        <v>1</v>
      </c>
      <c r="F6764" t="s">
        <v>5890</v>
      </c>
    </row>
    <row r="6765" spans="1:6" x14ac:dyDescent="0.25">
      <c r="A6765" t="s">
        <v>5829</v>
      </c>
      <c r="B6765" t="s">
        <v>21</v>
      </c>
      <c r="C6765" t="s">
        <v>12</v>
      </c>
    </row>
    <row r="6766" spans="1:6" x14ac:dyDescent="0.25">
      <c r="A6766" t="s">
        <v>5829</v>
      </c>
      <c r="B6766" t="s">
        <v>378</v>
      </c>
      <c r="C6766" t="s">
        <v>379</v>
      </c>
      <c r="D6766" t="str">
        <f>HYPERLINK("http://service.sap.com/sap/support/notes/1677614","1677614")</f>
        <v>1677614</v>
      </c>
      <c r="E6766">
        <v>2</v>
      </c>
      <c r="F6766" t="s">
        <v>5891</v>
      </c>
    </row>
    <row r="6767" spans="1:6" x14ac:dyDescent="0.25">
      <c r="A6767" t="s">
        <v>5829</v>
      </c>
      <c r="B6767" t="s">
        <v>458</v>
      </c>
      <c r="C6767" t="s">
        <v>459</v>
      </c>
      <c r="D6767" t="str">
        <f>HYPERLINK("http://service.sap.com/sap/support/notes/1672868","1672868")</f>
        <v>1672868</v>
      </c>
      <c r="E6767">
        <v>2</v>
      </c>
      <c r="F6767" t="s">
        <v>5892</v>
      </c>
    </row>
    <row r="6768" spans="1:6" x14ac:dyDescent="0.25">
      <c r="A6768" t="s">
        <v>5829</v>
      </c>
      <c r="B6768" t="s">
        <v>458</v>
      </c>
      <c r="C6768" t="s">
        <v>459</v>
      </c>
      <c r="D6768" t="str">
        <f>HYPERLINK("http://service.sap.com/sap/support/notes/1678463","1678463")</f>
        <v>1678463</v>
      </c>
      <c r="E6768">
        <v>1</v>
      </c>
      <c r="F6768" t="s">
        <v>5893</v>
      </c>
    </row>
    <row r="6769" spans="1:6" x14ac:dyDescent="0.25">
      <c r="A6769" t="s">
        <v>5829</v>
      </c>
      <c r="B6769" t="s">
        <v>460</v>
      </c>
      <c r="C6769" t="s">
        <v>461</v>
      </c>
      <c r="D6769" t="str">
        <f>HYPERLINK("http://service.sap.com/sap/support/notes/1686311","1686311")</f>
        <v>1686311</v>
      </c>
      <c r="E6769">
        <v>2</v>
      </c>
      <c r="F6769" t="s">
        <v>5894</v>
      </c>
    </row>
    <row r="6770" spans="1:6" x14ac:dyDescent="0.25">
      <c r="A6770" t="s">
        <v>5829</v>
      </c>
      <c r="B6770" t="s">
        <v>462</v>
      </c>
      <c r="C6770" t="s">
        <v>463</v>
      </c>
      <c r="D6770" t="str">
        <f>HYPERLINK("http://service.sap.com/sap/support/notes/1638584","1638584")</f>
        <v>1638584</v>
      </c>
      <c r="E6770">
        <v>6</v>
      </c>
      <c r="F6770" t="s">
        <v>5895</v>
      </c>
    </row>
    <row r="6771" spans="1:6" x14ac:dyDescent="0.25">
      <c r="A6771" t="s">
        <v>5829</v>
      </c>
      <c r="B6771" t="s">
        <v>462</v>
      </c>
      <c r="C6771" t="s">
        <v>463</v>
      </c>
      <c r="D6771" t="str">
        <f>HYPERLINK("http://service.sap.com/sap/support/notes/1667521","1667521")</f>
        <v>1667521</v>
      </c>
      <c r="E6771">
        <v>4</v>
      </c>
      <c r="F6771" t="s">
        <v>5896</v>
      </c>
    </row>
    <row r="6772" spans="1:6" x14ac:dyDescent="0.25">
      <c r="A6772" t="s">
        <v>5829</v>
      </c>
      <c r="B6772" t="s">
        <v>462</v>
      </c>
      <c r="C6772" t="s">
        <v>463</v>
      </c>
      <c r="D6772" t="str">
        <f>HYPERLINK("http://service.sap.com/sap/support/notes/1675134","1675134")</f>
        <v>1675134</v>
      </c>
      <c r="E6772">
        <v>1</v>
      </c>
      <c r="F6772" t="s">
        <v>5897</v>
      </c>
    </row>
    <row r="6773" spans="1:6" x14ac:dyDescent="0.25">
      <c r="A6773" t="s">
        <v>5829</v>
      </c>
      <c r="B6773" t="s">
        <v>462</v>
      </c>
      <c r="C6773" t="s">
        <v>463</v>
      </c>
      <c r="D6773" t="str">
        <f>HYPERLINK("http://service.sap.com/sap/support/notes/1678952","1678952")</f>
        <v>1678952</v>
      </c>
      <c r="E6773">
        <v>1</v>
      </c>
      <c r="F6773" t="s">
        <v>5898</v>
      </c>
    </row>
    <row r="6774" spans="1:6" x14ac:dyDescent="0.25">
      <c r="A6774" t="s">
        <v>5829</v>
      </c>
      <c r="B6774" t="s">
        <v>462</v>
      </c>
      <c r="C6774" t="s">
        <v>463</v>
      </c>
      <c r="D6774" t="str">
        <f>HYPERLINK("http://service.sap.com/sap/support/notes/1679922","1679922")</f>
        <v>1679922</v>
      </c>
      <c r="E6774">
        <v>3</v>
      </c>
      <c r="F6774" t="s">
        <v>5899</v>
      </c>
    </row>
    <row r="6775" spans="1:6" x14ac:dyDescent="0.25">
      <c r="A6775" t="s">
        <v>5829</v>
      </c>
      <c r="B6775" t="s">
        <v>621</v>
      </c>
      <c r="C6775" t="s">
        <v>622</v>
      </c>
      <c r="D6775" t="str">
        <f>HYPERLINK("http://service.sap.com/sap/support/notes/1600750","1600750")</f>
        <v>1600750</v>
      </c>
      <c r="E6775">
        <v>2</v>
      </c>
      <c r="F6775" t="s">
        <v>5900</v>
      </c>
    </row>
    <row r="6776" spans="1:6" x14ac:dyDescent="0.25">
      <c r="A6776" t="s">
        <v>5829</v>
      </c>
      <c r="B6776" t="s">
        <v>623</v>
      </c>
      <c r="C6776" t="s">
        <v>624</v>
      </c>
    </row>
    <row r="6777" spans="1:6" x14ac:dyDescent="0.25">
      <c r="A6777" t="s">
        <v>5829</v>
      </c>
      <c r="B6777" t="s">
        <v>625</v>
      </c>
      <c r="C6777" t="s">
        <v>626</v>
      </c>
      <c r="D6777" t="str">
        <f>HYPERLINK("http://service.sap.com/sap/support/notes/1672648","1672648")</f>
        <v>1672648</v>
      </c>
      <c r="E6777">
        <v>1</v>
      </c>
      <c r="F6777" t="s">
        <v>5901</v>
      </c>
    </row>
    <row r="6778" spans="1:6" x14ac:dyDescent="0.25">
      <c r="A6778" t="s">
        <v>5829</v>
      </c>
      <c r="B6778" t="s">
        <v>625</v>
      </c>
      <c r="C6778" t="s">
        <v>626</v>
      </c>
      <c r="D6778" t="str">
        <f>HYPERLINK("http://service.sap.com/sap/support/notes/1679210","1679210")</f>
        <v>1679210</v>
      </c>
      <c r="E6778">
        <v>1</v>
      </c>
      <c r="F6778" t="s">
        <v>5902</v>
      </c>
    </row>
    <row r="6779" spans="1:6" x14ac:dyDescent="0.25">
      <c r="A6779" t="s">
        <v>5829</v>
      </c>
      <c r="B6779" t="s">
        <v>625</v>
      </c>
      <c r="C6779" t="s">
        <v>626</v>
      </c>
      <c r="D6779" t="str">
        <f>HYPERLINK("http://service.sap.com/sap/support/notes/1682188","1682188")</f>
        <v>1682188</v>
      </c>
      <c r="E6779">
        <v>1</v>
      </c>
      <c r="F6779" t="s">
        <v>5903</v>
      </c>
    </row>
    <row r="6780" spans="1:6" x14ac:dyDescent="0.25">
      <c r="A6780" t="s">
        <v>5829</v>
      </c>
      <c r="B6780" t="s">
        <v>625</v>
      </c>
      <c r="C6780" t="s">
        <v>626</v>
      </c>
      <c r="D6780" t="str">
        <f>HYPERLINK("http://service.sap.com/sap/support/notes/1684836","1684836")</f>
        <v>1684836</v>
      </c>
      <c r="E6780">
        <v>1</v>
      </c>
      <c r="F6780" t="s">
        <v>5904</v>
      </c>
    </row>
    <row r="6781" spans="1:6" x14ac:dyDescent="0.25">
      <c r="A6781" t="s">
        <v>5829</v>
      </c>
      <c r="B6781" t="s">
        <v>29</v>
      </c>
      <c r="C6781" t="s">
        <v>30</v>
      </c>
    </row>
    <row r="6782" spans="1:6" x14ac:dyDescent="0.25">
      <c r="A6782" t="s">
        <v>5829</v>
      </c>
      <c r="B6782" t="s">
        <v>682</v>
      </c>
      <c r="C6782" t="s">
        <v>84</v>
      </c>
      <c r="D6782" t="str">
        <f>HYPERLINK("http://service.sap.com/sap/support/notes/1679633","1679633")</f>
        <v>1679633</v>
      </c>
      <c r="E6782">
        <v>1</v>
      </c>
      <c r="F6782" t="s">
        <v>5572</v>
      </c>
    </row>
    <row r="6783" spans="1:6" x14ac:dyDescent="0.25">
      <c r="A6783" t="s">
        <v>5829</v>
      </c>
      <c r="B6783" t="s">
        <v>33</v>
      </c>
      <c r="C6783" t="s">
        <v>34</v>
      </c>
      <c r="D6783" t="str">
        <f>HYPERLINK("http://service.sap.com/sap/support/notes/1680795","1680795")</f>
        <v>1680795</v>
      </c>
      <c r="E6783">
        <v>1</v>
      </c>
      <c r="F6783" t="s">
        <v>5905</v>
      </c>
    </row>
    <row r="6784" spans="1:6" x14ac:dyDescent="0.25">
      <c r="A6784" t="s">
        <v>5829</v>
      </c>
      <c r="B6784" t="s">
        <v>33</v>
      </c>
      <c r="C6784" t="s">
        <v>34</v>
      </c>
      <c r="D6784" t="str">
        <f>HYPERLINK("http://service.sap.com/sap/support/notes/1682855","1682855")</f>
        <v>1682855</v>
      </c>
      <c r="E6784">
        <v>1</v>
      </c>
      <c r="F6784" t="s">
        <v>2470</v>
      </c>
    </row>
    <row r="6785" spans="1:6" x14ac:dyDescent="0.25">
      <c r="A6785" t="s">
        <v>5829</v>
      </c>
      <c r="B6785" t="s">
        <v>35</v>
      </c>
      <c r="C6785" t="s">
        <v>36</v>
      </c>
      <c r="D6785" t="str">
        <f>HYPERLINK("http://service.sap.com/sap/support/notes/1632904","1632904")</f>
        <v>1632904</v>
      </c>
      <c r="E6785">
        <v>1</v>
      </c>
      <c r="F6785" t="s">
        <v>5234</v>
      </c>
    </row>
    <row r="6786" spans="1:6" x14ac:dyDescent="0.25">
      <c r="A6786" t="s">
        <v>5829</v>
      </c>
      <c r="B6786" t="s">
        <v>41</v>
      </c>
      <c r="C6786" t="s">
        <v>42</v>
      </c>
      <c r="D6786" t="str">
        <f>HYPERLINK("http://service.sap.com/sap/support/notes/1657944","1657944")</f>
        <v>1657944</v>
      </c>
      <c r="E6786">
        <v>1</v>
      </c>
      <c r="F6786" t="s">
        <v>5906</v>
      </c>
    </row>
    <row r="6787" spans="1:6" x14ac:dyDescent="0.25">
      <c r="A6787" t="s">
        <v>5829</v>
      </c>
      <c r="B6787" t="s">
        <v>43</v>
      </c>
      <c r="C6787" t="s">
        <v>44</v>
      </c>
      <c r="D6787" t="str">
        <f>HYPERLINK("http://service.sap.com/sap/support/notes/1665593","1665593")</f>
        <v>1665593</v>
      </c>
      <c r="E6787">
        <v>3</v>
      </c>
      <c r="F6787" t="s">
        <v>5907</v>
      </c>
    </row>
    <row r="6788" spans="1:6" x14ac:dyDescent="0.25">
      <c r="A6788" t="s">
        <v>5829</v>
      </c>
      <c r="B6788" t="s">
        <v>43</v>
      </c>
      <c r="C6788" t="s">
        <v>44</v>
      </c>
      <c r="D6788" t="str">
        <f>HYPERLINK("http://service.sap.com/sap/support/notes/1684528","1684528")</f>
        <v>1684528</v>
      </c>
      <c r="E6788">
        <v>4</v>
      </c>
      <c r="F6788" t="s">
        <v>5908</v>
      </c>
    </row>
    <row r="6789" spans="1:6" x14ac:dyDescent="0.25">
      <c r="A6789" t="s">
        <v>5829</v>
      </c>
      <c r="B6789" t="s">
        <v>46</v>
      </c>
      <c r="C6789" t="s">
        <v>47</v>
      </c>
      <c r="D6789" t="str">
        <f>HYPERLINK("http://service.sap.com/sap/support/notes/1586528","1586528")</f>
        <v>1586528</v>
      </c>
      <c r="E6789">
        <v>4</v>
      </c>
      <c r="F6789" t="s">
        <v>5909</v>
      </c>
    </row>
    <row r="6790" spans="1:6" x14ac:dyDescent="0.25">
      <c r="A6790" t="s">
        <v>5829</v>
      </c>
      <c r="B6790" t="s">
        <v>256</v>
      </c>
      <c r="C6790" t="s">
        <v>165</v>
      </c>
      <c r="D6790" t="str">
        <f>HYPERLINK("http://service.sap.com/sap/support/notes/1682368","1682368")</f>
        <v>1682368</v>
      </c>
      <c r="E6790">
        <v>3</v>
      </c>
      <c r="F6790" t="s">
        <v>5910</v>
      </c>
    </row>
    <row r="6791" spans="1:6" x14ac:dyDescent="0.25">
      <c r="A6791" t="s">
        <v>5829</v>
      </c>
      <c r="B6791" t="s">
        <v>57</v>
      </c>
      <c r="C6791" t="s">
        <v>58</v>
      </c>
      <c r="D6791" t="str">
        <f>HYPERLINK("http://service.sap.com/sap/support/notes/1672143","1672143")</f>
        <v>1672143</v>
      </c>
      <c r="E6791">
        <v>1</v>
      </c>
      <c r="F6791" t="s">
        <v>2487</v>
      </c>
    </row>
    <row r="6792" spans="1:6" x14ac:dyDescent="0.25">
      <c r="A6792" t="s">
        <v>5829</v>
      </c>
      <c r="B6792" t="s">
        <v>57</v>
      </c>
      <c r="C6792" t="s">
        <v>58</v>
      </c>
      <c r="D6792" t="str">
        <f>HYPERLINK("http://service.sap.com/sap/support/notes/1678070","1678070")</f>
        <v>1678070</v>
      </c>
      <c r="E6792">
        <v>2</v>
      </c>
      <c r="F6792" t="s">
        <v>5911</v>
      </c>
    </row>
    <row r="6793" spans="1:6" x14ac:dyDescent="0.25">
      <c r="A6793" t="s">
        <v>5829</v>
      </c>
      <c r="B6793" t="s">
        <v>59</v>
      </c>
      <c r="C6793" t="s">
        <v>60</v>
      </c>
      <c r="D6793" t="str">
        <f>HYPERLINK("http://service.sap.com/sap/support/notes/1670937","1670937")</f>
        <v>1670937</v>
      </c>
      <c r="E6793">
        <v>1</v>
      </c>
      <c r="F6793" t="s">
        <v>5912</v>
      </c>
    </row>
    <row r="6794" spans="1:6" x14ac:dyDescent="0.25">
      <c r="A6794" t="s">
        <v>5829</v>
      </c>
      <c r="B6794" t="s">
        <v>61</v>
      </c>
      <c r="C6794" t="s">
        <v>62</v>
      </c>
      <c r="D6794" t="str">
        <f>HYPERLINK("http://service.sap.com/sap/support/notes/1619408","1619408")</f>
        <v>1619408</v>
      </c>
      <c r="E6794">
        <v>2</v>
      </c>
      <c r="F6794" t="s">
        <v>5913</v>
      </c>
    </row>
    <row r="6795" spans="1:6" x14ac:dyDescent="0.25">
      <c r="A6795" t="s">
        <v>5829</v>
      </c>
      <c r="B6795" t="s">
        <v>261</v>
      </c>
      <c r="C6795" t="s">
        <v>262</v>
      </c>
    </row>
    <row r="6796" spans="1:6" x14ac:dyDescent="0.25">
      <c r="A6796" t="s">
        <v>5829</v>
      </c>
      <c r="B6796" t="s">
        <v>264</v>
      </c>
      <c r="C6796" t="s">
        <v>249</v>
      </c>
    </row>
    <row r="6797" spans="1:6" x14ac:dyDescent="0.25">
      <c r="A6797" t="s">
        <v>5829</v>
      </c>
      <c r="B6797" t="s">
        <v>265</v>
      </c>
      <c r="C6797" t="s">
        <v>668</v>
      </c>
      <c r="D6797" t="str">
        <f>HYPERLINK("http://service.sap.com/sap/support/notes/1671355","1671355")</f>
        <v>1671355</v>
      </c>
      <c r="E6797">
        <v>1</v>
      </c>
      <c r="F6797" t="s">
        <v>5914</v>
      </c>
    </row>
    <row r="6798" spans="1:6" x14ac:dyDescent="0.25">
      <c r="A6798" t="s">
        <v>5829</v>
      </c>
      <c r="B6798" t="s">
        <v>267</v>
      </c>
      <c r="C6798" t="s">
        <v>466</v>
      </c>
    </row>
    <row r="6799" spans="1:6" x14ac:dyDescent="0.25">
      <c r="A6799" t="s">
        <v>5829</v>
      </c>
      <c r="B6799" t="s">
        <v>268</v>
      </c>
      <c r="C6799" t="s">
        <v>467</v>
      </c>
      <c r="D6799" t="str">
        <f>HYPERLINK("http://service.sap.com/sap/support/notes/1611594","1611594")</f>
        <v>1611594</v>
      </c>
      <c r="E6799">
        <v>3</v>
      </c>
      <c r="F6799" t="s">
        <v>5915</v>
      </c>
    </row>
    <row r="6800" spans="1:6" x14ac:dyDescent="0.25">
      <c r="A6800" t="s">
        <v>5829</v>
      </c>
      <c r="B6800" t="s">
        <v>268</v>
      </c>
      <c r="C6800" t="s">
        <v>467</v>
      </c>
      <c r="D6800" t="str">
        <f>HYPERLINK("http://service.sap.com/sap/support/notes/1662365","1662365")</f>
        <v>1662365</v>
      </c>
      <c r="E6800">
        <v>1</v>
      </c>
      <c r="F6800" t="s">
        <v>5663</v>
      </c>
    </row>
    <row r="6801" spans="1:6" x14ac:dyDescent="0.25">
      <c r="A6801" t="s">
        <v>5829</v>
      </c>
      <c r="B6801" t="s">
        <v>268</v>
      </c>
      <c r="C6801" t="s">
        <v>467</v>
      </c>
      <c r="D6801" t="str">
        <f>HYPERLINK("http://service.sap.com/sap/support/notes/1684057","1684057")</f>
        <v>1684057</v>
      </c>
      <c r="E6801">
        <v>1</v>
      </c>
      <c r="F6801" t="s">
        <v>5916</v>
      </c>
    </row>
    <row r="6802" spans="1:6" x14ac:dyDescent="0.25">
      <c r="A6802" t="s">
        <v>5829</v>
      </c>
      <c r="B6802" t="s">
        <v>273</v>
      </c>
      <c r="C6802" t="s">
        <v>469</v>
      </c>
    </row>
    <row r="6803" spans="1:6" x14ac:dyDescent="0.25">
      <c r="A6803" t="s">
        <v>5829</v>
      </c>
      <c r="B6803" t="s">
        <v>274</v>
      </c>
      <c r="C6803" t="s">
        <v>470</v>
      </c>
      <c r="D6803" t="str">
        <f>HYPERLINK("http://service.sap.com/sap/support/notes/1597185","1597185")</f>
        <v>1597185</v>
      </c>
      <c r="E6803">
        <v>4</v>
      </c>
      <c r="F6803" t="s">
        <v>5486</v>
      </c>
    </row>
    <row r="6804" spans="1:6" x14ac:dyDescent="0.25">
      <c r="A6804" t="s">
        <v>5829</v>
      </c>
      <c r="B6804" t="s">
        <v>274</v>
      </c>
      <c r="C6804" t="s">
        <v>470</v>
      </c>
      <c r="D6804" t="str">
        <f>HYPERLINK("http://service.sap.com/sap/support/notes/1677894","1677894")</f>
        <v>1677894</v>
      </c>
      <c r="E6804">
        <v>1</v>
      </c>
      <c r="F6804" t="s">
        <v>5917</v>
      </c>
    </row>
    <row r="6805" spans="1:6" x14ac:dyDescent="0.25">
      <c r="A6805" t="s">
        <v>5829</v>
      </c>
      <c r="B6805" t="s">
        <v>471</v>
      </c>
      <c r="C6805" t="s">
        <v>472</v>
      </c>
      <c r="D6805" t="str">
        <f>HYPERLINK("http://service.sap.com/sap/support/notes/1655029","1655029")</f>
        <v>1655029</v>
      </c>
      <c r="E6805">
        <v>2</v>
      </c>
      <c r="F6805" t="s">
        <v>5918</v>
      </c>
    </row>
    <row r="6806" spans="1:6" x14ac:dyDescent="0.25">
      <c r="A6806" t="s">
        <v>5829</v>
      </c>
      <c r="B6806" t="s">
        <v>471</v>
      </c>
      <c r="C6806" t="s">
        <v>472</v>
      </c>
      <c r="D6806" t="str">
        <f>HYPERLINK("http://service.sap.com/sap/support/notes/1683451","1683451")</f>
        <v>1683451</v>
      </c>
      <c r="E6806">
        <v>2</v>
      </c>
      <c r="F6806" t="s">
        <v>5919</v>
      </c>
    </row>
    <row r="6807" spans="1:6" x14ac:dyDescent="0.25">
      <c r="A6807" t="s">
        <v>5829</v>
      </c>
      <c r="B6807" t="s">
        <v>421</v>
      </c>
      <c r="C6807" t="s">
        <v>363</v>
      </c>
      <c r="D6807" t="str">
        <f>HYPERLINK("http://service.sap.com/sap/support/notes/1622866","1622866")</f>
        <v>1622866</v>
      </c>
      <c r="E6807">
        <v>12</v>
      </c>
      <c r="F6807" t="s">
        <v>5792</v>
      </c>
    </row>
    <row r="6808" spans="1:6" x14ac:dyDescent="0.25">
      <c r="A6808" t="s">
        <v>5829</v>
      </c>
      <c r="B6808" t="s">
        <v>421</v>
      </c>
      <c r="C6808" t="s">
        <v>363</v>
      </c>
      <c r="D6808" t="str">
        <f>HYPERLINK("http://service.sap.com/sap/support/notes/1669769","1669769")</f>
        <v>1669769</v>
      </c>
      <c r="E6808">
        <v>2</v>
      </c>
      <c r="F6808" t="s">
        <v>5920</v>
      </c>
    </row>
    <row r="6809" spans="1:6" x14ac:dyDescent="0.25">
      <c r="A6809" t="s">
        <v>5829</v>
      </c>
      <c r="B6809" t="s">
        <v>421</v>
      </c>
      <c r="C6809" t="s">
        <v>363</v>
      </c>
      <c r="D6809" t="str">
        <f>HYPERLINK("http://service.sap.com/sap/support/notes/1679957","1679957")</f>
        <v>1679957</v>
      </c>
      <c r="E6809">
        <v>3</v>
      </c>
      <c r="F6809" t="s">
        <v>5921</v>
      </c>
    </row>
    <row r="6810" spans="1:6" x14ac:dyDescent="0.25">
      <c r="A6810" t="s">
        <v>5829</v>
      </c>
      <c r="B6810" t="s">
        <v>421</v>
      </c>
      <c r="C6810" t="s">
        <v>363</v>
      </c>
      <c r="D6810" t="str">
        <f>HYPERLINK("http://service.sap.com/sap/support/notes/1682061","1682061")</f>
        <v>1682061</v>
      </c>
      <c r="E6810">
        <v>2</v>
      </c>
      <c r="F6810" t="s">
        <v>5922</v>
      </c>
    </row>
    <row r="6811" spans="1:6" x14ac:dyDescent="0.25">
      <c r="A6811" t="s">
        <v>5829</v>
      </c>
      <c r="B6811" t="s">
        <v>474</v>
      </c>
      <c r="C6811" t="s">
        <v>475</v>
      </c>
      <c r="D6811" t="str">
        <f>HYPERLINK("http://service.sap.com/sap/support/notes/1632504","1632504")</f>
        <v>1632504</v>
      </c>
      <c r="E6811">
        <v>2</v>
      </c>
      <c r="F6811" t="s">
        <v>5923</v>
      </c>
    </row>
    <row r="6812" spans="1:6" x14ac:dyDescent="0.25">
      <c r="A6812" t="s">
        <v>5829</v>
      </c>
      <c r="B6812" t="s">
        <v>474</v>
      </c>
      <c r="C6812" t="s">
        <v>475</v>
      </c>
      <c r="D6812" t="str">
        <f>HYPERLINK("http://service.sap.com/sap/support/notes/1659322","1659322")</f>
        <v>1659322</v>
      </c>
      <c r="E6812">
        <v>2</v>
      </c>
      <c r="F6812" t="s">
        <v>5924</v>
      </c>
    </row>
    <row r="6813" spans="1:6" x14ac:dyDescent="0.25">
      <c r="A6813" t="s">
        <v>5829</v>
      </c>
      <c r="B6813" t="s">
        <v>474</v>
      </c>
      <c r="C6813" t="s">
        <v>475</v>
      </c>
      <c r="D6813" t="str">
        <f>HYPERLINK("http://service.sap.com/sap/support/notes/1670463","1670463")</f>
        <v>1670463</v>
      </c>
      <c r="E6813">
        <v>1</v>
      </c>
      <c r="F6813" t="s">
        <v>5925</v>
      </c>
    </row>
    <row r="6814" spans="1:6" x14ac:dyDescent="0.25">
      <c r="A6814" t="s">
        <v>5829</v>
      </c>
      <c r="B6814" t="s">
        <v>474</v>
      </c>
      <c r="C6814" t="s">
        <v>475</v>
      </c>
      <c r="D6814" t="str">
        <f>HYPERLINK("http://service.sap.com/sap/support/notes/1671831","1671831")</f>
        <v>1671831</v>
      </c>
      <c r="E6814">
        <v>1</v>
      </c>
      <c r="F6814" t="s">
        <v>5797</v>
      </c>
    </row>
    <row r="6815" spans="1:6" x14ac:dyDescent="0.25">
      <c r="A6815" t="s">
        <v>5829</v>
      </c>
      <c r="B6815" t="s">
        <v>474</v>
      </c>
      <c r="C6815" t="s">
        <v>475</v>
      </c>
      <c r="D6815" t="str">
        <f>HYPERLINK("http://service.sap.com/sap/support/notes/1672641","1672641")</f>
        <v>1672641</v>
      </c>
      <c r="E6815">
        <v>1</v>
      </c>
      <c r="F6815" t="s">
        <v>5798</v>
      </c>
    </row>
    <row r="6816" spans="1:6" x14ac:dyDescent="0.25">
      <c r="A6816" t="s">
        <v>5829</v>
      </c>
      <c r="B6816" t="s">
        <v>474</v>
      </c>
      <c r="C6816" t="s">
        <v>475</v>
      </c>
      <c r="D6816" t="str">
        <f>HYPERLINK("http://service.sap.com/sap/support/notes/1677344","1677344")</f>
        <v>1677344</v>
      </c>
      <c r="E6816">
        <v>2</v>
      </c>
      <c r="F6816" t="s">
        <v>5926</v>
      </c>
    </row>
    <row r="6817" spans="1:6" x14ac:dyDescent="0.25">
      <c r="A6817" t="s">
        <v>5829</v>
      </c>
      <c r="B6817" t="s">
        <v>474</v>
      </c>
      <c r="C6817" t="s">
        <v>475</v>
      </c>
      <c r="D6817" t="str">
        <f>HYPERLINK("http://service.sap.com/sap/support/notes/1677349","1677349")</f>
        <v>1677349</v>
      </c>
      <c r="E6817">
        <v>1</v>
      </c>
      <c r="F6817" t="s">
        <v>5927</v>
      </c>
    </row>
    <row r="6818" spans="1:6" x14ac:dyDescent="0.25">
      <c r="A6818" t="s">
        <v>5829</v>
      </c>
      <c r="B6818" t="s">
        <v>474</v>
      </c>
      <c r="C6818" t="s">
        <v>475</v>
      </c>
      <c r="D6818" t="str">
        <f>HYPERLINK("http://service.sap.com/sap/support/notes/1678232","1678232")</f>
        <v>1678232</v>
      </c>
      <c r="E6818">
        <v>1</v>
      </c>
      <c r="F6818" t="s">
        <v>5928</v>
      </c>
    </row>
    <row r="6819" spans="1:6" x14ac:dyDescent="0.25">
      <c r="A6819" t="s">
        <v>5829</v>
      </c>
      <c r="B6819" t="s">
        <v>474</v>
      </c>
      <c r="C6819" t="s">
        <v>475</v>
      </c>
      <c r="D6819" t="str">
        <f>HYPERLINK("http://service.sap.com/sap/support/notes/1684438","1684438")</f>
        <v>1684438</v>
      </c>
      <c r="E6819">
        <v>1</v>
      </c>
      <c r="F6819" t="s">
        <v>5929</v>
      </c>
    </row>
    <row r="6820" spans="1:6" x14ac:dyDescent="0.25">
      <c r="A6820" t="s">
        <v>5829</v>
      </c>
      <c r="B6820" t="s">
        <v>474</v>
      </c>
      <c r="C6820" t="s">
        <v>475</v>
      </c>
      <c r="D6820" t="str">
        <f>HYPERLINK("http://service.sap.com/sap/support/notes/1684586","1684586")</f>
        <v>1684586</v>
      </c>
      <c r="E6820">
        <v>1</v>
      </c>
      <c r="F6820" t="s">
        <v>5930</v>
      </c>
    </row>
    <row r="6821" spans="1:6" x14ac:dyDescent="0.25">
      <c r="A6821" t="s">
        <v>5829</v>
      </c>
      <c r="B6821" t="s">
        <v>72</v>
      </c>
      <c r="C6821" t="s">
        <v>73</v>
      </c>
    </row>
    <row r="6822" spans="1:6" x14ac:dyDescent="0.25">
      <c r="A6822" t="s">
        <v>5829</v>
      </c>
      <c r="B6822" t="s">
        <v>364</v>
      </c>
      <c r="C6822" t="s">
        <v>365</v>
      </c>
      <c r="D6822" t="str">
        <f>HYPERLINK("http://service.sap.com/sap/support/notes/1636052","1636052")</f>
        <v>1636052</v>
      </c>
      <c r="E6822">
        <v>1</v>
      </c>
      <c r="F6822" t="s">
        <v>5931</v>
      </c>
    </row>
    <row r="6823" spans="1:6" x14ac:dyDescent="0.25">
      <c r="A6823" t="s">
        <v>5829</v>
      </c>
      <c r="B6823" t="s">
        <v>281</v>
      </c>
      <c r="C6823" t="s">
        <v>368</v>
      </c>
    </row>
    <row r="6824" spans="1:6" x14ac:dyDescent="0.25">
      <c r="A6824" t="s">
        <v>5829</v>
      </c>
      <c r="B6824" t="s">
        <v>566</v>
      </c>
      <c r="C6824" t="s">
        <v>567</v>
      </c>
      <c r="D6824" t="str">
        <f>HYPERLINK("http://service.sap.com/sap/support/notes/1632873","1632873")</f>
        <v>1632873</v>
      </c>
      <c r="E6824">
        <v>3</v>
      </c>
      <c r="F6824" t="s">
        <v>5932</v>
      </c>
    </row>
    <row r="6825" spans="1:6" x14ac:dyDescent="0.25">
      <c r="A6825" t="s">
        <v>5829</v>
      </c>
      <c r="B6825" t="s">
        <v>476</v>
      </c>
      <c r="C6825" t="s">
        <v>477</v>
      </c>
      <c r="D6825" t="str">
        <f>HYPERLINK("http://service.sap.com/sap/support/notes/1682403","1682403")</f>
        <v>1682403</v>
      </c>
      <c r="E6825">
        <v>1</v>
      </c>
      <c r="F6825" t="s">
        <v>5933</v>
      </c>
    </row>
    <row r="6826" spans="1:6" x14ac:dyDescent="0.25">
      <c r="A6826" t="s">
        <v>5829</v>
      </c>
      <c r="B6826" t="s">
        <v>282</v>
      </c>
      <c r="C6826" t="s">
        <v>369</v>
      </c>
      <c r="D6826" t="str">
        <f>HYPERLINK("http://service.sap.com/sap/support/notes/1625069","1625069")</f>
        <v>1625069</v>
      </c>
      <c r="E6826">
        <v>3</v>
      </c>
      <c r="F6826" t="s">
        <v>5934</v>
      </c>
    </row>
    <row r="6827" spans="1:6" x14ac:dyDescent="0.25">
      <c r="A6827" t="s">
        <v>5829</v>
      </c>
      <c r="B6827" t="s">
        <v>282</v>
      </c>
      <c r="C6827" t="s">
        <v>369</v>
      </c>
      <c r="D6827" t="str">
        <f>HYPERLINK("http://service.sap.com/sap/support/notes/1631596","1631596")</f>
        <v>1631596</v>
      </c>
      <c r="E6827">
        <v>4</v>
      </c>
      <c r="F6827" t="s">
        <v>5935</v>
      </c>
    </row>
    <row r="6828" spans="1:6" x14ac:dyDescent="0.25">
      <c r="A6828" t="s">
        <v>5829</v>
      </c>
      <c r="B6828" t="s">
        <v>282</v>
      </c>
      <c r="C6828" t="s">
        <v>369</v>
      </c>
      <c r="D6828" t="str">
        <f>HYPERLINK("http://service.sap.com/sap/support/notes/1637993","1637993")</f>
        <v>1637993</v>
      </c>
      <c r="E6828">
        <v>2</v>
      </c>
      <c r="F6828" t="s">
        <v>5936</v>
      </c>
    </row>
    <row r="6829" spans="1:6" x14ac:dyDescent="0.25">
      <c r="A6829" t="s">
        <v>5829</v>
      </c>
      <c r="B6829" t="s">
        <v>282</v>
      </c>
      <c r="C6829" t="s">
        <v>369</v>
      </c>
      <c r="D6829" t="str">
        <f>HYPERLINK("http://service.sap.com/sap/support/notes/1638025","1638025")</f>
        <v>1638025</v>
      </c>
      <c r="E6829">
        <v>1</v>
      </c>
      <c r="F6829" t="s">
        <v>5937</v>
      </c>
    </row>
    <row r="6830" spans="1:6" x14ac:dyDescent="0.25">
      <c r="A6830" t="s">
        <v>5829</v>
      </c>
      <c r="B6830" t="s">
        <v>282</v>
      </c>
      <c r="C6830" t="s">
        <v>369</v>
      </c>
      <c r="D6830" t="str">
        <f>HYPERLINK("http://service.sap.com/sap/support/notes/1639919","1639919")</f>
        <v>1639919</v>
      </c>
      <c r="E6830">
        <v>2</v>
      </c>
      <c r="F6830" t="s">
        <v>5359</v>
      </c>
    </row>
    <row r="6831" spans="1:6" x14ac:dyDescent="0.25">
      <c r="A6831" t="s">
        <v>5829</v>
      </c>
      <c r="B6831" t="s">
        <v>282</v>
      </c>
      <c r="C6831" t="s">
        <v>369</v>
      </c>
      <c r="D6831" t="str">
        <f>HYPERLINK("http://service.sap.com/sap/support/notes/1647568","1647568")</f>
        <v>1647568</v>
      </c>
      <c r="E6831">
        <v>1</v>
      </c>
      <c r="F6831" t="s">
        <v>5938</v>
      </c>
    </row>
    <row r="6832" spans="1:6" x14ac:dyDescent="0.25">
      <c r="A6832" t="s">
        <v>5829</v>
      </c>
      <c r="B6832" t="s">
        <v>282</v>
      </c>
      <c r="C6832" t="s">
        <v>369</v>
      </c>
      <c r="D6832" t="str">
        <f>HYPERLINK("http://service.sap.com/sap/support/notes/1650610","1650610")</f>
        <v>1650610</v>
      </c>
      <c r="E6832">
        <v>1</v>
      </c>
      <c r="F6832" t="s">
        <v>5939</v>
      </c>
    </row>
    <row r="6833" spans="1:6" x14ac:dyDescent="0.25">
      <c r="A6833" t="s">
        <v>5829</v>
      </c>
      <c r="B6833" t="s">
        <v>282</v>
      </c>
      <c r="C6833" t="s">
        <v>369</v>
      </c>
      <c r="D6833" t="str">
        <f>HYPERLINK("http://service.sap.com/sap/support/notes/1651743","1651743")</f>
        <v>1651743</v>
      </c>
      <c r="E6833">
        <v>1</v>
      </c>
      <c r="F6833" t="s">
        <v>5940</v>
      </c>
    </row>
    <row r="6834" spans="1:6" x14ac:dyDescent="0.25">
      <c r="A6834" t="s">
        <v>5829</v>
      </c>
      <c r="B6834" t="s">
        <v>282</v>
      </c>
      <c r="C6834" t="s">
        <v>369</v>
      </c>
      <c r="D6834" t="str">
        <f>HYPERLINK("http://service.sap.com/sap/support/notes/1668233","1668233")</f>
        <v>1668233</v>
      </c>
      <c r="E6834">
        <v>1</v>
      </c>
      <c r="F6834" t="s">
        <v>5941</v>
      </c>
    </row>
    <row r="6835" spans="1:6" x14ac:dyDescent="0.25">
      <c r="A6835" t="s">
        <v>5829</v>
      </c>
      <c r="B6835" t="s">
        <v>282</v>
      </c>
      <c r="C6835" t="s">
        <v>369</v>
      </c>
      <c r="D6835" t="str">
        <f>HYPERLINK("http://service.sap.com/sap/support/notes/1676720","1676720")</f>
        <v>1676720</v>
      </c>
      <c r="E6835">
        <v>1</v>
      </c>
      <c r="F6835" t="s">
        <v>5942</v>
      </c>
    </row>
    <row r="6836" spans="1:6" x14ac:dyDescent="0.25">
      <c r="A6836" t="s">
        <v>5829</v>
      </c>
      <c r="B6836" t="s">
        <v>282</v>
      </c>
      <c r="C6836" t="s">
        <v>369</v>
      </c>
      <c r="D6836" t="str">
        <f>HYPERLINK("http://service.sap.com/sap/support/notes/1680691","1680691")</f>
        <v>1680691</v>
      </c>
      <c r="E6836">
        <v>1</v>
      </c>
      <c r="F6836" t="s">
        <v>5943</v>
      </c>
    </row>
    <row r="6837" spans="1:6" x14ac:dyDescent="0.25">
      <c r="A6837" t="s">
        <v>5829</v>
      </c>
      <c r="B6837" t="s">
        <v>282</v>
      </c>
      <c r="C6837" t="s">
        <v>369</v>
      </c>
      <c r="D6837" t="str">
        <f>HYPERLINK("http://service.sap.com/sap/support/notes/1685591","1685591")</f>
        <v>1685591</v>
      </c>
      <c r="E6837">
        <v>1</v>
      </c>
      <c r="F6837" t="s">
        <v>5944</v>
      </c>
    </row>
    <row r="6838" spans="1:6" x14ac:dyDescent="0.25">
      <c r="A6838" t="s">
        <v>5829</v>
      </c>
      <c r="B6838" t="s">
        <v>283</v>
      </c>
      <c r="C6838" t="s">
        <v>365</v>
      </c>
      <c r="D6838" t="str">
        <f>HYPERLINK("http://service.sap.com/sap/support/notes/1595218","1595218")</f>
        <v>1595218</v>
      </c>
      <c r="E6838">
        <v>2</v>
      </c>
      <c r="F6838" t="s">
        <v>5945</v>
      </c>
    </row>
    <row r="6839" spans="1:6" x14ac:dyDescent="0.25">
      <c r="A6839" t="s">
        <v>5829</v>
      </c>
      <c r="B6839" t="s">
        <v>650</v>
      </c>
      <c r="C6839" t="s">
        <v>651</v>
      </c>
      <c r="D6839" t="str">
        <f>HYPERLINK("http://service.sap.com/sap/support/notes/1662964","1662964")</f>
        <v>1662964</v>
      </c>
      <c r="E6839">
        <v>3</v>
      </c>
      <c r="F6839" t="s">
        <v>5946</v>
      </c>
    </row>
    <row r="6840" spans="1:6" x14ac:dyDescent="0.25">
      <c r="A6840" t="s">
        <v>5829</v>
      </c>
      <c r="B6840" t="s">
        <v>370</v>
      </c>
      <c r="C6840" t="s">
        <v>371</v>
      </c>
      <c r="D6840" t="str">
        <f>HYPERLINK("http://service.sap.com/sap/support/notes/1632335","1632335")</f>
        <v>1632335</v>
      </c>
      <c r="E6840">
        <v>2</v>
      </c>
      <c r="F6840" t="s">
        <v>5947</v>
      </c>
    </row>
    <row r="6841" spans="1:6" x14ac:dyDescent="0.25">
      <c r="A6841" t="s">
        <v>5829</v>
      </c>
      <c r="B6841" t="s">
        <v>284</v>
      </c>
      <c r="C6841" t="s">
        <v>393</v>
      </c>
    </row>
    <row r="6842" spans="1:6" x14ac:dyDescent="0.25">
      <c r="A6842" t="s">
        <v>5829</v>
      </c>
      <c r="B6842" t="s">
        <v>285</v>
      </c>
      <c r="C6842" t="s">
        <v>658</v>
      </c>
      <c r="D6842" t="str">
        <f>HYPERLINK("http://service.sap.com/sap/support/notes/1676415","1676415")</f>
        <v>1676415</v>
      </c>
      <c r="E6842">
        <v>1</v>
      </c>
      <c r="F6842" t="s">
        <v>5948</v>
      </c>
    </row>
    <row r="6843" spans="1:6" x14ac:dyDescent="0.25">
      <c r="A6843" t="s">
        <v>5829</v>
      </c>
      <c r="B6843" t="s">
        <v>293</v>
      </c>
      <c r="C6843" t="s">
        <v>587</v>
      </c>
    </row>
    <row r="6844" spans="1:6" x14ac:dyDescent="0.25">
      <c r="A6844" t="s">
        <v>5829</v>
      </c>
      <c r="B6844" t="s">
        <v>298</v>
      </c>
      <c r="C6844" t="s">
        <v>588</v>
      </c>
    </row>
    <row r="6845" spans="1:6" x14ac:dyDescent="0.25">
      <c r="A6845" t="s">
        <v>5829</v>
      </c>
      <c r="B6845" t="s">
        <v>589</v>
      </c>
      <c r="C6845" t="s">
        <v>443</v>
      </c>
      <c r="D6845" t="str">
        <f>HYPERLINK("http://service.sap.com/sap/support/notes/1676207","1676207")</f>
        <v>1676207</v>
      </c>
      <c r="E6845">
        <v>3</v>
      </c>
      <c r="F6845" t="s">
        <v>5949</v>
      </c>
    </row>
    <row r="6846" spans="1:6" x14ac:dyDescent="0.25">
      <c r="A6846" t="s">
        <v>5829</v>
      </c>
      <c r="B6846" t="s">
        <v>76</v>
      </c>
      <c r="C6846" t="s">
        <v>77</v>
      </c>
    </row>
    <row r="6847" spans="1:6" x14ac:dyDescent="0.25">
      <c r="A6847" t="s">
        <v>5829</v>
      </c>
      <c r="B6847" t="s">
        <v>83</v>
      </c>
      <c r="C6847" t="s">
        <v>84</v>
      </c>
      <c r="D6847" t="str">
        <f>HYPERLINK("http://service.sap.com/sap/support/notes/1676232","1676232")</f>
        <v>1676232</v>
      </c>
      <c r="E6847">
        <v>1</v>
      </c>
      <c r="F6847" t="s">
        <v>2518</v>
      </c>
    </row>
    <row r="6848" spans="1:6" x14ac:dyDescent="0.25">
      <c r="A6848" t="s">
        <v>5829</v>
      </c>
      <c r="B6848" t="s">
        <v>83</v>
      </c>
      <c r="C6848" t="s">
        <v>84</v>
      </c>
      <c r="D6848" t="str">
        <f>HYPERLINK("http://service.sap.com/sap/support/notes/1678135","1678135")</f>
        <v>1678135</v>
      </c>
      <c r="E6848">
        <v>2</v>
      </c>
      <c r="F6848" t="s">
        <v>2520</v>
      </c>
    </row>
    <row r="6849" spans="1:6" x14ac:dyDescent="0.25">
      <c r="A6849" t="s">
        <v>5829</v>
      </c>
      <c r="B6849" t="s">
        <v>86</v>
      </c>
      <c r="C6849" t="s">
        <v>87</v>
      </c>
      <c r="D6849" t="str">
        <f>HYPERLINK("http://service.sap.com/sap/support/notes/1560828","1560828")</f>
        <v>1560828</v>
      </c>
      <c r="E6849">
        <v>14</v>
      </c>
      <c r="F6849" t="s">
        <v>380</v>
      </c>
    </row>
    <row r="6850" spans="1:6" x14ac:dyDescent="0.25">
      <c r="A6850" t="s">
        <v>5829</v>
      </c>
      <c r="B6850" t="s">
        <v>86</v>
      </c>
      <c r="C6850" t="s">
        <v>87</v>
      </c>
      <c r="D6850" t="str">
        <f>HYPERLINK("http://service.sap.com/sap/support/notes/1610423","1610423")</f>
        <v>1610423</v>
      </c>
      <c r="E6850">
        <v>7</v>
      </c>
      <c r="F6850" t="s">
        <v>5950</v>
      </c>
    </row>
    <row r="6851" spans="1:6" x14ac:dyDescent="0.25">
      <c r="A6851" t="s">
        <v>5829</v>
      </c>
      <c r="B6851" t="s">
        <v>86</v>
      </c>
      <c r="C6851" t="s">
        <v>87</v>
      </c>
      <c r="D6851" t="str">
        <f>HYPERLINK("http://service.sap.com/sap/support/notes/1659758","1659758")</f>
        <v>1659758</v>
      </c>
      <c r="E6851">
        <v>1</v>
      </c>
      <c r="F6851" t="s">
        <v>2527</v>
      </c>
    </row>
    <row r="6852" spans="1:6" x14ac:dyDescent="0.25">
      <c r="A6852" t="s">
        <v>5829</v>
      </c>
      <c r="B6852" t="s">
        <v>94</v>
      </c>
      <c r="C6852" t="s">
        <v>95</v>
      </c>
      <c r="D6852" t="str">
        <f>HYPERLINK("http://service.sap.com/sap/support/notes/1679576","1679576")</f>
        <v>1679576</v>
      </c>
      <c r="E6852">
        <v>4</v>
      </c>
      <c r="F6852" t="s">
        <v>2558</v>
      </c>
    </row>
    <row r="6853" spans="1:6" x14ac:dyDescent="0.25">
      <c r="A6853" t="s">
        <v>5829</v>
      </c>
      <c r="B6853" t="s">
        <v>94</v>
      </c>
      <c r="C6853" t="s">
        <v>95</v>
      </c>
      <c r="D6853" t="str">
        <f>HYPERLINK("http://service.sap.com/sap/support/notes/1682674","1682674")</f>
        <v>1682674</v>
      </c>
      <c r="E6853">
        <v>1</v>
      </c>
      <c r="F6853" t="s">
        <v>2559</v>
      </c>
    </row>
    <row r="6854" spans="1:6" x14ac:dyDescent="0.25">
      <c r="A6854" t="s">
        <v>5829</v>
      </c>
      <c r="B6854" t="s">
        <v>306</v>
      </c>
      <c r="C6854" t="s">
        <v>132</v>
      </c>
      <c r="D6854" t="str">
        <f>HYPERLINK("http://service.sap.com/sap/support/notes/1675854","1675854")</f>
        <v>1675854</v>
      </c>
      <c r="E6854">
        <v>4</v>
      </c>
      <c r="F6854" t="s">
        <v>2560</v>
      </c>
    </row>
    <row r="6855" spans="1:6" x14ac:dyDescent="0.25">
      <c r="A6855" t="s">
        <v>5829</v>
      </c>
      <c r="B6855" t="s">
        <v>306</v>
      </c>
      <c r="C6855" t="s">
        <v>132</v>
      </c>
      <c r="D6855" t="str">
        <f>HYPERLINK("http://service.sap.com/sap/support/notes/1680635","1680635")</f>
        <v>1680635</v>
      </c>
      <c r="E6855">
        <v>2</v>
      </c>
      <c r="F6855" t="s">
        <v>2562</v>
      </c>
    </row>
    <row r="6856" spans="1:6" x14ac:dyDescent="0.25">
      <c r="A6856" t="s">
        <v>5829</v>
      </c>
      <c r="B6856" t="s">
        <v>152</v>
      </c>
      <c r="C6856" t="s">
        <v>47</v>
      </c>
      <c r="D6856" t="str">
        <f>HYPERLINK("http://service.sap.com/sap/support/notes/1683389","1683389")</f>
        <v>1683389</v>
      </c>
      <c r="E6856">
        <v>2</v>
      </c>
      <c r="F6856" t="s">
        <v>5951</v>
      </c>
    </row>
    <row r="6857" spans="1:6" x14ac:dyDescent="0.25">
      <c r="A6857" t="s">
        <v>5829</v>
      </c>
      <c r="B6857" t="s">
        <v>153</v>
      </c>
      <c r="C6857" t="s">
        <v>154</v>
      </c>
      <c r="D6857" t="str">
        <f>HYPERLINK("http://service.sap.com/sap/support/notes/1378818","1378818")</f>
        <v>1378818</v>
      </c>
      <c r="E6857">
        <v>1</v>
      </c>
      <c r="F6857" t="s">
        <v>5537</v>
      </c>
    </row>
    <row r="6858" spans="1:6" x14ac:dyDescent="0.25">
      <c r="A6858" t="s">
        <v>5829</v>
      </c>
      <c r="B6858" t="s">
        <v>153</v>
      </c>
      <c r="C6858" t="s">
        <v>154</v>
      </c>
      <c r="D6858" t="str">
        <f>HYPERLINK("http://service.sap.com/sap/support/notes/1627413","1627413")</f>
        <v>1627413</v>
      </c>
      <c r="E6858">
        <v>3</v>
      </c>
      <c r="F6858" t="s">
        <v>5952</v>
      </c>
    </row>
    <row r="6859" spans="1:6" x14ac:dyDescent="0.25">
      <c r="A6859" t="s">
        <v>5829</v>
      </c>
      <c r="B6859" t="s">
        <v>153</v>
      </c>
      <c r="C6859" t="s">
        <v>154</v>
      </c>
      <c r="D6859" t="str">
        <f>HYPERLINK("http://service.sap.com/sap/support/notes/1669466","1669466")</f>
        <v>1669466</v>
      </c>
      <c r="E6859">
        <v>1</v>
      </c>
      <c r="F6859" t="s">
        <v>5953</v>
      </c>
    </row>
    <row r="6860" spans="1:6" x14ac:dyDescent="0.25">
      <c r="A6860" t="s">
        <v>5829</v>
      </c>
      <c r="B6860" t="s">
        <v>153</v>
      </c>
      <c r="C6860" t="s">
        <v>154</v>
      </c>
      <c r="D6860" t="str">
        <f>HYPERLINK("http://service.sap.com/sap/support/notes/1673693","1673693")</f>
        <v>1673693</v>
      </c>
      <c r="E6860">
        <v>2</v>
      </c>
      <c r="F6860" t="s">
        <v>5954</v>
      </c>
    </row>
    <row r="6861" spans="1:6" x14ac:dyDescent="0.25">
      <c r="A6861" t="s">
        <v>5829</v>
      </c>
      <c r="B6861" t="s">
        <v>175</v>
      </c>
      <c r="C6861" t="s">
        <v>176</v>
      </c>
      <c r="D6861" t="str">
        <f>HYPERLINK("http://service.sap.com/sap/support/notes/1663822","1663822")</f>
        <v>1663822</v>
      </c>
      <c r="E6861">
        <v>1</v>
      </c>
      <c r="F6861" t="s">
        <v>5572</v>
      </c>
    </row>
    <row r="6862" spans="1:6" x14ac:dyDescent="0.25">
      <c r="A6862" t="s">
        <v>5829</v>
      </c>
      <c r="B6862" t="s">
        <v>179</v>
      </c>
      <c r="C6862" t="s">
        <v>180</v>
      </c>
      <c r="D6862" t="str">
        <f>HYPERLINK("http://service.sap.com/sap/support/notes/1677133","1677133")</f>
        <v>1677133</v>
      </c>
      <c r="E6862">
        <v>2</v>
      </c>
      <c r="F6862" t="s">
        <v>2789</v>
      </c>
    </row>
    <row r="6863" spans="1:6" x14ac:dyDescent="0.25">
      <c r="A6863" t="s">
        <v>5829</v>
      </c>
      <c r="B6863" t="s">
        <v>189</v>
      </c>
      <c r="C6863" t="s">
        <v>190</v>
      </c>
      <c r="D6863" t="str">
        <f>HYPERLINK("http://service.sap.com/sap/support/notes/1647118","1647118")</f>
        <v>1647118</v>
      </c>
      <c r="E6863">
        <v>1</v>
      </c>
      <c r="F6863" t="s">
        <v>5955</v>
      </c>
    </row>
    <row r="6864" spans="1:6" x14ac:dyDescent="0.25">
      <c r="A6864" t="s">
        <v>5829</v>
      </c>
      <c r="B6864" t="s">
        <v>203</v>
      </c>
      <c r="C6864" t="s">
        <v>204</v>
      </c>
    </row>
    <row r="6865" spans="1:6" x14ac:dyDescent="0.25">
      <c r="A6865" t="s">
        <v>5829</v>
      </c>
      <c r="B6865" t="s">
        <v>343</v>
      </c>
      <c r="C6865" t="s">
        <v>344</v>
      </c>
    </row>
    <row r="6866" spans="1:6" x14ac:dyDescent="0.25">
      <c r="A6866" t="s">
        <v>5829</v>
      </c>
      <c r="B6866" t="s">
        <v>662</v>
      </c>
      <c r="C6866" t="s">
        <v>663</v>
      </c>
      <c r="D6866" t="str">
        <f>HYPERLINK("http://service.sap.com/sap/support/notes/1675568","1675568")</f>
        <v>1675568</v>
      </c>
      <c r="E6866">
        <v>2</v>
      </c>
      <c r="F6866" t="s">
        <v>5956</v>
      </c>
    </row>
    <row r="6867" spans="1:6" x14ac:dyDescent="0.25">
      <c r="A6867" t="s">
        <v>5829</v>
      </c>
      <c r="B6867" t="s">
        <v>537</v>
      </c>
      <c r="C6867" t="s">
        <v>538</v>
      </c>
      <c r="D6867" t="str">
        <f>HYPERLINK("http://service.sap.com/sap/support/notes/1650119","1650119")</f>
        <v>1650119</v>
      </c>
      <c r="E6867">
        <v>3</v>
      </c>
      <c r="F6867" t="s">
        <v>5957</v>
      </c>
    </row>
    <row r="6868" spans="1:6" x14ac:dyDescent="0.25">
      <c r="A6868" t="s">
        <v>5829</v>
      </c>
      <c r="B6868" t="s">
        <v>537</v>
      </c>
      <c r="C6868" t="s">
        <v>538</v>
      </c>
      <c r="D6868" t="str">
        <f>HYPERLINK("http://service.sap.com/sap/support/notes/1678966","1678966")</f>
        <v>1678966</v>
      </c>
      <c r="E6868">
        <v>2</v>
      </c>
      <c r="F6868" t="s">
        <v>5958</v>
      </c>
    </row>
    <row r="6869" spans="1:6" x14ac:dyDescent="0.25">
      <c r="A6869" t="s">
        <v>5829</v>
      </c>
      <c r="B6869" t="s">
        <v>207</v>
      </c>
      <c r="C6869" t="s">
        <v>208</v>
      </c>
    </row>
    <row r="6870" spans="1:6" x14ac:dyDescent="0.25">
      <c r="A6870" t="s">
        <v>5829</v>
      </c>
      <c r="B6870" t="s">
        <v>209</v>
      </c>
      <c r="C6870" t="s">
        <v>210</v>
      </c>
    </row>
    <row r="6871" spans="1:6" x14ac:dyDescent="0.25">
      <c r="A6871" t="s">
        <v>5829</v>
      </c>
      <c r="B6871" t="s">
        <v>790</v>
      </c>
      <c r="C6871" t="s">
        <v>791</v>
      </c>
    </row>
    <row r="6872" spans="1:6" x14ac:dyDescent="0.25">
      <c r="A6872" t="s">
        <v>5829</v>
      </c>
      <c r="B6872" t="s">
        <v>792</v>
      </c>
      <c r="C6872" t="s">
        <v>655</v>
      </c>
      <c r="D6872" t="str">
        <f>HYPERLINK("http://service.sap.com/sap/support/notes/1679428","1679428")</f>
        <v>1679428</v>
      </c>
      <c r="E6872">
        <v>1</v>
      </c>
      <c r="F6872" t="s">
        <v>5959</v>
      </c>
    </row>
    <row r="6873" spans="1:6" x14ac:dyDescent="0.25">
      <c r="A6873" t="s">
        <v>5829</v>
      </c>
      <c r="B6873" t="s">
        <v>5247</v>
      </c>
      <c r="C6873" t="s">
        <v>5248</v>
      </c>
    </row>
    <row r="6874" spans="1:6" x14ac:dyDescent="0.25">
      <c r="A6874" t="s">
        <v>5829</v>
      </c>
      <c r="B6874" t="s">
        <v>5249</v>
      </c>
      <c r="C6874" t="s">
        <v>655</v>
      </c>
      <c r="D6874" t="str">
        <f>HYPERLINK("http://service.sap.com/sap/support/notes/1675459","1675459")</f>
        <v>1675459</v>
      </c>
      <c r="E6874">
        <v>1</v>
      </c>
      <c r="F6874" t="s">
        <v>5960</v>
      </c>
    </row>
    <row r="6875" spans="1:6" x14ac:dyDescent="0.25">
      <c r="A6875" t="s">
        <v>5829</v>
      </c>
      <c r="B6875" t="s">
        <v>5249</v>
      </c>
      <c r="C6875" t="s">
        <v>655</v>
      </c>
      <c r="D6875" t="str">
        <f>HYPERLINK("http://service.sap.com/sap/support/notes/1678655","1678655")</f>
        <v>1678655</v>
      </c>
      <c r="E6875">
        <v>1</v>
      </c>
      <c r="F6875" t="s">
        <v>5961</v>
      </c>
    </row>
    <row r="6876" spans="1:6" x14ac:dyDescent="0.25">
      <c r="A6876" t="s">
        <v>5829</v>
      </c>
      <c r="B6876" t="s">
        <v>5249</v>
      </c>
      <c r="C6876" t="s">
        <v>655</v>
      </c>
      <c r="D6876" t="str">
        <f>HYPERLINK("http://service.sap.com/sap/support/notes/1681525","1681525")</f>
        <v>1681525</v>
      </c>
      <c r="E6876">
        <v>2</v>
      </c>
      <c r="F6876" t="s">
        <v>5962</v>
      </c>
    </row>
    <row r="6877" spans="1:6" x14ac:dyDescent="0.25">
      <c r="A6877" t="s">
        <v>5829</v>
      </c>
      <c r="B6877" t="s">
        <v>389</v>
      </c>
      <c r="C6877" t="s">
        <v>390</v>
      </c>
    </row>
    <row r="6878" spans="1:6" x14ac:dyDescent="0.25">
      <c r="A6878" t="s">
        <v>5829</v>
      </c>
      <c r="B6878" t="s">
        <v>605</v>
      </c>
      <c r="C6878" t="s">
        <v>606</v>
      </c>
      <c r="D6878" t="str">
        <f>HYPERLINK("http://service.sap.com/sap/support/notes/1666018","1666018")</f>
        <v>1666018</v>
      </c>
      <c r="E6878">
        <v>4</v>
      </c>
      <c r="F6878" t="s">
        <v>5963</v>
      </c>
    </row>
    <row r="6879" spans="1:6" x14ac:dyDescent="0.25">
      <c r="A6879" t="s">
        <v>5964</v>
      </c>
      <c r="B6879" t="s">
        <v>5</v>
      </c>
      <c r="C6879" t="s">
        <v>6</v>
      </c>
    </row>
    <row r="6880" spans="1:6" x14ac:dyDescent="0.25">
      <c r="A6880" t="s">
        <v>5964</v>
      </c>
      <c r="B6880" t="s">
        <v>7</v>
      </c>
      <c r="C6880" t="s">
        <v>8</v>
      </c>
    </row>
    <row r="6881" spans="1:6" x14ac:dyDescent="0.25">
      <c r="A6881" t="s">
        <v>5964</v>
      </c>
      <c r="B6881" t="s">
        <v>11</v>
      </c>
      <c r="C6881" t="s">
        <v>12</v>
      </c>
    </row>
    <row r="6882" spans="1:6" x14ac:dyDescent="0.25">
      <c r="A6882" t="s">
        <v>5964</v>
      </c>
      <c r="B6882" t="s">
        <v>683</v>
      </c>
      <c r="C6882" t="s">
        <v>684</v>
      </c>
      <c r="D6882" t="str">
        <f>HYPERLINK("http://service.sap.com/sap/support/notes/1694823","1694823")</f>
        <v>1694823</v>
      </c>
      <c r="E6882">
        <v>3</v>
      </c>
      <c r="F6882" t="s">
        <v>5965</v>
      </c>
    </row>
    <row r="6883" spans="1:6" x14ac:dyDescent="0.25">
      <c r="A6883" t="s">
        <v>5964</v>
      </c>
      <c r="B6883" t="s">
        <v>220</v>
      </c>
      <c r="C6883" t="s">
        <v>435</v>
      </c>
    </row>
    <row r="6884" spans="1:6" x14ac:dyDescent="0.25">
      <c r="A6884" t="s">
        <v>5964</v>
      </c>
      <c r="B6884" t="s">
        <v>438</v>
      </c>
      <c r="C6884" t="s">
        <v>439</v>
      </c>
    </row>
    <row r="6885" spans="1:6" x14ac:dyDescent="0.25">
      <c r="A6885" t="s">
        <v>5964</v>
      </c>
      <c r="B6885" t="s">
        <v>440</v>
      </c>
      <c r="C6885" t="s">
        <v>441</v>
      </c>
    </row>
    <row r="6886" spans="1:6" x14ac:dyDescent="0.25">
      <c r="A6886" t="s">
        <v>5964</v>
      </c>
      <c r="B6886" t="s">
        <v>442</v>
      </c>
      <c r="C6886" t="s">
        <v>443</v>
      </c>
      <c r="D6886" t="str">
        <f>HYPERLINK("http://service.sap.com/sap/support/notes/1691290","1691290")</f>
        <v>1691290</v>
      </c>
      <c r="E6886">
        <v>1</v>
      </c>
      <c r="F6886" t="s">
        <v>5966</v>
      </c>
    </row>
    <row r="6887" spans="1:6" x14ac:dyDescent="0.25">
      <c r="A6887" t="s">
        <v>5964</v>
      </c>
      <c r="B6887" t="s">
        <v>442</v>
      </c>
      <c r="C6887" t="s">
        <v>443</v>
      </c>
      <c r="D6887" t="str">
        <f>HYPERLINK("http://service.sap.com/sap/support/notes/1691801","1691801")</f>
        <v>1691801</v>
      </c>
      <c r="E6887">
        <v>1</v>
      </c>
      <c r="F6887" t="s">
        <v>5967</v>
      </c>
    </row>
    <row r="6888" spans="1:6" x14ac:dyDescent="0.25">
      <c r="A6888" t="s">
        <v>5964</v>
      </c>
      <c r="B6888" t="s">
        <v>442</v>
      </c>
      <c r="C6888" t="s">
        <v>443</v>
      </c>
      <c r="D6888" t="str">
        <f>HYPERLINK("http://service.sap.com/sap/support/notes/1692380","1692380")</f>
        <v>1692380</v>
      </c>
      <c r="E6888">
        <v>1</v>
      </c>
      <c r="F6888" t="s">
        <v>5968</v>
      </c>
    </row>
    <row r="6889" spans="1:6" x14ac:dyDescent="0.25">
      <c r="A6889" t="s">
        <v>5964</v>
      </c>
      <c r="B6889" t="s">
        <v>225</v>
      </c>
      <c r="C6889" t="s">
        <v>354</v>
      </c>
    </row>
    <row r="6890" spans="1:6" x14ac:dyDescent="0.25">
      <c r="A6890" t="s">
        <v>5964</v>
      </c>
      <c r="B6890" t="s">
        <v>226</v>
      </c>
      <c r="C6890" t="s">
        <v>355</v>
      </c>
    </row>
    <row r="6891" spans="1:6" x14ac:dyDescent="0.25">
      <c r="A6891" t="s">
        <v>5964</v>
      </c>
      <c r="B6891" t="s">
        <v>227</v>
      </c>
      <c r="C6891" t="s">
        <v>356</v>
      </c>
    </row>
    <row r="6892" spans="1:6" x14ac:dyDescent="0.25">
      <c r="A6892" t="s">
        <v>5964</v>
      </c>
      <c r="B6892" t="s">
        <v>228</v>
      </c>
      <c r="C6892" t="s">
        <v>357</v>
      </c>
      <c r="D6892" t="str">
        <f>HYPERLINK("http://service.sap.com/sap/support/notes/1686593","1686593")</f>
        <v>1686593</v>
      </c>
      <c r="E6892">
        <v>1</v>
      </c>
      <c r="F6892" t="s">
        <v>5836</v>
      </c>
    </row>
    <row r="6893" spans="1:6" x14ac:dyDescent="0.25">
      <c r="A6893" t="s">
        <v>5964</v>
      </c>
      <c r="B6893" t="s">
        <v>228</v>
      </c>
      <c r="C6893" t="s">
        <v>357</v>
      </c>
      <c r="D6893" t="str">
        <f>HYPERLINK("http://service.sap.com/sap/support/notes/1693232","1693232")</f>
        <v>1693232</v>
      </c>
      <c r="E6893">
        <v>1</v>
      </c>
      <c r="F6893" t="s">
        <v>5969</v>
      </c>
    </row>
    <row r="6894" spans="1:6" x14ac:dyDescent="0.25">
      <c r="A6894" t="s">
        <v>5964</v>
      </c>
      <c r="B6894" t="s">
        <v>228</v>
      </c>
      <c r="C6894" t="s">
        <v>357</v>
      </c>
      <c r="D6894" t="str">
        <f>HYPERLINK("http://service.sap.com/sap/support/notes/1695865","1695865")</f>
        <v>1695865</v>
      </c>
      <c r="E6894">
        <v>2</v>
      </c>
      <c r="F6894" t="s">
        <v>5970</v>
      </c>
    </row>
    <row r="6895" spans="1:6" x14ac:dyDescent="0.25">
      <c r="A6895" t="s">
        <v>5964</v>
      </c>
      <c r="B6895" t="s">
        <v>15</v>
      </c>
      <c r="C6895" t="s">
        <v>16</v>
      </c>
    </row>
    <row r="6896" spans="1:6" x14ac:dyDescent="0.25">
      <c r="A6896" t="s">
        <v>5964</v>
      </c>
      <c r="B6896" t="s">
        <v>17</v>
      </c>
      <c r="C6896" t="s">
        <v>18</v>
      </c>
      <c r="D6896" t="str">
        <f>HYPERLINK("http://service.sap.com/sap/support/notes/1666022","1666022")</f>
        <v>1666022</v>
      </c>
      <c r="E6896">
        <v>2</v>
      </c>
      <c r="F6896" t="s">
        <v>5971</v>
      </c>
    </row>
    <row r="6897" spans="1:6" x14ac:dyDescent="0.25">
      <c r="A6897" t="s">
        <v>5964</v>
      </c>
      <c r="B6897" t="s">
        <v>17</v>
      </c>
      <c r="C6897" t="s">
        <v>18</v>
      </c>
      <c r="D6897" t="str">
        <f>HYPERLINK("http://service.sap.com/sap/support/notes/1687428","1687428")</f>
        <v>1687428</v>
      </c>
      <c r="E6897">
        <v>1</v>
      </c>
      <c r="F6897" t="s">
        <v>5972</v>
      </c>
    </row>
    <row r="6898" spans="1:6" x14ac:dyDescent="0.25">
      <c r="A6898" t="s">
        <v>5964</v>
      </c>
      <c r="B6898" t="s">
        <v>17</v>
      </c>
      <c r="C6898" t="s">
        <v>18</v>
      </c>
      <c r="D6898" t="str">
        <f>HYPERLINK("http://service.sap.com/sap/support/notes/1691066","1691066")</f>
        <v>1691066</v>
      </c>
      <c r="E6898">
        <v>3</v>
      </c>
      <c r="F6898" t="s">
        <v>5973</v>
      </c>
    </row>
    <row r="6899" spans="1:6" x14ac:dyDescent="0.25">
      <c r="A6899" t="s">
        <v>5964</v>
      </c>
      <c r="B6899" t="s">
        <v>17</v>
      </c>
      <c r="C6899" t="s">
        <v>18</v>
      </c>
      <c r="D6899" t="str">
        <f>HYPERLINK("http://service.sap.com/sap/support/notes/1691343","1691343")</f>
        <v>1691343</v>
      </c>
      <c r="E6899">
        <v>2</v>
      </c>
      <c r="F6899" t="s">
        <v>5974</v>
      </c>
    </row>
    <row r="6900" spans="1:6" x14ac:dyDescent="0.25">
      <c r="A6900" t="s">
        <v>5964</v>
      </c>
      <c r="B6900" t="s">
        <v>17</v>
      </c>
      <c r="C6900" t="s">
        <v>18</v>
      </c>
      <c r="D6900" t="str">
        <f>HYPERLINK("http://service.sap.com/sap/support/notes/1695747","1695747")</f>
        <v>1695747</v>
      </c>
      <c r="E6900">
        <v>2</v>
      </c>
      <c r="F6900" t="s">
        <v>5975</v>
      </c>
    </row>
    <row r="6901" spans="1:6" x14ac:dyDescent="0.25">
      <c r="A6901" t="s">
        <v>5964</v>
      </c>
      <c r="B6901" t="s">
        <v>17</v>
      </c>
      <c r="C6901" t="s">
        <v>18</v>
      </c>
      <c r="D6901" t="str">
        <f>HYPERLINK("http://service.sap.com/sap/support/notes/1696015","1696015")</f>
        <v>1696015</v>
      </c>
      <c r="E6901">
        <v>1</v>
      </c>
      <c r="F6901" t="s">
        <v>5976</v>
      </c>
    </row>
    <row r="6902" spans="1:6" x14ac:dyDescent="0.25">
      <c r="A6902" t="s">
        <v>5964</v>
      </c>
      <c r="B6902" t="s">
        <v>17</v>
      </c>
      <c r="C6902" t="s">
        <v>18</v>
      </c>
      <c r="D6902" t="str">
        <f>HYPERLINK("http://service.sap.com/sap/support/notes/1697389","1697389")</f>
        <v>1697389</v>
      </c>
      <c r="E6902">
        <v>1</v>
      </c>
      <c r="F6902" t="s">
        <v>5977</v>
      </c>
    </row>
    <row r="6903" spans="1:6" x14ac:dyDescent="0.25">
      <c r="A6903" t="s">
        <v>5964</v>
      </c>
      <c r="B6903" t="s">
        <v>19</v>
      </c>
      <c r="C6903" t="s">
        <v>20</v>
      </c>
      <c r="D6903" t="str">
        <f>HYPERLINK("http://service.sap.com/sap/support/notes/1652621","1652621")</f>
        <v>1652621</v>
      </c>
      <c r="E6903">
        <v>2</v>
      </c>
      <c r="F6903" t="s">
        <v>5978</v>
      </c>
    </row>
    <row r="6904" spans="1:6" x14ac:dyDescent="0.25">
      <c r="A6904" t="s">
        <v>5964</v>
      </c>
      <c r="B6904" t="s">
        <v>19</v>
      </c>
      <c r="C6904" t="s">
        <v>20</v>
      </c>
      <c r="D6904" t="str">
        <f>HYPERLINK("http://service.sap.com/sap/support/notes/1675552","1675552")</f>
        <v>1675552</v>
      </c>
      <c r="E6904">
        <v>3</v>
      </c>
      <c r="F6904" t="s">
        <v>2469</v>
      </c>
    </row>
    <row r="6905" spans="1:6" x14ac:dyDescent="0.25">
      <c r="A6905" t="s">
        <v>5964</v>
      </c>
      <c r="B6905" t="s">
        <v>19</v>
      </c>
      <c r="C6905" t="s">
        <v>20</v>
      </c>
      <c r="D6905" t="str">
        <f>HYPERLINK("http://service.sap.com/sap/support/notes/1681995","1681995")</f>
        <v>1681995</v>
      </c>
      <c r="E6905">
        <v>2</v>
      </c>
      <c r="F6905" t="s">
        <v>5979</v>
      </c>
    </row>
    <row r="6906" spans="1:6" x14ac:dyDescent="0.25">
      <c r="A6906" t="s">
        <v>5964</v>
      </c>
      <c r="B6906" t="s">
        <v>19</v>
      </c>
      <c r="C6906" t="s">
        <v>20</v>
      </c>
      <c r="D6906" t="str">
        <f>HYPERLINK("http://service.sap.com/sap/support/notes/1682443","1682443")</f>
        <v>1682443</v>
      </c>
      <c r="E6906">
        <v>1</v>
      </c>
      <c r="F6906" t="s">
        <v>5980</v>
      </c>
    </row>
    <row r="6907" spans="1:6" x14ac:dyDescent="0.25">
      <c r="A6907" t="s">
        <v>5964</v>
      </c>
      <c r="B6907" t="s">
        <v>19</v>
      </c>
      <c r="C6907" t="s">
        <v>20</v>
      </c>
      <c r="D6907" t="str">
        <f>HYPERLINK("http://service.sap.com/sap/support/notes/1683357","1683357")</f>
        <v>1683357</v>
      </c>
      <c r="E6907">
        <v>2</v>
      </c>
      <c r="F6907" t="s">
        <v>5981</v>
      </c>
    </row>
    <row r="6908" spans="1:6" x14ac:dyDescent="0.25">
      <c r="A6908" t="s">
        <v>5964</v>
      </c>
      <c r="B6908" t="s">
        <v>19</v>
      </c>
      <c r="C6908" t="s">
        <v>20</v>
      </c>
      <c r="D6908" t="str">
        <f>HYPERLINK("http://service.sap.com/sap/support/notes/1684413","1684413")</f>
        <v>1684413</v>
      </c>
      <c r="E6908">
        <v>3</v>
      </c>
      <c r="F6908" t="s">
        <v>5982</v>
      </c>
    </row>
    <row r="6909" spans="1:6" x14ac:dyDescent="0.25">
      <c r="A6909" t="s">
        <v>5964</v>
      </c>
      <c r="B6909" t="s">
        <v>19</v>
      </c>
      <c r="C6909" t="s">
        <v>20</v>
      </c>
      <c r="D6909" t="str">
        <f>HYPERLINK("http://service.sap.com/sap/support/notes/1684744","1684744")</f>
        <v>1684744</v>
      </c>
      <c r="E6909">
        <v>4</v>
      </c>
      <c r="F6909" t="s">
        <v>5983</v>
      </c>
    </row>
    <row r="6910" spans="1:6" x14ac:dyDescent="0.25">
      <c r="A6910" t="s">
        <v>5964</v>
      </c>
      <c r="B6910" t="s">
        <v>19</v>
      </c>
      <c r="C6910" t="s">
        <v>20</v>
      </c>
      <c r="D6910" t="str">
        <f>HYPERLINK("http://service.sap.com/sap/support/notes/1686038","1686038")</f>
        <v>1686038</v>
      </c>
      <c r="E6910">
        <v>1</v>
      </c>
      <c r="F6910" t="s">
        <v>5984</v>
      </c>
    </row>
    <row r="6911" spans="1:6" x14ac:dyDescent="0.25">
      <c r="A6911" t="s">
        <v>5964</v>
      </c>
      <c r="B6911" t="s">
        <v>19</v>
      </c>
      <c r="C6911" t="s">
        <v>20</v>
      </c>
      <c r="D6911" t="str">
        <f>HYPERLINK("http://service.sap.com/sap/support/notes/1686404","1686404")</f>
        <v>1686404</v>
      </c>
      <c r="E6911">
        <v>2</v>
      </c>
      <c r="F6911" t="s">
        <v>5985</v>
      </c>
    </row>
    <row r="6912" spans="1:6" x14ac:dyDescent="0.25">
      <c r="A6912" t="s">
        <v>5964</v>
      </c>
      <c r="B6912" t="s">
        <v>19</v>
      </c>
      <c r="C6912" t="s">
        <v>20</v>
      </c>
      <c r="D6912" t="str">
        <f>HYPERLINK("http://service.sap.com/sap/support/notes/1686875","1686875")</f>
        <v>1686875</v>
      </c>
      <c r="E6912">
        <v>2</v>
      </c>
      <c r="F6912" t="s">
        <v>5986</v>
      </c>
    </row>
    <row r="6913" spans="1:6" x14ac:dyDescent="0.25">
      <c r="A6913" t="s">
        <v>5964</v>
      </c>
      <c r="B6913" t="s">
        <v>19</v>
      </c>
      <c r="C6913" t="s">
        <v>20</v>
      </c>
      <c r="D6913" t="str">
        <f>HYPERLINK("http://service.sap.com/sap/support/notes/1687202","1687202")</f>
        <v>1687202</v>
      </c>
      <c r="E6913">
        <v>1</v>
      </c>
      <c r="F6913" t="s">
        <v>5987</v>
      </c>
    </row>
    <row r="6914" spans="1:6" x14ac:dyDescent="0.25">
      <c r="A6914" t="s">
        <v>5964</v>
      </c>
      <c r="B6914" t="s">
        <v>19</v>
      </c>
      <c r="C6914" t="s">
        <v>20</v>
      </c>
      <c r="D6914" t="str">
        <f>HYPERLINK("http://service.sap.com/sap/support/notes/1687485","1687485")</f>
        <v>1687485</v>
      </c>
      <c r="E6914">
        <v>1</v>
      </c>
      <c r="F6914" t="s">
        <v>5988</v>
      </c>
    </row>
    <row r="6915" spans="1:6" x14ac:dyDescent="0.25">
      <c r="A6915" t="s">
        <v>5964</v>
      </c>
      <c r="B6915" t="s">
        <v>19</v>
      </c>
      <c r="C6915" t="s">
        <v>20</v>
      </c>
      <c r="D6915" t="str">
        <f>HYPERLINK("http://service.sap.com/sap/support/notes/1688364","1688364")</f>
        <v>1688364</v>
      </c>
      <c r="E6915">
        <v>2</v>
      </c>
      <c r="F6915" t="s">
        <v>5989</v>
      </c>
    </row>
    <row r="6916" spans="1:6" x14ac:dyDescent="0.25">
      <c r="A6916" t="s">
        <v>5964</v>
      </c>
      <c r="B6916" t="s">
        <v>19</v>
      </c>
      <c r="C6916" t="s">
        <v>20</v>
      </c>
      <c r="D6916" t="str">
        <f>HYPERLINK("http://service.sap.com/sap/support/notes/1689044","1689044")</f>
        <v>1689044</v>
      </c>
      <c r="E6916">
        <v>1</v>
      </c>
      <c r="F6916" t="s">
        <v>5990</v>
      </c>
    </row>
    <row r="6917" spans="1:6" x14ac:dyDescent="0.25">
      <c r="A6917" t="s">
        <v>5964</v>
      </c>
      <c r="B6917" t="s">
        <v>19</v>
      </c>
      <c r="C6917" t="s">
        <v>20</v>
      </c>
      <c r="D6917" t="str">
        <f>HYPERLINK("http://service.sap.com/sap/support/notes/1689337","1689337")</f>
        <v>1689337</v>
      </c>
      <c r="E6917">
        <v>1</v>
      </c>
      <c r="F6917" t="s">
        <v>5991</v>
      </c>
    </row>
    <row r="6918" spans="1:6" x14ac:dyDescent="0.25">
      <c r="A6918" t="s">
        <v>5964</v>
      </c>
      <c r="B6918" t="s">
        <v>19</v>
      </c>
      <c r="C6918" t="s">
        <v>20</v>
      </c>
      <c r="D6918" t="str">
        <f>HYPERLINK("http://service.sap.com/sap/support/notes/1689890","1689890")</f>
        <v>1689890</v>
      </c>
      <c r="E6918">
        <v>1</v>
      </c>
      <c r="F6918" t="s">
        <v>5992</v>
      </c>
    </row>
    <row r="6919" spans="1:6" x14ac:dyDescent="0.25">
      <c r="A6919" t="s">
        <v>5964</v>
      </c>
      <c r="B6919" t="s">
        <v>19</v>
      </c>
      <c r="C6919" t="s">
        <v>20</v>
      </c>
      <c r="D6919" t="str">
        <f>HYPERLINK("http://service.sap.com/sap/support/notes/1690785","1690785")</f>
        <v>1690785</v>
      </c>
      <c r="E6919">
        <v>2</v>
      </c>
      <c r="F6919" t="s">
        <v>5993</v>
      </c>
    </row>
    <row r="6920" spans="1:6" x14ac:dyDescent="0.25">
      <c r="A6920" t="s">
        <v>5964</v>
      </c>
      <c r="B6920" t="s">
        <v>19</v>
      </c>
      <c r="C6920" t="s">
        <v>20</v>
      </c>
      <c r="D6920" t="str">
        <f>HYPERLINK("http://service.sap.com/sap/support/notes/1693264","1693264")</f>
        <v>1693264</v>
      </c>
      <c r="E6920">
        <v>1</v>
      </c>
      <c r="F6920" t="s">
        <v>5994</v>
      </c>
    </row>
    <row r="6921" spans="1:6" x14ac:dyDescent="0.25">
      <c r="A6921" t="s">
        <v>5964</v>
      </c>
      <c r="B6921" t="s">
        <v>19</v>
      </c>
      <c r="C6921" t="s">
        <v>20</v>
      </c>
      <c r="D6921" t="str">
        <f>HYPERLINK("http://service.sap.com/sap/support/notes/1693507","1693507")</f>
        <v>1693507</v>
      </c>
      <c r="E6921">
        <v>2</v>
      </c>
      <c r="F6921" t="s">
        <v>5995</v>
      </c>
    </row>
    <row r="6922" spans="1:6" x14ac:dyDescent="0.25">
      <c r="A6922" t="s">
        <v>5964</v>
      </c>
      <c r="B6922" t="s">
        <v>19</v>
      </c>
      <c r="C6922" t="s">
        <v>20</v>
      </c>
      <c r="D6922" t="str">
        <f>HYPERLINK("http://service.sap.com/sap/support/notes/1694709","1694709")</f>
        <v>1694709</v>
      </c>
      <c r="E6922">
        <v>2</v>
      </c>
      <c r="F6922" t="s">
        <v>5996</v>
      </c>
    </row>
    <row r="6923" spans="1:6" x14ac:dyDescent="0.25">
      <c r="A6923" t="s">
        <v>5964</v>
      </c>
      <c r="B6923" t="s">
        <v>446</v>
      </c>
      <c r="C6923" t="s">
        <v>447</v>
      </c>
      <c r="D6923" t="str">
        <f>HYPERLINK("http://service.sap.com/sap/support/notes/1639297","1639297")</f>
        <v>1639297</v>
      </c>
      <c r="E6923">
        <v>2</v>
      </c>
      <c r="F6923" t="s">
        <v>5997</v>
      </c>
    </row>
    <row r="6924" spans="1:6" x14ac:dyDescent="0.25">
      <c r="A6924" t="s">
        <v>5964</v>
      </c>
      <c r="B6924" t="s">
        <v>446</v>
      </c>
      <c r="C6924" t="s">
        <v>447</v>
      </c>
      <c r="D6924" t="str">
        <f>HYPERLINK("http://service.sap.com/sap/support/notes/1658251","1658251")</f>
        <v>1658251</v>
      </c>
      <c r="E6924">
        <v>2</v>
      </c>
      <c r="F6924" t="s">
        <v>5998</v>
      </c>
    </row>
    <row r="6925" spans="1:6" x14ac:dyDescent="0.25">
      <c r="A6925" t="s">
        <v>5964</v>
      </c>
      <c r="B6925" t="s">
        <v>446</v>
      </c>
      <c r="C6925" t="s">
        <v>447</v>
      </c>
      <c r="D6925" t="str">
        <f>HYPERLINK("http://service.sap.com/sap/support/notes/1666474","1666474")</f>
        <v>1666474</v>
      </c>
      <c r="E6925">
        <v>1</v>
      </c>
      <c r="F6925" t="s">
        <v>5999</v>
      </c>
    </row>
    <row r="6926" spans="1:6" x14ac:dyDescent="0.25">
      <c r="A6926" t="s">
        <v>5964</v>
      </c>
      <c r="B6926" t="s">
        <v>446</v>
      </c>
      <c r="C6926" t="s">
        <v>447</v>
      </c>
      <c r="D6926" t="str">
        <f>HYPERLINK("http://service.sap.com/sap/support/notes/1669281","1669281")</f>
        <v>1669281</v>
      </c>
      <c r="E6926">
        <v>1</v>
      </c>
      <c r="F6926" t="s">
        <v>6000</v>
      </c>
    </row>
    <row r="6927" spans="1:6" x14ac:dyDescent="0.25">
      <c r="A6927" t="s">
        <v>5964</v>
      </c>
      <c r="B6927" t="s">
        <v>446</v>
      </c>
      <c r="C6927" t="s">
        <v>447</v>
      </c>
      <c r="D6927" t="str">
        <f>HYPERLINK("http://service.sap.com/sap/support/notes/1674403","1674403")</f>
        <v>1674403</v>
      </c>
      <c r="E6927">
        <v>2</v>
      </c>
      <c r="F6927" t="s">
        <v>6001</v>
      </c>
    </row>
    <row r="6928" spans="1:6" x14ac:dyDescent="0.25">
      <c r="A6928" t="s">
        <v>5964</v>
      </c>
      <c r="B6928" t="s">
        <v>446</v>
      </c>
      <c r="C6928" t="s">
        <v>447</v>
      </c>
      <c r="D6928" t="str">
        <f>HYPERLINK("http://service.sap.com/sap/support/notes/1676809","1676809")</f>
        <v>1676809</v>
      </c>
      <c r="E6928">
        <v>1</v>
      </c>
      <c r="F6928" t="s">
        <v>6002</v>
      </c>
    </row>
    <row r="6929" spans="1:6" x14ac:dyDescent="0.25">
      <c r="A6929" t="s">
        <v>5964</v>
      </c>
      <c r="B6929" t="s">
        <v>446</v>
      </c>
      <c r="C6929" t="s">
        <v>447</v>
      </c>
      <c r="D6929" t="str">
        <f>HYPERLINK("http://service.sap.com/sap/support/notes/1676895","1676895")</f>
        <v>1676895</v>
      </c>
      <c r="E6929">
        <v>2</v>
      </c>
      <c r="F6929" t="s">
        <v>6003</v>
      </c>
    </row>
    <row r="6930" spans="1:6" x14ac:dyDescent="0.25">
      <c r="A6930" t="s">
        <v>5964</v>
      </c>
      <c r="B6930" t="s">
        <v>446</v>
      </c>
      <c r="C6930" t="s">
        <v>447</v>
      </c>
      <c r="D6930" t="str">
        <f>HYPERLINK("http://service.sap.com/sap/support/notes/1677478","1677478")</f>
        <v>1677478</v>
      </c>
      <c r="E6930">
        <v>1</v>
      </c>
      <c r="F6930" t="s">
        <v>6004</v>
      </c>
    </row>
    <row r="6931" spans="1:6" x14ac:dyDescent="0.25">
      <c r="A6931" t="s">
        <v>5964</v>
      </c>
      <c r="B6931" t="s">
        <v>446</v>
      </c>
      <c r="C6931" t="s">
        <v>447</v>
      </c>
      <c r="D6931" t="str">
        <f>HYPERLINK("http://service.sap.com/sap/support/notes/1679622","1679622")</f>
        <v>1679622</v>
      </c>
      <c r="E6931">
        <v>2</v>
      </c>
      <c r="F6931" t="s">
        <v>6005</v>
      </c>
    </row>
    <row r="6932" spans="1:6" x14ac:dyDescent="0.25">
      <c r="A6932" t="s">
        <v>5964</v>
      </c>
      <c r="B6932" t="s">
        <v>446</v>
      </c>
      <c r="C6932" t="s">
        <v>447</v>
      </c>
      <c r="D6932" t="str">
        <f>HYPERLINK("http://service.sap.com/sap/support/notes/1679770","1679770")</f>
        <v>1679770</v>
      </c>
      <c r="E6932">
        <v>2</v>
      </c>
      <c r="F6932" t="s">
        <v>6006</v>
      </c>
    </row>
    <row r="6933" spans="1:6" x14ac:dyDescent="0.25">
      <c r="A6933" t="s">
        <v>5964</v>
      </c>
      <c r="B6933" t="s">
        <v>446</v>
      </c>
      <c r="C6933" t="s">
        <v>447</v>
      </c>
      <c r="D6933" t="str">
        <f>HYPERLINK("http://service.sap.com/sap/support/notes/1687767","1687767")</f>
        <v>1687767</v>
      </c>
      <c r="E6933">
        <v>1</v>
      </c>
      <c r="F6933" t="s">
        <v>6007</v>
      </c>
    </row>
    <row r="6934" spans="1:6" x14ac:dyDescent="0.25">
      <c r="A6934" t="s">
        <v>5964</v>
      </c>
      <c r="B6934" t="s">
        <v>446</v>
      </c>
      <c r="C6934" t="s">
        <v>447</v>
      </c>
      <c r="D6934" t="str">
        <f>HYPERLINK("http://service.sap.com/sap/support/notes/1688259","1688259")</f>
        <v>1688259</v>
      </c>
      <c r="E6934">
        <v>2</v>
      </c>
      <c r="F6934" t="s">
        <v>6008</v>
      </c>
    </row>
    <row r="6935" spans="1:6" x14ac:dyDescent="0.25">
      <c r="A6935" t="s">
        <v>5964</v>
      </c>
      <c r="B6935" t="s">
        <v>446</v>
      </c>
      <c r="C6935" t="s">
        <v>447</v>
      </c>
      <c r="D6935" t="str">
        <f>HYPERLINK("http://service.sap.com/sap/support/notes/1689405","1689405")</f>
        <v>1689405</v>
      </c>
      <c r="E6935">
        <v>1</v>
      </c>
      <c r="F6935" t="s">
        <v>6009</v>
      </c>
    </row>
    <row r="6936" spans="1:6" x14ac:dyDescent="0.25">
      <c r="A6936" t="s">
        <v>5964</v>
      </c>
      <c r="B6936" t="s">
        <v>446</v>
      </c>
      <c r="C6936" t="s">
        <v>447</v>
      </c>
      <c r="D6936" t="str">
        <f>HYPERLINK("http://service.sap.com/sap/support/notes/1689989","1689989")</f>
        <v>1689989</v>
      </c>
      <c r="E6936">
        <v>2</v>
      </c>
      <c r="F6936" t="s">
        <v>6010</v>
      </c>
    </row>
    <row r="6937" spans="1:6" x14ac:dyDescent="0.25">
      <c r="A6937" t="s">
        <v>5964</v>
      </c>
      <c r="B6937" t="s">
        <v>446</v>
      </c>
      <c r="C6937" t="s">
        <v>447</v>
      </c>
      <c r="D6937" t="str">
        <f>HYPERLINK("http://service.sap.com/sap/support/notes/1691155","1691155")</f>
        <v>1691155</v>
      </c>
      <c r="E6937">
        <v>1</v>
      </c>
      <c r="F6937" t="s">
        <v>6011</v>
      </c>
    </row>
    <row r="6938" spans="1:6" x14ac:dyDescent="0.25">
      <c r="A6938" t="s">
        <v>5964</v>
      </c>
      <c r="B6938" t="s">
        <v>446</v>
      </c>
      <c r="C6938" t="s">
        <v>447</v>
      </c>
      <c r="D6938" t="str">
        <f>HYPERLINK("http://service.sap.com/sap/support/notes/1691856","1691856")</f>
        <v>1691856</v>
      </c>
      <c r="E6938">
        <v>1</v>
      </c>
      <c r="F6938" t="s">
        <v>6012</v>
      </c>
    </row>
    <row r="6939" spans="1:6" x14ac:dyDescent="0.25">
      <c r="A6939" t="s">
        <v>5964</v>
      </c>
      <c r="B6939" t="s">
        <v>446</v>
      </c>
      <c r="C6939" t="s">
        <v>447</v>
      </c>
      <c r="D6939" t="str">
        <f>HYPERLINK("http://service.sap.com/sap/support/notes/1692014","1692014")</f>
        <v>1692014</v>
      </c>
      <c r="E6939">
        <v>1</v>
      </c>
      <c r="F6939" t="s">
        <v>6013</v>
      </c>
    </row>
    <row r="6940" spans="1:6" x14ac:dyDescent="0.25">
      <c r="A6940" t="s">
        <v>5964</v>
      </c>
      <c r="B6940" t="s">
        <v>446</v>
      </c>
      <c r="C6940" t="s">
        <v>447</v>
      </c>
      <c r="D6940" t="str">
        <f>HYPERLINK("http://service.sap.com/sap/support/notes/1694029","1694029")</f>
        <v>1694029</v>
      </c>
      <c r="E6940">
        <v>2</v>
      </c>
      <c r="F6940" t="s">
        <v>6014</v>
      </c>
    </row>
    <row r="6941" spans="1:6" x14ac:dyDescent="0.25">
      <c r="A6941" t="s">
        <v>5964</v>
      </c>
      <c r="B6941" t="s">
        <v>446</v>
      </c>
      <c r="C6941" t="s">
        <v>447</v>
      </c>
      <c r="D6941" t="str">
        <f>HYPERLINK("http://service.sap.com/sap/support/notes/1695212","1695212")</f>
        <v>1695212</v>
      </c>
      <c r="E6941">
        <v>1</v>
      </c>
      <c r="F6941" t="s">
        <v>6015</v>
      </c>
    </row>
    <row r="6942" spans="1:6" x14ac:dyDescent="0.25">
      <c r="A6942" t="s">
        <v>5964</v>
      </c>
      <c r="B6942" t="s">
        <v>446</v>
      </c>
      <c r="C6942" t="s">
        <v>447</v>
      </c>
      <c r="D6942" t="str">
        <f>HYPERLINK("http://service.sap.com/sap/support/notes/1695858","1695858")</f>
        <v>1695858</v>
      </c>
      <c r="E6942">
        <v>1</v>
      </c>
      <c r="F6942" t="s">
        <v>6016</v>
      </c>
    </row>
    <row r="6943" spans="1:6" x14ac:dyDescent="0.25">
      <c r="A6943" t="s">
        <v>5964</v>
      </c>
      <c r="B6943" t="s">
        <v>446</v>
      </c>
      <c r="C6943" t="s">
        <v>447</v>
      </c>
      <c r="D6943" t="str">
        <f>HYPERLINK("http://service.sap.com/sap/support/notes/1695984","1695984")</f>
        <v>1695984</v>
      </c>
      <c r="E6943">
        <v>2</v>
      </c>
      <c r="F6943" t="s">
        <v>6017</v>
      </c>
    </row>
    <row r="6944" spans="1:6" x14ac:dyDescent="0.25">
      <c r="A6944" t="s">
        <v>5964</v>
      </c>
      <c r="B6944" t="s">
        <v>446</v>
      </c>
      <c r="C6944" t="s">
        <v>447</v>
      </c>
      <c r="D6944" t="str">
        <f>HYPERLINK("http://service.sap.com/sap/support/notes/1696763","1696763")</f>
        <v>1696763</v>
      </c>
      <c r="E6944">
        <v>1</v>
      </c>
      <c r="F6944" t="s">
        <v>6018</v>
      </c>
    </row>
    <row r="6945" spans="1:6" x14ac:dyDescent="0.25">
      <c r="A6945" t="s">
        <v>5964</v>
      </c>
      <c r="B6945" t="s">
        <v>446</v>
      </c>
      <c r="C6945" t="s">
        <v>447</v>
      </c>
      <c r="D6945" t="str">
        <f>HYPERLINK("http://service.sap.com/sap/support/notes/1697199","1697199")</f>
        <v>1697199</v>
      </c>
      <c r="E6945">
        <v>1</v>
      </c>
      <c r="F6945" t="s">
        <v>6019</v>
      </c>
    </row>
    <row r="6946" spans="1:6" x14ac:dyDescent="0.25">
      <c r="A6946" t="s">
        <v>5964</v>
      </c>
      <c r="B6946" t="s">
        <v>448</v>
      </c>
      <c r="C6946" t="s">
        <v>449</v>
      </c>
      <c r="D6946" t="str">
        <f>HYPERLINK("http://service.sap.com/sap/support/notes/1686919","1686919")</f>
        <v>1686919</v>
      </c>
      <c r="E6946">
        <v>1</v>
      </c>
      <c r="F6946" t="s">
        <v>6020</v>
      </c>
    </row>
    <row r="6947" spans="1:6" x14ac:dyDescent="0.25">
      <c r="A6947" t="s">
        <v>5964</v>
      </c>
      <c r="B6947" t="s">
        <v>448</v>
      </c>
      <c r="C6947" t="s">
        <v>449</v>
      </c>
      <c r="D6947" t="str">
        <f>HYPERLINK("http://service.sap.com/sap/support/notes/1689054","1689054")</f>
        <v>1689054</v>
      </c>
      <c r="E6947">
        <v>3</v>
      </c>
      <c r="F6947" t="s">
        <v>2827</v>
      </c>
    </row>
    <row r="6948" spans="1:6" x14ac:dyDescent="0.25">
      <c r="A6948" t="s">
        <v>5964</v>
      </c>
      <c r="B6948" t="s">
        <v>505</v>
      </c>
      <c r="C6948" t="s">
        <v>506</v>
      </c>
      <c r="D6948" t="str">
        <f>HYPERLINK("http://service.sap.com/sap/support/notes/1658285","1658285")</f>
        <v>1658285</v>
      </c>
      <c r="E6948">
        <v>6</v>
      </c>
      <c r="F6948" t="s">
        <v>6021</v>
      </c>
    </row>
    <row r="6949" spans="1:6" x14ac:dyDescent="0.25">
      <c r="A6949" t="s">
        <v>5964</v>
      </c>
      <c r="B6949" t="s">
        <v>453</v>
      </c>
      <c r="C6949" t="s">
        <v>454</v>
      </c>
      <c r="D6949" t="str">
        <f>HYPERLINK("http://service.sap.com/sap/support/notes/1692922","1692922")</f>
        <v>1692922</v>
      </c>
      <c r="E6949">
        <v>2</v>
      </c>
      <c r="F6949" t="s">
        <v>6022</v>
      </c>
    </row>
    <row r="6950" spans="1:6" x14ac:dyDescent="0.25">
      <c r="A6950" t="s">
        <v>5964</v>
      </c>
      <c r="B6950" t="s">
        <v>21</v>
      </c>
      <c r="C6950" t="s">
        <v>12</v>
      </c>
    </row>
    <row r="6951" spans="1:6" x14ac:dyDescent="0.25">
      <c r="A6951" t="s">
        <v>5964</v>
      </c>
      <c r="B6951" t="s">
        <v>455</v>
      </c>
      <c r="C6951" t="s">
        <v>456</v>
      </c>
      <c r="D6951" t="str">
        <f>HYPERLINK("http://service.sap.com/sap/support/notes/1250120","1250120")</f>
        <v>1250120</v>
      </c>
      <c r="E6951">
        <v>4</v>
      </c>
      <c r="F6951" t="s">
        <v>6023</v>
      </c>
    </row>
    <row r="6952" spans="1:6" x14ac:dyDescent="0.25">
      <c r="A6952" t="s">
        <v>5964</v>
      </c>
      <c r="B6952" t="s">
        <v>455</v>
      </c>
      <c r="C6952" t="s">
        <v>456</v>
      </c>
      <c r="D6952" t="str">
        <f>HYPERLINK("http://service.sap.com/sap/support/notes/1606424","1606424")</f>
        <v>1606424</v>
      </c>
      <c r="E6952">
        <v>3</v>
      </c>
      <c r="F6952" t="s">
        <v>6024</v>
      </c>
    </row>
    <row r="6953" spans="1:6" x14ac:dyDescent="0.25">
      <c r="A6953" t="s">
        <v>5964</v>
      </c>
      <c r="B6953" t="s">
        <v>455</v>
      </c>
      <c r="C6953" t="s">
        <v>456</v>
      </c>
      <c r="D6953" t="str">
        <f>HYPERLINK("http://service.sap.com/sap/support/notes/1687127","1687127")</f>
        <v>1687127</v>
      </c>
      <c r="E6953">
        <v>4</v>
      </c>
      <c r="F6953" t="s">
        <v>6025</v>
      </c>
    </row>
    <row r="6954" spans="1:6" x14ac:dyDescent="0.25">
      <c r="A6954" t="s">
        <v>5964</v>
      </c>
      <c r="B6954" t="s">
        <v>458</v>
      </c>
      <c r="C6954" t="s">
        <v>459</v>
      </c>
      <c r="D6954" t="str">
        <f>HYPERLINK("http://service.sap.com/sap/support/notes/1478805","1478805")</f>
        <v>1478805</v>
      </c>
      <c r="E6954">
        <v>2</v>
      </c>
      <c r="F6954" t="s">
        <v>644</v>
      </c>
    </row>
    <row r="6955" spans="1:6" x14ac:dyDescent="0.25">
      <c r="A6955" t="s">
        <v>5964</v>
      </c>
      <c r="B6955" t="s">
        <v>458</v>
      </c>
      <c r="C6955" t="s">
        <v>459</v>
      </c>
      <c r="D6955" t="str">
        <f>HYPERLINK("http://service.sap.com/sap/support/notes/1660515","1660515")</f>
        <v>1660515</v>
      </c>
      <c r="E6955">
        <v>3</v>
      </c>
      <c r="F6955" t="s">
        <v>6026</v>
      </c>
    </row>
    <row r="6956" spans="1:6" x14ac:dyDescent="0.25">
      <c r="A6956" t="s">
        <v>5964</v>
      </c>
      <c r="B6956" t="s">
        <v>458</v>
      </c>
      <c r="C6956" t="s">
        <v>459</v>
      </c>
      <c r="D6956" t="str">
        <f>HYPERLINK("http://service.sap.com/sap/support/notes/1674924","1674924")</f>
        <v>1674924</v>
      </c>
      <c r="E6956">
        <v>3</v>
      </c>
      <c r="F6956" t="s">
        <v>6027</v>
      </c>
    </row>
    <row r="6957" spans="1:6" x14ac:dyDescent="0.25">
      <c r="A6957" t="s">
        <v>5964</v>
      </c>
      <c r="B6957" t="s">
        <v>458</v>
      </c>
      <c r="C6957" t="s">
        <v>459</v>
      </c>
      <c r="D6957" t="str">
        <f>HYPERLINK("http://service.sap.com/sap/support/notes/1677503","1677503")</f>
        <v>1677503</v>
      </c>
      <c r="E6957">
        <v>4</v>
      </c>
      <c r="F6957" t="s">
        <v>6028</v>
      </c>
    </row>
    <row r="6958" spans="1:6" x14ac:dyDescent="0.25">
      <c r="A6958" t="s">
        <v>5964</v>
      </c>
      <c r="B6958" t="s">
        <v>458</v>
      </c>
      <c r="C6958" t="s">
        <v>459</v>
      </c>
      <c r="D6958" t="str">
        <f>HYPERLINK("http://service.sap.com/sap/support/notes/1682474","1682474")</f>
        <v>1682474</v>
      </c>
      <c r="E6958">
        <v>4</v>
      </c>
      <c r="F6958" t="s">
        <v>6029</v>
      </c>
    </row>
    <row r="6959" spans="1:6" x14ac:dyDescent="0.25">
      <c r="A6959" t="s">
        <v>5964</v>
      </c>
      <c r="B6959" t="s">
        <v>460</v>
      </c>
      <c r="C6959" t="s">
        <v>461</v>
      </c>
      <c r="D6959" t="str">
        <f>HYPERLINK("http://service.sap.com/sap/support/notes/1690582","1690582")</f>
        <v>1690582</v>
      </c>
      <c r="E6959">
        <v>1</v>
      </c>
      <c r="F6959" t="s">
        <v>6030</v>
      </c>
    </row>
    <row r="6960" spans="1:6" x14ac:dyDescent="0.25">
      <c r="A6960" t="s">
        <v>5964</v>
      </c>
      <c r="B6960" t="s">
        <v>512</v>
      </c>
      <c r="C6960" t="s">
        <v>513</v>
      </c>
      <c r="D6960" t="str">
        <f>HYPERLINK("http://service.sap.com/sap/support/notes/1686385","1686385")</f>
        <v>1686385</v>
      </c>
      <c r="E6960">
        <v>2</v>
      </c>
      <c r="F6960" t="s">
        <v>6031</v>
      </c>
    </row>
    <row r="6961" spans="1:6" x14ac:dyDescent="0.25">
      <c r="A6961" t="s">
        <v>5964</v>
      </c>
      <c r="B6961" t="s">
        <v>512</v>
      </c>
      <c r="C6961" t="s">
        <v>513</v>
      </c>
      <c r="D6961" t="str">
        <f>HYPERLINK("http://service.sap.com/sap/support/notes/1686828","1686828")</f>
        <v>1686828</v>
      </c>
      <c r="E6961">
        <v>5</v>
      </c>
      <c r="F6961" t="s">
        <v>6032</v>
      </c>
    </row>
    <row r="6962" spans="1:6" x14ac:dyDescent="0.25">
      <c r="A6962" t="s">
        <v>5964</v>
      </c>
      <c r="B6962" t="s">
        <v>512</v>
      </c>
      <c r="C6962" t="s">
        <v>513</v>
      </c>
      <c r="D6962" t="str">
        <f>HYPERLINK("http://service.sap.com/sap/support/notes/1694775","1694775")</f>
        <v>1694775</v>
      </c>
      <c r="E6962">
        <v>2</v>
      </c>
      <c r="F6962" t="s">
        <v>6033</v>
      </c>
    </row>
    <row r="6963" spans="1:6" x14ac:dyDescent="0.25">
      <c r="A6963" t="s">
        <v>5964</v>
      </c>
      <c r="B6963" t="s">
        <v>5642</v>
      </c>
      <c r="C6963" t="s">
        <v>5643</v>
      </c>
      <c r="D6963" t="str">
        <f>HYPERLINK("http://service.sap.com/sap/support/notes/1686829","1686829")</f>
        <v>1686829</v>
      </c>
      <c r="E6963">
        <v>5</v>
      </c>
      <c r="F6963" t="s">
        <v>6034</v>
      </c>
    </row>
    <row r="6964" spans="1:6" x14ac:dyDescent="0.25">
      <c r="A6964" t="s">
        <v>5964</v>
      </c>
      <c r="B6964" t="s">
        <v>462</v>
      </c>
      <c r="C6964" t="s">
        <v>463</v>
      </c>
      <c r="D6964" t="str">
        <f>HYPERLINK("http://service.sap.com/sap/support/notes/1674437","1674437")</f>
        <v>1674437</v>
      </c>
      <c r="E6964">
        <v>2</v>
      </c>
      <c r="F6964" t="s">
        <v>5774</v>
      </c>
    </row>
    <row r="6965" spans="1:6" x14ac:dyDescent="0.25">
      <c r="A6965" t="s">
        <v>5964</v>
      </c>
      <c r="B6965" t="s">
        <v>462</v>
      </c>
      <c r="C6965" t="s">
        <v>463</v>
      </c>
      <c r="D6965" t="str">
        <f>HYPERLINK("http://service.sap.com/sap/support/notes/1676704","1676704")</f>
        <v>1676704</v>
      </c>
      <c r="E6965">
        <v>2</v>
      </c>
      <c r="F6965" t="s">
        <v>6035</v>
      </c>
    </row>
    <row r="6966" spans="1:6" x14ac:dyDescent="0.25">
      <c r="A6966" t="s">
        <v>5964</v>
      </c>
      <c r="B6966" t="s">
        <v>623</v>
      </c>
      <c r="C6966" t="s">
        <v>624</v>
      </c>
    </row>
    <row r="6967" spans="1:6" x14ac:dyDescent="0.25">
      <c r="A6967" t="s">
        <v>5964</v>
      </c>
      <c r="B6967" t="s">
        <v>625</v>
      </c>
      <c r="C6967" t="s">
        <v>626</v>
      </c>
      <c r="D6967" t="str">
        <f>HYPERLINK("http://service.sap.com/sap/support/notes/1671704","1671704")</f>
        <v>1671704</v>
      </c>
      <c r="E6967">
        <v>1</v>
      </c>
      <c r="F6967" t="s">
        <v>5775</v>
      </c>
    </row>
    <row r="6968" spans="1:6" x14ac:dyDescent="0.25">
      <c r="A6968" t="s">
        <v>5964</v>
      </c>
      <c r="B6968" t="s">
        <v>625</v>
      </c>
      <c r="C6968" t="s">
        <v>626</v>
      </c>
      <c r="D6968" t="str">
        <f>HYPERLINK("http://service.sap.com/sap/support/notes/1686157","1686157")</f>
        <v>1686157</v>
      </c>
      <c r="E6968">
        <v>1</v>
      </c>
      <c r="F6968" t="s">
        <v>6036</v>
      </c>
    </row>
    <row r="6969" spans="1:6" x14ac:dyDescent="0.25">
      <c r="A6969" t="s">
        <v>5964</v>
      </c>
      <c r="B6969" t="s">
        <v>625</v>
      </c>
      <c r="C6969" t="s">
        <v>626</v>
      </c>
      <c r="D6969" t="str">
        <f>HYPERLINK("http://service.sap.com/sap/support/notes/1693953","1693953")</f>
        <v>1693953</v>
      </c>
      <c r="E6969">
        <v>1</v>
      </c>
      <c r="F6969" t="s">
        <v>6037</v>
      </c>
    </row>
    <row r="6970" spans="1:6" x14ac:dyDescent="0.25">
      <c r="A6970" t="s">
        <v>5964</v>
      </c>
      <c r="B6970" t="s">
        <v>625</v>
      </c>
      <c r="C6970" t="s">
        <v>626</v>
      </c>
      <c r="D6970" t="str">
        <f>HYPERLINK("http://service.sap.com/sap/support/notes/1697718","1697718")</f>
        <v>1697718</v>
      </c>
      <c r="E6970">
        <v>1</v>
      </c>
      <c r="F6970" t="s">
        <v>6038</v>
      </c>
    </row>
    <row r="6971" spans="1:6" x14ac:dyDescent="0.25">
      <c r="A6971" t="s">
        <v>5964</v>
      </c>
      <c r="B6971" t="s">
        <v>627</v>
      </c>
      <c r="C6971" t="s">
        <v>628</v>
      </c>
      <c r="D6971" t="str">
        <f>HYPERLINK("http://service.sap.com/sap/support/notes/1689807","1689807")</f>
        <v>1689807</v>
      </c>
      <c r="E6971">
        <v>1</v>
      </c>
      <c r="F6971" t="s">
        <v>6039</v>
      </c>
    </row>
    <row r="6972" spans="1:6" x14ac:dyDescent="0.25">
      <c r="A6972" t="s">
        <v>5964</v>
      </c>
      <c r="B6972" t="s">
        <v>629</v>
      </c>
      <c r="C6972" t="s">
        <v>630</v>
      </c>
      <c r="D6972" t="str">
        <f>HYPERLINK("http://service.sap.com/sap/support/notes/1676010","1676010")</f>
        <v>1676010</v>
      </c>
      <c r="E6972">
        <v>1</v>
      </c>
      <c r="F6972" t="s">
        <v>6040</v>
      </c>
    </row>
    <row r="6973" spans="1:6" x14ac:dyDescent="0.25">
      <c r="A6973" t="s">
        <v>5964</v>
      </c>
      <c r="B6973" t="s">
        <v>29</v>
      </c>
      <c r="C6973" t="s">
        <v>30</v>
      </c>
    </row>
    <row r="6974" spans="1:6" x14ac:dyDescent="0.25">
      <c r="A6974" t="s">
        <v>5964</v>
      </c>
      <c r="B6974" t="s">
        <v>33</v>
      </c>
      <c r="C6974" t="s">
        <v>34</v>
      </c>
      <c r="D6974" t="str">
        <f>HYPERLINK("http://service.sap.com/sap/support/notes/1688219","1688219")</f>
        <v>1688219</v>
      </c>
      <c r="E6974">
        <v>1</v>
      </c>
      <c r="F6974" t="s">
        <v>6041</v>
      </c>
    </row>
    <row r="6975" spans="1:6" x14ac:dyDescent="0.25">
      <c r="A6975" t="s">
        <v>5964</v>
      </c>
      <c r="B6975" t="s">
        <v>41</v>
      </c>
      <c r="C6975" t="s">
        <v>42</v>
      </c>
      <c r="D6975" t="str">
        <f>HYPERLINK("http://service.sap.com/sap/support/notes/1689968","1689968")</f>
        <v>1689968</v>
      </c>
      <c r="E6975">
        <v>1</v>
      </c>
      <c r="F6975" t="s">
        <v>6042</v>
      </c>
    </row>
    <row r="6976" spans="1:6" x14ac:dyDescent="0.25">
      <c r="A6976" t="s">
        <v>5964</v>
      </c>
      <c r="B6976" t="s">
        <v>43</v>
      </c>
      <c r="C6976" t="s">
        <v>44</v>
      </c>
      <c r="D6976" t="str">
        <f>HYPERLINK("http://service.sap.com/sap/support/notes/1662826","1662826")</f>
        <v>1662826</v>
      </c>
      <c r="E6976">
        <v>1</v>
      </c>
      <c r="F6976" t="s">
        <v>6043</v>
      </c>
    </row>
    <row r="6977" spans="1:6" x14ac:dyDescent="0.25">
      <c r="A6977" t="s">
        <v>5964</v>
      </c>
      <c r="B6977" t="s">
        <v>43</v>
      </c>
      <c r="C6977" t="s">
        <v>44</v>
      </c>
      <c r="D6977" t="str">
        <f>HYPERLINK("http://service.sap.com/sap/support/notes/1687392","1687392")</f>
        <v>1687392</v>
      </c>
      <c r="E6977">
        <v>2</v>
      </c>
      <c r="F6977" t="s">
        <v>6044</v>
      </c>
    </row>
    <row r="6978" spans="1:6" x14ac:dyDescent="0.25">
      <c r="A6978" t="s">
        <v>5964</v>
      </c>
      <c r="B6978" t="s">
        <v>43</v>
      </c>
      <c r="C6978" t="s">
        <v>44</v>
      </c>
      <c r="D6978" t="str">
        <f>HYPERLINK("http://service.sap.com/sap/support/notes/1692230","1692230")</f>
        <v>1692230</v>
      </c>
      <c r="E6978">
        <v>1</v>
      </c>
      <c r="F6978" t="s">
        <v>6045</v>
      </c>
    </row>
    <row r="6979" spans="1:6" x14ac:dyDescent="0.25">
      <c r="A6979" t="s">
        <v>5964</v>
      </c>
      <c r="B6979" t="s">
        <v>55</v>
      </c>
      <c r="C6979" t="s">
        <v>56</v>
      </c>
      <c r="D6979" t="str">
        <f>HYPERLINK("http://service.sap.com/sap/support/notes/1692473","1692473")</f>
        <v>1692473</v>
      </c>
      <c r="E6979">
        <v>1</v>
      </c>
      <c r="F6979" t="s">
        <v>6046</v>
      </c>
    </row>
    <row r="6980" spans="1:6" x14ac:dyDescent="0.25">
      <c r="A6980" t="s">
        <v>5964</v>
      </c>
      <c r="B6980" t="s">
        <v>57</v>
      </c>
      <c r="C6980" t="s">
        <v>58</v>
      </c>
      <c r="D6980" t="str">
        <f>HYPERLINK("http://service.sap.com/sap/support/notes/1678908","1678908")</f>
        <v>1678908</v>
      </c>
      <c r="E6980">
        <v>4</v>
      </c>
      <c r="F6980" t="s">
        <v>2847</v>
      </c>
    </row>
    <row r="6981" spans="1:6" x14ac:dyDescent="0.25">
      <c r="A6981" t="s">
        <v>5964</v>
      </c>
      <c r="B6981" t="s">
        <v>57</v>
      </c>
      <c r="C6981" t="s">
        <v>58</v>
      </c>
      <c r="D6981" t="str">
        <f>HYPERLINK("http://service.sap.com/sap/support/notes/1686050","1686050")</f>
        <v>1686050</v>
      </c>
      <c r="E6981">
        <v>1</v>
      </c>
      <c r="F6981" t="s">
        <v>6047</v>
      </c>
    </row>
    <row r="6982" spans="1:6" x14ac:dyDescent="0.25">
      <c r="A6982" t="s">
        <v>5964</v>
      </c>
      <c r="B6982" t="s">
        <v>259</v>
      </c>
      <c r="C6982" t="s">
        <v>190</v>
      </c>
      <c r="D6982" t="str">
        <f>HYPERLINK("http://service.sap.com/sap/support/notes/1682746","1682746")</f>
        <v>1682746</v>
      </c>
      <c r="E6982">
        <v>1</v>
      </c>
      <c r="F6982" t="s">
        <v>2850</v>
      </c>
    </row>
    <row r="6983" spans="1:6" x14ac:dyDescent="0.25">
      <c r="A6983" t="s">
        <v>5964</v>
      </c>
      <c r="B6983" t="s">
        <v>259</v>
      </c>
      <c r="C6983" t="s">
        <v>190</v>
      </c>
      <c r="D6983" t="str">
        <f>HYPERLINK("http://service.sap.com/sap/support/notes/1695011","1695011")</f>
        <v>1695011</v>
      </c>
      <c r="E6983">
        <v>2</v>
      </c>
      <c r="F6983" t="s">
        <v>6048</v>
      </c>
    </row>
    <row r="6984" spans="1:6" x14ac:dyDescent="0.25">
      <c r="A6984" t="s">
        <v>5964</v>
      </c>
      <c r="B6984" t="s">
        <v>61</v>
      </c>
      <c r="C6984" t="s">
        <v>62</v>
      </c>
      <c r="D6984" t="str">
        <f>HYPERLINK("http://service.sap.com/sap/support/notes/1572357","1572357")</f>
        <v>1572357</v>
      </c>
      <c r="E6984">
        <v>2</v>
      </c>
      <c r="F6984" t="s">
        <v>6049</v>
      </c>
    </row>
    <row r="6985" spans="1:6" x14ac:dyDescent="0.25">
      <c r="A6985" t="s">
        <v>5964</v>
      </c>
      <c r="B6985" t="s">
        <v>267</v>
      </c>
      <c r="C6985" t="s">
        <v>466</v>
      </c>
    </row>
    <row r="6986" spans="1:6" x14ac:dyDescent="0.25">
      <c r="A6986" t="s">
        <v>5964</v>
      </c>
      <c r="B6986" t="s">
        <v>268</v>
      </c>
      <c r="C6986" t="s">
        <v>467</v>
      </c>
      <c r="D6986" t="str">
        <f>HYPERLINK("http://service.sap.com/sap/support/notes/1674891","1674891")</f>
        <v>1674891</v>
      </c>
      <c r="E6986">
        <v>1</v>
      </c>
      <c r="F6986" t="s">
        <v>6050</v>
      </c>
    </row>
    <row r="6987" spans="1:6" x14ac:dyDescent="0.25">
      <c r="A6987" t="s">
        <v>5964</v>
      </c>
      <c r="B6987" t="s">
        <v>268</v>
      </c>
      <c r="C6987" t="s">
        <v>467</v>
      </c>
      <c r="D6987" t="str">
        <f>HYPERLINK("http://service.sap.com/sap/support/notes/1686234","1686234")</f>
        <v>1686234</v>
      </c>
      <c r="E6987">
        <v>1</v>
      </c>
      <c r="F6987" t="s">
        <v>6051</v>
      </c>
    </row>
    <row r="6988" spans="1:6" x14ac:dyDescent="0.25">
      <c r="A6988" t="s">
        <v>5964</v>
      </c>
      <c r="B6988" t="s">
        <v>268</v>
      </c>
      <c r="C6988" t="s">
        <v>467</v>
      </c>
      <c r="D6988" t="str">
        <f>HYPERLINK("http://service.sap.com/sap/support/notes/1689350","1689350")</f>
        <v>1689350</v>
      </c>
      <c r="E6988">
        <v>2</v>
      </c>
      <c r="F6988" t="s">
        <v>6052</v>
      </c>
    </row>
    <row r="6989" spans="1:6" x14ac:dyDescent="0.25">
      <c r="A6989" t="s">
        <v>5964</v>
      </c>
      <c r="B6989" t="s">
        <v>268</v>
      </c>
      <c r="C6989" t="s">
        <v>467</v>
      </c>
      <c r="D6989" t="str">
        <f>HYPERLINK("http://service.sap.com/sap/support/notes/1692663","1692663")</f>
        <v>1692663</v>
      </c>
      <c r="E6989">
        <v>1</v>
      </c>
      <c r="F6989" t="s">
        <v>6053</v>
      </c>
    </row>
    <row r="6990" spans="1:6" x14ac:dyDescent="0.25">
      <c r="A6990" t="s">
        <v>5964</v>
      </c>
      <c r="B6990" t="s">
        <v>268</v>
      </c>
      <c r="C6990" t="s">
        <v>467</v>
      </c>
      <c r="D6990" t="str">
        <f>HYPERLINK("http://service.sap.com/sap/support/notes/1696196","1696196")</f>
        <v>1696196</v>
      </c>
      <c r="E6990">
        <v>2</v>
      </c>
      <c r="F6990" t="s">
        <v>6054</v>
      </c>
    </row>
    <row r="6991" spans="1:6" x14ac:dyDescent="0.25">
      <c r="A6991" t="s">
        <v>5964</v>
      </c>
      <c r="B6991" t="s">
        <v>474</v>
      </c>
      <c r="C6991" t="s">
        <v>475</v>
      </c>
      <c r="D6991" t="str">
        <f>HYPERLINK("http://service.sap.com/sap/support/notes/1671831","1671831")</f>
        <v>1671831</v>
      </c>
      <c r="E6991">
        <v>1</v>
      </c>
      <c r="F6991" t="s">
        <v>5797</v>
      </c>
    </row>
    <row r="6992" spans="1:6" x14ac:dyDescent="0.25">
      <c r="A6992" t="s">
        <v>5964</v>
      </c>
      <c r="B6992" t="s">
        <v>474</v>
      </c>
      <c r="C6992" t="s">
        <v>475</v>
      </c>
      <c r="D6992" t="str">
        <f>HYPERLINK("http://service.sap.com/sap/support/notes/1687415","1687415")</f>
        <v>1687415</v>
      </c>
      <c r="E6992">
        <v>3</v>
      </c>
      <c r="F6992" t="s">
        <v>6055</v>
      </c>
    </row>
    <row r="6993" spans="1:6" x14ac:dyDescent="0.25">
      <c r="A6993" t="s">
        <v>5964</v>
      </c>
      <c r="B6993" t="s">
        <v>474</v>
      </c>
      <c r="C6993" t="s">
        <v>475</v>
      </c>
      <c r="D6993" t="str">
        <f>HYPERLINK("http://service.sap.com/sap/support/notes/1692406","1692406")</f>
        <v>1692406</v>
      </c>
      <c r="E6993">
        <v>2</v>
      </c>
      <c r="F6993" t="s">
        <v>6056</v>
      </c>
    </row>
    <row r="6994" spans="1:6" x14ac:dyDescent="0.25">
      <c r="A6994" t="s">
        <v>5964</v>
      </c>
      <c r="B6994" t="s">
        <v>474</v>
      </c>
      <c r="C6994" t="s">
        <v>475</v>
      </c>
      <c r="D6994" t="str">
        <f>HYPERLINK("http://service.sap.com/sap/support/notes/1694107","1694107")</f>
        <v>1694107</v>
      </c>
      <c r="E6994">
        <v>2</v>
      </c>
      <c r="F6994" t="s">
        <v>6057</v>
      </c>
    </row>
    <row r="6995" spans="1:6" x14ac:dyDescent="0.25">
      <c r="A6995" t="s">
        <v>5964</v>
      </c>
      <c r="B6995" t="s">
        <v>72</v>
      </c>
      <c r="C6995" t="s">
        <v>73</v>
      </c>
    </row>
    <row r="6996" spans="1:6" x14ac:dyDescent="0.25">
      <c r="A6996" t="s">
        <v>5964</v>
      </c>
      <c r="B6996" t="s">
        <v>281</v>
      </c>
      <c r="C6996" t="s">
        <v>368</v>
      </c>
    </row>
    <row r="6997" spans="1:6" x14ac:dyDescent="0.25">
      <c r="A6997" t="s">
        <v>5964</v>
      </c>
      <c r="B6997" t="s">
        <v>476</v>
      </c>
      <c r="C6997" t="s">
        <v>477</v>
      </c>
      <c r="D6997" t="str">
        <f>HYPERLINK("http://service.sap.com/sap/support/notes/1656653","1656653")</f>
        <v>1656653</v>
      </c>
      <c r="E6997">
        <v>1</v>
      </c>
      <c r="F6997" t="s">
        <v>6058</v>
      </c>
    </row>
    <row r="6998" spans="1:6" x14ac:dyDescent="0.25">
      <c r="A6998" t="s">
        <v>5964</v>
      </c>
      <c r="B6998" t="s">
        <v>476</v>
      </c>
      <c r="C6998" t="s">
        <v>477</v>
      </c>
      <c r="D6998" t="str">
        <f>HYPERLINK("http://service.sap.com/sap/support/notes/1658712","1658712")</f>
        <v>1658712</v>
      </c>
      <c r="E6998">
        <v>1</v>
      </c>
      <c r="F6998" t="s">
        <v>6059</v>
      </c>
    </row>
    <row r="6999" spans="1:6" x14ac:dyDescent="0.25">
      <c r="A6999" t="s">
        <v>5964</v>
      </c>
      <c r="B6999" t="s">
        <v>476</v>
      </c>
      <c r="C6999" t="s">
        <v>477</v>
      </c>
      <c r="D6999" t="str">
        <f>HYPERLINK("http://service.sap.com/sap/support/notes/1684821","1684821")</f>
        <v>1684821</v>
      </c>
      <c r="E6999">
        <v>2</v>
      </c>
      <c r="F6999" t="s">
        <v>6060</v>
      </c>
    </row>
    <row r="7000" spans="1:6" x14ac:dyDescent="0.25">
      <c r="A7000" t="s">
        <v>5964</v>
      </c>
      <c r="B7000" t="s">
        <v>282</v>
      </c>
      <c r="C7000" t="s">
        <v>369</v>
      </c>
      <c r="D7000" t="str">
        <f>HYPERLINK("http://service.sap.com/sap/support/notes/1350962","1350962")</f>
        <v>1350962</v>
      </c>
      <c r="E7000">
        <v>2</v>
      </c>
      <c r="F7000" t="s">
        <v>6061</v>
      </c>
    </row>
    <row r="7001" spans="1:6" x14ac:dyDescent="0.25">
      <c r="A7001" t="s">
        <v>5964</v>
      </c>
      <c r="B7001" t="s">
        <v>282</v>
      </c>
      <c r="C7001" t="s">
        <v>369</v>
      </c>
      <c r="D7001" t="str">
        <f>HYPERLINK("http://service.sap.com/sap/support/notes/1508744","1508744")</f>
        <v>1508744</v>
      </c>
      <c r="E7001">
        <v>2</v>
      </c>
      <c r="F7001" t="s">
        <v>6062</v>
      </c>
    </row>
    <row r="7002" spans="1:6" x14ac:dyDescent="0.25">
      <c r="A7002" t="s">
        <v>5964</v>
      </c>
      <c r="B7002" t="s">
        <v>282</v>
      </c>
      <c r="C7002" t="s">
        <v>369</v>
      </c>
      <c r="D7002" t="str">
        <f>HYPERLINK("http://service.sap.com/sap/support/notes/1609067","1609067")</f>
        <v>1609067</v>
      </c>
      <c r="E7002">
        <v>2</v>
      </c>
      <c r="F7002" t="s">
        <v>6063</v>
      </c>
    </row>
    <row r="7003" spans="1:6" x14ac:dyDescent="0.25">
      <c r="A7003" t="s">
        <v>5964</v>
      </c>
      <c r="B7003" t="s">
        <v>282</v>
      </c>
      <c r="C7003" t="s">
        <v>369</v>
      </c>
      <c r="D7003" t="str">
        <f>HYPERLINK("http://service.sap.com/sap/support/notes/1611578","1611578")</f>
        <v>1611578</v>
      </c>
      <c r="E7003">
        <v>1</v>
      </c>
      <c r="F7003" t="s">
        <v>6064</v>
      </c>
    </row>
    <row r="7004" spans="1:6" x14ac:dyDescent="0.25">
      <c r="A7004" t="s">
        <v>5964</v>
      </c>
      <c r="B7004" t="s">
        <v>282</v>
      </c>
      <c r="C7004" t="s">
        <v>369</v>
      </c>
      <c r="D7004" t="str">
        <f>HYPERLINK("http://service.sap.com/sap/support/notes/1621207","1621207")</f>
        <v>1621207</v>
      </c>
      <c r="E7004">
        <v>1</v>
      </c>
      <c r="F7004" t="s">
        <v>6065</v>
      </c>
    </row>
    <row r="7005" spans="1:6" x14ac:dyDescent="0.25">
      <c r="A7005" t="s">
        <v>5964</v>
      </c>
      <c r="B7005" t="s">
        <v>282</v>
      </c>
      <c r="C7005" t="s">
        <v>369</v>
      </c>
      <c r="D7005" t="str">
        <f>HYPERLINK("http://service.sap.com/sap/support/notes/1621404","1621404")</f>
        <v>1621404</v>
      </c>
      <c r="E7005">
        <v>2</v>
      </c>
      <c r="F7005" t="s">
        <v>6066</v>
      </c>
    </row>
    <row r="7006" spans="1:6" x14ac:dyDescent="0.25">
      <c r="A7006" t="s">
        <v>5964</v>
      </c>
      <c r="B7006" t="s">
        <v>282</v>
      </c>
      <c r="C7006" t="s">
        <v>369</v>
      </c>
      <c r="D7006" t="str">
        <f>HYPERLINK("http://service.sap.com/sap/support/notes/1624087","1624087")</f>
        <v>1624087</v>
      </c>
      <c r="E7006">
        <v>4</v>
      </c>
      <c r="F7006" t="s">
        <v>6067</v>
      </c>
    </row>
    <row r="7007" spans="1:6" x14ac:dyDescent="0.25">
      <c r="A7007" t="s">
        <v>5964</v>
      </c>
      <c r="B7007" t="s">
        <v>282</v>
      </c>
      <c r="C7007" t="s">
        <v>369</v>
      </c>
      <c r="D7007" t="str">
        <f>HYPERLINK("http://service.sap.com/sap/support/notes/1629900","1629900")</f>
        <v>1629900</v>
      </c>
      <c r="E7007">
        <v>2</v>
      </c>
      <c r="F7007" t="s">
        <v>6068</v>
      </c>
    </row>
    <row r="7008" spans="1:6" x14ac:dyDescent="0.25">
      <c r="A7008" t="s">
        <v>5964</v>
      </c>
      <c r="B7008" t="s">
        <v>282</v>
      </c>
      <c r="C7008" t="s">
        <v>369</v>
      </c>
      <c r="D7008" t="str">
        <f>HYPERLINK("http://service.sap.com/sap/support/notes/1637919","1637919")</f>
        <v>1637919</v>
      </c>
      <c r="E7008">
        <v>2</v>
      </c>
      <c r="F7008" t="s">
        <v>6069</v>
      </c>
    </row>
    <row r="7009" spans="1:6" x14ac:dyDescent="0.25">
      <c r="A7009" t="s">
        <v>5964</v>
      </c>
      <c r="B7009" t="s">
        <v>282</v>
      </c>
      <c r="C7009" t="s">
        <v>369</v>
      </c>
      <c r="D7009" t="str">
        <f>HYPERLINK("http://service.sap.com/sap/support/notes/1664146","1664146")</f>
        <v>1664146</v>
      </c>
      <c r="E7009">
        <v>2</v>
      </c>
      <c r="F7009" t="s">
        <v>6070</v>
      </c>
    </row>
    <row r="7010" spans="1:6" x14ac:dyDescent="0.25">
      <c r="A7010" t="s">
        <v>5964</v>
      </c>
      <c r="B7010" t="s">
        <v>282</v>
      </c>
      <c r="C7010" t="s">
        <v>369</v>
      </c>
      <c r="D7010" t="str">
        <f>HYPERLINK("http://service.sap.com/sap/support/notes/1671163","1671163")</f>
        <v>1671163</v>
      </c>
      <c r="E7010">
        <v>11</v>
      </c>
      <c r="F7010" t="s">
        <v>6071</v>
      </c>
    </row>
    <row r="7011" spans="1:6" x14ac:dyDescent="0.25">
      <c r="A7011" t="s">
        <v>5964</v>
      </c>
      <c r="B7011" t="s">
        <v>282</v>
      </c>
      <c r="C7011" t="s">
        <v>369</v>
      </c>
      <c r="D7011" t="str">
        <f>HYPERLINK("http://service.sap.com/sap/support/notes/1681450","1681450")</f>
        <v>1681450</v>
      </c>
      <c r="E7011">
        <v>5</v>
      </c>
      <c r="F7011" t="s">
        <v>2855</v>
      </c>
    </row>
    <row r="7012" spans="1:6" x14ac:dyDescent="0.25">
      <c r="A7012" t="s">
        <v>5964</v>
      </c>
      <c r="B7012" t="s">
        <v>282</v>
      </c>
      <c r="C7012" t="s">
        <v>369</v>
      </c>
      <c r="D7012" t="str">
        <f>HYPERLINK("http://service.sap.com/sap/support/notes/1682767","1682767")</f>
        <v>1682767</v>
      </c>
      <c r="E7012">
        <v>2</v>
      </c>
      <c r="F7012" t="s">
        <v>6072</v>
      </c>
    </row>
    <row r="7013" spans="1:6" x14ac:dyDescent="0.25">
      <c r="A7013" t="s">
        <v>5964</v>
      </c>
      <c r="B7013" t="s">
        <v>282</v>
      </c>
      <c r="C7013" t="s">
        <v>369</v>
      </c>
      <c r="D7013" t="str">
        <f>HYPERLINK("http://service.sap.com/sap/support/notes/1682891","1682891")</f>
        <v>1682891</v>
      </c>
      <c r="E7013">
        <v>2</v>
      </c>
      <c r="F7013" t="s">
        <v>6073</v>
      </c>
    </row>
    <row r="7014" spans="1:6" x14ac:dyDescent="0.25">
      <c r="A7014" t="s">
        <v>5964</v>
      </c>
      <c r="B7014" t="s">
        <v>282</v>
      </c>
      <c r="C7014" t="s">
        <v>369</v>
      </c>
      <c r="D7014" t="str">
        <f>HYPERLINK("http://service.sap.com/sap/support/notes/1683759","1683759")</f>
        <v>1683759</v>
      </c>
      <c r="E7014">
        <v>2</v>
      </c>
      <c r="F7014" t="s">
        <v>6074</v>
      </c>
    </row>
    <row r="7015" spans="1:6" x14ac:dyDescent="0.25">
      <c r="A7015" t="s">
        <v>5964</v>
      </c>
      <c r="B7015" t="s">
        <v>282</v>
      </c>
      <c r="C7015" t="s">
        <v>369</v>
      </c>
      <c r="D7015" t="str">
        <f>HYPERLINK("http://service.sap.com/sap/support/notes/1686562","1686562")</f>
        <v>1686562</v>
      </c>
      <c r="E7015">
        <v>2</v>
      </c>
      <c r="F7015" t="s">
        <v>6075</v>
      </c>
    </row>
    <row r="7016" spans="1:6" x14ac:dyDescent="0.25">
      <c r="A7016" t="s">
        <v>5964</v>
      </c>
      <c r="B7016" t="s">
        <v>282</v>
      </c>
      <c r="C7016" t="s">
        <v>369</v>
      </c>
      <c r="D7016" t="str">
        <f>HYPERLINK("http://service.sap.com/sap/support/notes/1687116","1687116")</f>
        <v>1687116</v>
      </c>
      <c r="E7016">
        <v>2</v>
      </c>
      <c r="F7016" t="s">
        <v>6076</v>
      </c>
    </row>
    <row r="7017" spans="1:6" x14ac:dyDescent="0.25">
      <c r="A7017" t="s">
        <v>5964</v>
      </c>
      <c r="B7017" t="s">
        <v>283</v>
      </c>
      <c r="C7017" t="s">
        <v>365</v>
      </c>
      <c r="D7017" t="str">
        <f>HYPERLINK("http://service.sap.com/sap/support/notes/1675189","1675189")</f>
        <v>1675189</v>
      </c>
      <c r="E7017">
        <v>1</v>
      </c>
      <c r="F7017" t="s">
        <v>6077</v>
      </c>
    </row>
    <row r="7018" spans="1:6" x14ac:dyDescent="0.25">
      <c r="A7018" t="s">
        <v>5964</v>
      </c>
      <c r="B7018" t="s">
        <v>284</v>
      </c>
      <c r="C7018" t="s">
        <v>393</v>
      </c>
    </row>
    <row r="7019" spans="1:6" x14ac:dyDescent="0.25">
      <c r="A7019" t="s">
        <v>5964</v>
      </c>
      <c r="B7019" t="s">
        <v>285</v>
      </c>
      <c r="C7019" t="s">
        <v>658</v>
      </c>
      <c r="D7019" t="str">
        <f>HYPERLINK("http://service.sap.com/sap/support/notes/1673381","1673381")</f>
        <v>1673381</v>
      </c>
      <c r="E7019">
        <v>1</v>
      </c>
      <c r="F7019" t="s">
        <v>6078</v>
      </c>
    </row>
    <row r="7020" spans="1:6" x14ac:dyDescent="0.25">
      <c r="A7020" t="s">
        <v>5964</v>
      </c>
      <c r="B7020" t="s">
        <v>287</v>
      </c>
      <c r="C7020" t="s">
        <v>288</v>
      </c>
    </row>
    <row r="7021" spans="1:6" x14ac:dyDescent="0.25">
      <c r="A7021" t="s">
        <v>5964</v>
      </c>
      <c r="B7021" t="s">
        <v>659</v>
      </c>
      <c r="C7021" t="s">
        <v>660</v>
      </c>
      <c r="D7021" t="str">
        <f>HYPERLINK("http://service.sap.com/sap/support/notes/1644237","1644237")</f>
        <v>1644237</v>
      </c>
      <c r="E7021">
        <v>2</v>
      </c>
      <c r="F7021" t="s">
        <v>6079</v>
      </c>
    </row>
    <row r="7022" spans="1:6" x14ac:dyDescent="0.25">
      <c r="A7022" t="s">
        <v>5964</v>
      </c>
      <c r="B7022" t="s">
        <v>293</v>
      </c>
      <c r="C7022" t="s">
        <v>587</v>
      </c>
    </row>
    <row r="7023" spans="1:6" x14ac:dyDescent="0.25">
      <c r="A7023" t="s">
        <v>5964</v>
      </c>
      <c r="B7023" t="s">
        <v>298</v>
      </c>
      <c r="C7023" t="s">
        <v>588</v>
      </c>
    </row>
    <row r="7024" spans="1:6" x14ac:dyDescent="0.25">
      <c r="A7024" t="s">
        <v>5964</v>
      </c>
      <c r="B7024" t="s">
        <v>299</v>
      </c>
      <c r="C7024" t="s">
        <v>661</v>
      </c>
      <c r="D7024" t="str">
        <f>HYPERLINK("http://service.sap.com/sap/support/notes/1678751","1678751")</f>
        <v>1678751</v>
      </c>
      <c r="E7024">
        <v>1</v>
      </c>
      <c r="F7024" t="s">
        <v>6080</v>
      </c>
    </row>
    <row r="7025" spans="1:6" x14ac:dyDescent="0.25">
      <c r="A7025" t="s">
        <v>5964</v>
      </c>
      <c r="B7025" t="s">
        <v>299</v>
      </c>
      <c r="C7025" t="s">
        <v>661</v>
      </c>
      <c r="D7025" t="str">
        <f>HYPERLINK("http://service.sap.com/sap/support/notes/1679335","1679335")</f>
        <v>1679335</v>
      </c>
      <c r="E7025">
        <v>1</v>
      </c>
      <c r="F7025" t="s">
        <v>6081</v>
      </c>
    </row>
    <row r="7026" spans="1:6" x14ac:dyDescent="0.25">
      <c r="A7026" t="s">
        <v>5964</v>
      </c>
      <c r="B7026" t="s">
        <v>299</v>
      </c>
      <c r="C7026" t="s">
        <v>661</v>
      </c>
      <c r="D7026" t="str">
        <f>HYPERLINK("http://service.sap.com/sap/support/notes/1679835","1679835")</f>
        <v>1679835</v>
      </c>
      <c r="E7026">
        <v>1</v>
      </c>
      <c r="F7026" t="s">
        <v>6082</v>
      </c>
    </row>
    <row r="7027" spans="1:6" x14ac:dyDescent="0.25">
      <c r="A7027" t="s">
        <v>5964</v>
      </c>
      <c r="B7027" t="s">
        <v>299</v>
      </c>
      <c r="C7027" t="s">
        <v>661</v>
      </c>
      <c r="D7027" t="str">
        <f>HYPERLINK("http://service.sap.com/sap/support/notes/1684420","1684420")</f>
        <v>1684420</v>
      </c>
      <c r="E7027">
        <v>1</v>
      </c>
      <c r="F7027" t="s">
        <v>6083</v>
      </c>
    </row>
    <row r="7028" spans="1:6" x14ac:dyDescent="0.25">
      <c r="A7028" t="s">
        <v>5964</v>
      </c>
      <c r="B7028" t="s">
        <v>589</v>
      </c>
      <c r="C7028" t="s">
        <v>443</v>
      </c>
      <c r="D7028" t="str">
        <f>HYPERLINK("http://service.sap.com/sap/support/notes/1653436","1653436")</f>
        <v>1653436</v>
      </c>
      <c r="E7028">
        <v>1</v>
      </c>
      <c r="F7028" t="s">
        <v>6084</v>
      </c>
    </row>
    <row r="7029" spans="1:6" x14ac:dyDescent="0.25">
      <c r="A7029" t="s">
        <v>5964</v>
      </c>
      <c r="B7029" t="s">
        <v>76</v>
      </c>
      <c r="C7029" t="s">
        <v>77</v>
      </c>
    </row>
    <row r="7030" spans="1:6" x14ac:dyDescent="0.25">
      <c r="A7030" t="s">
        <v>5964</v>
      </c>
      <c r="B7030" t="s">
        <v>83</v>
      </c>
      <c r="C7030" t="s">
        <v>84</v>
      </c>
      <c r="D7030" t="str">
        <f>HYPERLINK("http://service.sap.com/sap/support/notes/1676193","1676193")</f>
        <v>1676193</v>
      </c>
      <c r="E7030">
        <v>2</v>
      </c>
      <c r="F7030" t="s">
        <v>2892</v>
      </c>
    </row>
    <row r="7031" spans="1:6" x14ac:dyDescent="0.25">
      <c r="A7031" t="s">
        <v>5964</v>
      </c>
      <c r="B7031" t="s">
        <v>83</v>
      </c>
      <c r="C7031" t="s">
        <v>84</v>
      </c>
      <c r="D7031" t="str">
        <f>HYPERLINK("http://service.sap.com/sap/support/notes/1682965","1682965")</f>
        <v>1682965</v>
      </c>
      <c r="E7031">
        <v>1</v>
      </c>
      <c r="F7031" t="s">
        <v>2893</v>
      </c>
    </row>
    <row r="7032" spans="1:6" x14ac:dyDescent="0.25">
      <c r="A7032" t="s">
        <v>5964</v>
      </c>
      <c r="B7032" t="s">
        <v>83</v>
      </c>
      <c r="C7032" t="s">
        <v>84</v>
      </c>
      <c r="D7032" t="str">
        <f>HYPERLINK("http://service.sap.com/sap/support/notes/1685108","1685108")</f>
        <v>1685108</v>
      </c>
      <c r="E7032">
        <v>1</v>
      </c>
      <c r="F7032" t="s">
        <v>6085</v>
      </c>
    </row>
    <row r="7033" spans="1:6" x14ac:dyDescent="0.25">
      <c r="A7033" t="s">
        <v>5964</v>
      </c>
      <c r="B7033" t="s">
        <v>83</v>
      </c>
      <c r="C7033" t="s">
        <v>84</v>
      </c>
      <c r="D7033" t="str">
        <f>HYPERLINK("http://service.sap.com/sap/support/notes/1689846","1689846")</f>
        <v>1689846</v>
      </c>
      <c r="E7033">
        <v>1</v>
      </c>
      <c r="F7033" t="s">
        <v>2898</v>
      </c>
    </row>
    <row r="7034" spans="1:6" x14ac:dyDescent="0.25">
      <c r="A7034" t="s">
        <v>5964</v>
      </c>
      <c r="B7034" t="s">
        <v>83</v>
      </c>
      <c r="C7034" t="s">
        <v>84</v>
      </c>
      <c r="D7034" t="str">
        <f>HYPERLINK("http://service.sap.com/sap/support/notes/1693853","1693853")</f>
        <v>1693853</v>
      </c>
      <c r="E7034">
        <v>1</v>
      </c>
      <c r="F7034" t="s">
        <v>2904</v>
      </c>
    </row>
    <row r="7035" spans="1:6" x14ac:dyDescent="0.25">
      <c r="A7035" t="s">
        <v>5964</v>
      </c>
      <c r="B7035" t="s">
        <v>83</v>
      </c>
      <c r="C7035" t="s">
        <v>84</v>
      </c>
      <c r="D7035" t="str">
        <f>HYPERLINK("http://service.sap.com/sap/support/notes/1695147","1695147")</f>
        <v>1695147</v>
      </c>
      <c r="E7035">
        <v>1</v>
      </c>
      <c r="F7035" t="s">
        <v>2905</v>
      </c>
    </row>
    <row r="7036" spans="1:6" x14ac:dyDescent="0.25">
      <c r="A7036" t="s">
        <v>5964</v>
      </c>
      <c r="B7036" t="s">
        <v>83</v>
      </c>
      <c r="C7036" t="s">
        <v>84</v>
      </c>
      <c r="D7036" t="str">
        <f>HYPERLINK("http://service.sap.com/sap/support/notes/1696725","1696725")</f>
        <v>1696725</v>
      </c>
      <c r="E7036">
        <v>1</v>
      </c>
      <c r="F7036" t="s">
        <v>2906</v>
      </c>
    </row>
    <row r="7037" spans="1:6" x14ac:dyDescent="0.25">
      <c r="A7037" t="s">
        <v>5964</v>
      </c>
      <c r="B7037" t="s">
        <v>86</v>
      </c>
      <c r="C7037" t="s">
        <v>87</v>
      </c>
      <c r="D7037" t="str">
        <f>HYPERLINK("http://service.sap.com/sap/support/notes/1591795","1591795")</f>
        <v>1591795</v>
      </c>
      <c r="E7037">
        <v>2</v>
      </c>
      <c r="F7037" t="s">
        <v>6086</v>
      </c>
    </row>
    <row r="7038" spans="1:6" x14ac:dyDescent="0.25">
      <c r="A7038" t="s">
        <v>5964</v>
      </c>
      <c r="B7038" t="s">
        <v>86</v>
      </c>
      <c r="C7038" t="s">
        <v>87</v>
      </c>
      <c r="D7038" t="str">
        <f>HYPERLINK("http://service.sap.com/sap/support/notes/1604654","1604654")</f>
        <v>1604654</v>
      </c>
      <c r="E7038">
        <v>5</v>
      </c>
      <c r="F7038" t="s">
        <v>2525</v>
      </c>
    </row>
    <row r="7039" spans="1:6" x14ac:dyDescent="0.25">
      <c r="A7039" t="s">
        <v>5964</v>
      </c>
      <c r="B7039" t="s">
        <v>86</v>
      </c>
      <c r="C7039" t="s">
        <v>87</v>
      </c>
      <c r="D7039" t="str">
        <f>HYPERLINK("http://service.sap.com/sap/support/notes/1684774","1684774")</f>
        <v>1684774</v>
      </c>
      <c r="E7039">
        <v>1</v>
      </c>
      <c r="F7039" t="s">
        <v>6087</v>
      </c>
    </row>
    <row r="7040" spans="1:6" x14ac:dyDescent="0.25">
      <c r="A7040" t="s">
        <v>5964</v>
      </c>
      <c r="B7040" t="s">
        <v>86</v>
      </c>
      <c r="C7040" t="s">
        <v>87</v>
      </c>
      <c r="D7040" t="str">
        <f>HYPERLINK("http://service.sap.com/sap/support/notes/1685687","1685687")</f>
        <v>1685687</v>
      </c>
      <c r="E7040">
        <v>1</v>
      </c>
      <c r="F7040" t="s">
        <v>6088</v>
      </c>
    </row>
    <row r="7041" spans="1:6" x14ac:dyDescent="0.25">
      <c r="A7041" t="s">
        <v>5964</v>
      </c>
      <c r="B7041" t="s">
        <v>86</v>
      </c>
      <c r="C7041" t="s">
        <v>87</v>
      </c>
      <c r="D7041" t="str">
        <f>HYPERLINK("http://service.sap.com/sap/support/notes/1690504","1690504")</f>
        <v>1690504</v>
      </c>
      <c r="E7041">
        <v>1</v>
      </c>
      <c r="F7041" t="s">
        <v>372</v>
      </c>
    </row>
    <row r="7042" spans="1:6" x14ac:dyDescent="0.25">
      <c r="A7042" t="s">
        <v>5964</v>
      </c>
      <c r="B7042" t="s">
        <v>86</v>
      </c>
      <c r="C7042" t="s">
        <v>87</v>
      </c>
      <c r="D7042" t="str">
        <f>HYPERLINK("http://service.sap.com/sap/support/notes/1691807","1691807")</f>
        <v>1691807</v>
      </c>
      <c r="E7042">
        <v>1</v>
      </c>
      <c r="F7042" t="s">
        <v>6089</v>
      </c>
    </row>
    <row r="7043" spans="1:6" x14ac:dyDescent="0.25">
      <c r="A7043" t="s">
        <v>5964</v>
      </c>
      <c r="B7043" t="s">
        <v>86</v>
      </c>
      <c r="C7043" t="s">
        <v>87</v>
      </c>
      <c r="D7043" t="str">
        <f>HYPERLINK("http://service.sap.com/sap/support/notes/1693131","1693131")</f>
        <v>1693131</v>
      </c>
      <c r="E7043">
        <v>1</v>
      </c>
      <c r="F7043" t="s">
        <v>2908</v>
      </c>
    </row>
    <row r="7044" spans="1:6" x14ac:dyDescent="0.25">
      <c r="A7044" t="s">
        <v>5964</v>
      </c>
      <c r="B7044" t="s">
        <v>86</v>
      </c>
      <c r="C7044" t="s">
        <v>87</v>
      </c>
      <c r="D7044" t="str">
        <f>HYPERLINK("http://service.sap.com/sap/support/notes/1693993","1693993")</f>
        <v>1693993</v>
      </c>
      <c r="E7044">
        <v>1</v>
      </c>
      <c r="F7044" t="s">
        <v>6090</v>
      </c>
    </row>
    <row r="7045" spans="1:6" x14ac:dyDescent="0.25">
      <c r="A7045" t="s">
        <v>5964</v>
      </c>
      <c r="B7045" t="s">
        <v>86</v>
      </c>
      <c r="C7045" t="s">
        <v>87</v>
      </c>
      <c r="D7045" t="str">
        <f>HYPERLINK("http://service.sap.com/sap/support/notes/1695848","1695848")</f>
        <v>1695848</v>
      </c>
      <c r="E7045">
        <v>1</v>
      </c>
      <c r="F7045" t="s">
        <v>6091</v>
      </c>
    </row>
    <row r="7046" spans="1:6" x14ac:dyDescent="0.25">
      <c r="A7046" t="s">
        <v>5964</v>
      </c>
      <c r="B7046" t="s">
        <v>94</v>
      </c>
      <c r="C7046" t="s">
        <v>95</v>
      </c>
      <c r="D7046" t="str">
        <f>HYPERLINK("http://service.sap.com/sap/support/notes/1683198","1683198")</f>
        <v>1683198</v>
      </c>
      <c r="E7046">
        <v>1</v>
      </c>
      <c r="F7046" t="s">
        <v>2934</v>
      </c>
    </row>
    <row r="7047" spans="1:6" x14ac:dyDescent="0.25">
      <c r="A7047" t="s">
        <v>5964</v>
      </c>
      <c r="B7047" t="s">
        <v>306</v>
      </c>
      <c r="C7047" t="s">
        <v>132</v>
      </c>
      <c r="D7047" t="str">
        <f>HYPERLINK("http://service.sap.com/sap/support/notes/1681069","1681069")</f>
        <v>1681069</v>
      </c>
      <c r="E7047">
        <v>1</v>
      </c>
      <c r="F7047" t="s">
        <v>2935</v>
      </c>
    </row>
    <row r="7048" spans="1:6" x14ac:dyDescent="0.25">
      <c r="A7048" t="s">
        <v>5964</v>
      </c>
      <c r="B7048" t="s">
        <v>381</v>
      </c>
      <c r="C7048" t="s">
        <v>382</v>
      </c>
      <c r="D7048" t="str">
        <f>HYPERLINK("http://service.sap.com/sap/support/notes/1682655","1682655")</f>
        <v>1682655</v>
      </c>
      <c r="E7048">
        <v>1</v>
      </c>
      <c r="F7048" t="s">
        <v>2936</v>
      </c>
    </row>
    <row r="7049" spans="1:6" x14ac:dyDescent="0.25">
      <c r="A7049" t="s">
        <v>5964</v>
      </c>
      <c r="B7049" t="s">
        <v>138</v>
      </c>
      <c r="C7049" t="s">
        <v>42</v>
      </c>
      <c r="D7049" t="str">
        <f>HYPERLINK("http://service.sap.com/sap/support/notes/1692426","1692426")</f>
        <v>1692426</v>
      </c>
      <c r="E7049">
        <v>2</v>
      </c>
      <c r="F7049" t="s">
        <v>3057</v>
      </c>
    </row>
    <row r="7050" spans="1:6" x14ac:dyDescent="0.25">
      <c r="A7050" t="s">
        <v>5964</v>
      </c>
      <c r="B7050" t="s">
        <v>146</v>
      </c>
      <c r="C7050" t="s">
        <v>147</v>
      </c>
      <c r="D7050" t="str">
        <f>HYPERLINK("http://service.sap.com/sap/support/notes/1689948","1689948")</f>
        <v>1689948</v>
      </c>
      <c r="E7050">
        <v>1</v>
      </c>
      <c r="F7050" t="s">
        <v>6092</v>
      </c>
    </row>
    <row r="7051" spans="1:6" x14ac:dyDescent="0.25">
      <c r="A7051" t="s">
        <v>5964</v>
      </c>
      <c r="B7051" t="s">
        <v>152</v>
      </c>
      <c r="C7051" t="s">
        <v>47</v>
      </c>
      <c r="D7051" t="str">
        <f>HYPERLINK("http://service.sap.com/sap/support/notes/1168955","1168955")</f>
        <v>1168955</v>
      </c>
      <c r="E7051">
        <v>1</v>
      </c>
      <c r="F7051" t="s">
        <v>4017</v>
      </c>
    </row>
    <row r="7052" spans="1:6" x14ac:dyDescent="0.25">
      <c r="A7052" t="s">
        <v>5964</v>
      </c>
      <c r="B7052" t="s">
        <v>153</v>
      </c>
      <c r="C7052" t="s">
        <v>154</v>
      </c>
      <c r="D7052" t="str">
        <f>HYPERLINK("http://service.sap.com/sap/support/notes/1685478","1685478")</f>
        <v>1685478</v>
      </c>
      <c r="E7052">
        <v>1</v>
      </c>
      <c r="F7052" t="s">
        <v>6093</v>
      </c>
    </row>
    <row r="7053" spans="1:6" x14ac:dyDescent="0.25">
      <c r="A7053" t="s">
        <v>5964</v>
      </c>
      <c r="B7053" t="s">
        <v>171</v>
      </c>
      <c r="C7053" t="s">
        <v>172</v>
      </c>
      <c r="D7053" t="str">
        <f>HYPERLINK("http://service.sap.com/sap/support/notes/1683729","1683729")</f>
        <v>1683729</v>
      </c>
      <c r="E7053">
        <v>1</v>
      </c>
      <c r="F7053" t="s">
        <v>3154</v>
      </c>
    </row>
    <row r="7054" spans="1:6" x14ac:dyDescent="0.25">
      <c r="A7054" t="s">
        <v>5964</v>
      </c>
      <c r="B7054" t="s">
        <v>179</v>
      </c>
      <c r="C7054" t="s">
        <v>180</v>
      </c>
      <c r="D7054" t="str">
        <f>HYPERLINK("http://service.sap.com/sap/support/notes/1678167","1678167")</f>
        <v>1678167</v>
      </c>
      <c r="E7054">
        <v>1</v>
      </c>
      <c r="F7054" t="s">
        <v>2791</v>
      </c>
    </row>
    <row r="7055" spans="1:6" x14ac:dyDescent="0.25">
      <c r="A7055" t="s">
        <v>5964</v>
      </c>
      <c r="B7055" t="s">
        <v>179</v>
      </c>
      <c r="C7055" t="s">
        <v>180</v>
      </c>
      <c r="D7055" t="str">
        <f>HYPERLINK("http://service.sap.com/sap/support/notes/1681584","1681584")</f>
        <v>1681584</v>
      </c>
      <c r="E7055">
        <v>2</v>
      </c>
      <c r="F7055" t="s">
        <v>2793</v>
      </c>
    </row>
    <row r="7056" spans="1:6" x14ac:dyDescent="0.25">
      <c r="A7056" t="s">
        <v>5964</v>
      </c>
      <c r="B7056" t="s">
        <v>179</v>
      </c>
      <c r="C7056" t="s">
        <v>180</v>
      </c>
      <c r="D7056" t="str">
        <f>HYPERLINK("http://service.sap.com/sap/support/notes/1686712","1686712")</f>
        <v>1686712</v>
      </c>
      <c r="E7056">
        <v>1</v>
      </c>
      <c r="F7056" t="s">
        <v>3176</v>
      </c>
    </row>
    <row r="7057" spans="1:6" x14ac:dyDescent="0.25">
      <c r="A7057" t="s">
        <v>5964</v>
      </c>
      <c r="B7057" t="s">
        <v>179</v>
      </c>
      <c r="C7057" t="s">
        <v>180</v>
      </c>
      <c r="D7057" t="str">
        <f>HYPERLINK("http://service.sap.com/sap/support/notes/1689331","1689331")</f>
        <v>1689331</v>
      </c>
      <c r="E7057">
        <v>1</v>
      </c>
      <c r="F7057" t="s">
        <v>3180</v>
      </c>
    </row>
    <row r="7058" spans="1:6" x14ac:dyDescent="0.25">
      <c r="A7058" t="s">
        <v>5964</v>
      </c>
      <c r="B7058" t="s">
        <v>179</v>
      </c>
      <c r="C7058" t="s">
        <v>180</v>
      </c>
      <c r="D7058" t="str">
        <f>HYPERLINK("http://service.sap.com/sap/support/notes/1692626","1692626")</f>
        <v>1692626</v>
      </c>
      <c r="E7058">
        <v>1</v>
      </c>
      <c r="F7058" t="s">
        <v>3185</v>
      </c>
    </row>
    <row r="7059" spans="1:6" x14ac:dyDescent="0.25">
      <c r="A7059" t="s">
        <v>5964</v>
      </c>
      <c r="B7059" t="s">
        <v>181</v>
      </c>
      <c r="C7059" t="s">
        <v>182</v>
      </c>
    </row>
    <row r="7060" spans="1:6" x14ac:dyDescent="0.25">
      <c r="A7060" t="s">
        <v>5964</v>
      </c>
      <c r="B7060" t="s">
        <v>672</v>
      </c>
      <c r="C7060" t="s">
        <v>646</v>
      </c>
      <c r="D7060" t="str">
        <f>HYPERLINK("http://service.sap.com/sap/support/notes/1686569","1686569")</f>
        <v>1686569</v>
      </c>
      <c r="E7060">
        <v>1</v>
      </c>
      <c r="F7060" t="s">
        <v>6094</v>
      </c>
    </row>
    <row r="7061" spans="1:6" x14ac:dyDescent="0.25">
      <c r="A7061" t="s">
        <v>5964</v>
      </c>
      <c r="B7061" t="s">
        <v>183</v>
      </c>
      <c r="C7061" t="s">
        <v>184</v>
      </c>
      <c r="D7061" t="str">
        <f>HYPERLINK("http://service.sap.com/sap/support/notes/1684518","1684518")</f>
        <v>1684518</v>
      </c>
      <c r="E7061">
        <v>1</v>
      </c>
      <c r="F7061" t="s">
        <v>6095</v>
      </c>
    </row>
    <row r="7062" spans="1:6" x14ac:dyDescent="0.25">
      <c r="A7062" t="s">
        <v>5964</v>
      </c>
      <c r="B7062" t="s">
        <v>191</v>
      </c>
      <c r="C7062" t="s">
        <v>62</v>
      </c>
    </row>
    <row r="7063" spans="1:6" x14ac:dyDescent="0.25">
      <c r="A7063" t="s">
        <v>5964</v>
      </c>
      <c r="B7063" t="s">
        <v>195</v>
      </c>
      <c r="C7063" t="s">
        <v>132</v>
      </c>
      <c r="D7063" t="str">
        <f>HYPERLINK("http://service.sap.com/sap/support/notes/1650530","1650530")</f>
        <v>1650530</v>
      </c>
      <c r="E7063">
        <v>2</v>
      </c>
      <c r="F7063" t="s">
        <v>3204</v>
      </c>
    </row>
    <row r="7064" spans="1:6" x14ac:dyDescent="0.25">
      <c r="A7064" t="s">
        <v>5964</v>
      </c>
      <c r="B7064" t="s">
        <v>195</v>
      </c>
      <c r="C7064" t="s">
        <v>132</v>
      </c>
      <c r="D7064" t="str">
        <f>HYPERLINK("http://service.sap.com/sap/support/notes/1676578","1676578")</f>
        <v>1676578</v>
      </c>
      <c r="E7064">
        <v>2</v>
      </c>
      <c r="F7064" t="s">
        <v>3205</v>
      </c>
    </row>
    <row r="7065" spans="1:6" x14ac:dyDescent="0.25">
      <c r="A7065" t="s">
        <v>5964</v>
      </c>
      <c r="B7065" t="s">
        <v>203</v>
      </c>
      <c r="C7065" t="s">
        <v>204</v>
      </c>
    </row>
    <row r="7066" spans="1:6" x14ac:dyDescent="0.25">
      <c r="A7066" t="s">
        <v>5964</v>
      </c>
      <c r="B7066" t="s">
        <v>337</v>
      </c>
      <c r="C7066" t="s">
        <v>634</v>
      </c>
      <c r="D7066" t="str">
        <f>HYPERLINK("http://service.sap.com/sap/support/notes/1655567","1655567")</f>
        <v>1655567</v>
      </c>
      <c r="E7066">
        <v>2</v>
      </c>
      <c r="F7066" t="s">
        <v>6096</v>
      </c>
    </row>
    <row r="7067" spans="1:6" x14ac:dyDescent="0.25">
      <c r="A7067" t="s">
        <v>5964</v>
      </c>
      <c r="B7067" t="s">
        <v>537</v>
      </c>
      <c r="C7067" t="s">
        <v>538</v>
      </c>
      <c r="D7067" t="str">
        <f>HYPERLINK("http://service.sap.com/sap/support/notes/1687352","1687352")</f>
        <v>1687352</v>
      </c>
      <c r="E7067">
        <v>2</v>
      </c>
      <c r="F7067" t="s">
        <v>6097</v>
      </c>
    </row>
    <row r="7068" spans="1:6" x14ac:dyDescent="0.25">
      <c r="A7068" t="s">
        <v>5964</v>
      </c>
      <c r="B7068" t="s">
        <v>207</v>
      </c>
      <c r="C7068" t="s">
        <v>208</v>
      </c>
    </row>
    <row r="7069" spans="1:6" x14ac:dyDescent="0.25">
      <c r="A7069" t="s">
        <v>5964</v>
      </c>
      <c r="B7069" t="s">
        <v>209</v>
      </c>
      <c r="C7069" t="s">
        <v>210</v>
      </c>
    </row>
    <row r="7070" spans="1:6" x14ac:dyDescent="0.25">
      <c r="A7070" t="s">
        <v>5964</v>
      </c>
      <c r="B7070" t="s">
        <v>5247</v>
      </c>
      <c r="C7070" t="s">
        <v>5248</v>
      </c>
    </row>
    <row r="7071" spans="1:6" x14ac:dyDescent="0.25">
      <c r="A7071" t="s">
        <v>5964</v>
      </c>
      <c r="B7071" t="s">
        <v>5249</v>
      </c>
      <c r="C7071" t="s">
        <v>655</v>
      </c>
      <c r="D7071" t="str">
        <f>HYPERLINK("http://service.sap.com/sap/support/notes/1687973","1687973")</f>
        <v>1687973</v>
      </c>
      <c r="E7071">
        <v>1</v>
      </c>
      <c r="F7071" t="s">
        <v>6098</v>
      </c>
    </row>
    <row r="7072" spans="1:6" x14ac:dyDescent="0.25">
      <c r="A7072" t="s">
        <v>5964</v>
      </c>
      <c r="B7072" t="s">
        <v>652</v>
      </c>
      <c r="C7072" t="s">
        <v>653</v>
      </c>
    </row>
    <row r="7073" spans="1:6" x14ac:dyDescent="0.25">
      <c r="A7073" t="s">
        <v>5964</v>
      </c>
      <c r="B7073" t="s">
        <v>654</v>
      </c>
      <c r="C7073" t="s">
        <v>655</v>
      </c>
      <c r="D7073" t="str">
        <f>HYPERLINK("http://service.sap.com/sap/support/notes/1692842","1692842")</f>
        <v>1692842</v>
      </c>
      <c r="E7073">
        <v>2</v>
      </c>
      <c r="F7073" t="s">
        <v>6099</v>
      </c>
    </row>
    <row r="7074" spans="1:6" x14ac:dyDescent="0.25">
      <c r="A7074" t="s">
        <v>5964</v>
      </c>
      <c r="B7074" t="s">
        <v>389</v>
      </c>
      <c r="C7074" t="s">
        <v>390</v>
      </c>
    </row>
    <row r="7075" spans="1:6" x14ac:dyDescent="0.25">
      <c r="A7075" t="s">
        <v>5964</v>
      </c>
      <c r="B7075" t="s">
        <v>433</v>
      </c>
      <c r="C7075" t="s">
        <v>593</v>
      </c>
      <c r="D7075" t="str">
        <f>HYPERLINK("http://service.sap.com/sap/support/notes/1680247","1680247")</f>
        <v>1680247</v>
      </c>
      <c r="E7075">
        <v>2</v>
      </c>
      <c r="F7075" t="s">
        <v>5828</v>
      </c>
    </row>
    <row r="7076" spans="1:6" x14ac:dyDescent="0.25">
      <c r="A7076" t="s">
        <v>5964</v>
      </c>
      <c r="B7076" t="s">
        <v>433</v>
      </c>
      <c r="C7076" t="s">
        <v>593</v>
      </c>
      <c r="D7076" t="str">
        <f>HYPERLINK("http://service.sap.com/sap/support/notes/1694734","1694734")</f>
        <v>1694734</v>
      </c>
      <c r="E7076">
        <v>1</v>
      </c>
      <c r="F7076" t="s">
        <v>6100</v>
      </c>
    </row>
    <row r="7077" spans="1:6" x14ac:dyDescent="0.25">
      <c r="A7077" t="s">
        <v>6101</v>
      </c>
      <c r="B7077" t="s">
        <v>220</v>
      </c>
      <c r="C7077" t="s">
        <v>435</v>
      </c>
    </row>
    <row r="7078" spans="1:6" x14ac:dyDescent="0.25">
      <c r="A7078" t="s">
        <v>6101</v>
      </c>
      <c r="B7078" t="s">
        <v>436</v>
      </c>
      <c r="C7078" t="s">
        <v>437</v>
      </c>
    </row>
    <row r="7079" spans="1:6" x14ac:dyDescent="0.25">
      <c r="A7079" t="s">
        <v>6101</v>
      </c>
      <c r="B7079" t="s">
        <v>635</v>
      </c>
      <c r="C7079" t="s">
        <v>636</v>
      </c>
      <c r="D7079" t="str">
        <f>HYPERLINK("http://service.sap.com/sap/support/notes/1706753","1706753")</f>
        <v>1706753</v>
      </c>
      <c r="E7079">
        <v>2</v>
      </c>
      <c r="F7079" t="s">
        <v>6102</v>
      </c>
    </row>
    <row r="7080" spans="1:6" x14ac:dyDescent="0.25">
      <c r="A7080" t="s">
        <v>6101</v>
      </c>
      <c r="B7080" t="s">
        <v>542</v>
      </c>
      <c r="C7080" t="s">
        <v>543</v>
      </c>
    </row>
    <row r="7081" spans="1:6" x14ac:dyDescent="0.25">
      <c r="A7081" t="s">
        <v>6101</v>
      </c>
      <c r="B7081" t="s">
        <v>544</v>
      </c>
      <c r="C7081" t="s">
        <v>545</v>
      </c>
      <c r="D7081" t="str">
        <f>HYPERLINK("http://service.sap.com/sap/support/notes/1702507","1702507")</f>
        <v>1702507</v>
      </c>
      <c r="E7081">
        <v>1</v>
      </c>
      <c r="F7081" t="s">
        <v>6103</v>
      </c>
    </row>
    <row r="7082" spans="1:6" x14ac:dyDescent="0.25">
      <c r="A7082" t="s">
        <v>6101</v>
      </c>
      <c r="B7082" t="s">
        <v>544</v>
      </c>
      <c r="C7082" t="s">
        <v>545</v>
      </c>
      <c r="D7082" t="str">
        <f>HYPERLINK("http://service.sap.com/sap/support/notes/1702771","1702771")</f>
        <v>1702771</v>
      </c>
      <c r="E7082">
        <v>1</v>
      </c>
      <c r="F7082" t="s">
        <v>6104</v>
      </c>
    </row>
    <row r="7083" spans="1:6" x14ac:dyDescent="0.25">
      <c r="A7083" t="s">
        <v>6101</v>
      </c>
      <c r="B7083" t="s">
        <v>438</v>
      </c>
      <c r="C7083" t="s">
        <v>439</v>
      </c>
    </row>
    <row r="7084" spans="1:6" x14ac:dyDescent="0.25">
      <c r="A7084" t="s">
        <v>6101</v>
      </c>
      <c r="B7084" t="s">
        <v>440</v>
      </c>
      <c r="C7084" t="s">
        <v>441</v>
      </c>
    </row>
    <row r="7085" spans="1:6" x14ac:dyDescent="0.25">
      <c r="A7085" t="s">
        <v>6101</v>
      </c>
      <c r="B7085" t="s">
        <v>442</v>
      </c>
      <c r="C7085" t="s">
        <v>443</v>
      </c>
      <c r="D7085" t="str">
        <f>HYPERLINK("http://service.sap.com/sap/support/notes/1707937","1707937")</f>
        <v>1707937</v>
      </c>
      <c r="E7085">
        <v>1</v>
      </c>
      <c r="F7085" t="s">
        <v>6105</v>
      </c>
    </row>
    <row r="7086" spans="1:6" x14ac:dyDescent="0.25">
      <c r="A7086" t="s">
        <v>6101</v>
      </c>
      <c r="B7086" t="s">
        <v>15</v>
      </c>
      <c r="C7086" t="s">
        <v>16</v>
      </c>
    </row>
    <row r="7087" spans="1:6" x14ac:dyDescent="0.25">
      <c r="A7087" t="s">
        <v>6101</v>
      </c>
      <c r="B7087" t="s">
        <v>17</v>
      </c>
      <c r="C7087" t="s">
        <v>18</v>
      </c>
      <c r="D7087" t="str">
        <f>HYPERLINK("http://service.sap.com/sap/support/notes/1675632","1675632")</f>
        <v>1675632</v>
      </c>
      <c r="E7087">
        <v>6</v>
      </c>
      <c r="F7087" t="s">
        <v>6106</v>
      </c>
    </row>
    <row r="7088" spans="1:6" x14ac:dyDescent="0.25">
      <c r="A7088" t="s">
        <v>6101</v>
      </c>
      <c r="B7088" t="s">
        <v>17</v>
      </c>
      <c r="C7088" t="s">
        <v>18</v>
      </c>
      <c r="D7088" t="str">
        <f>HYPERLINK("http://service.sap.com/sap/support/notes/1680510","1680510")</f>
        <v>1680510</v>
      </c>
      <c r="E7088">
        <v>3</v>
      </c>
      <c r="F7088" t="s">
        <v>6107</v>
      </c>
    </row>
    <row r="7089" spans="1:6" x14ac:dyDescent="0.25">
      <c r="A7089" t="s">
        <v>6101</v>
      </c>
      <c r="B7089" t="s">
        <v>17</v>
      </c>
      <c r="C7089" t="s">
        <v>18</v>
      </c>
      <c r="D7089" t="str">
        <f>HYPERLINK("http://service.sap.com/sap/support/notes/1686301","1686301")</f>
        <v>1686301</v>
      </c>
      <c r="E7089">
        <v>1</v>
      </c>
      <c r="F7089" t="s">
        <v>6108</v>
      </c>
    </row>
    <row r="7090" spans="1:6" x14ac:dyDescent="0.25">
      <c r="A7090" t="s">
        <v>6101</v>
      </c>
      <c r="B7090" t="s">
        <v>17</v>
      </c>
      <c r="C7090" t="s">
        <v>18</v>
      </c>
      <c r="D7090" t="str">
        <f>HYPERLINK("http://service.sap.com/sap/support/notes/1696001","1696001")</f>
        <v>1696001</v>
      </c>
      <c r="E7090">
        <v>2</v>
      </c>
      <c r="F7090" t="s">
        <v>6109</v>
      </c>
    </row>
    <row r="7091" spans="1:6" x14ac:dyDescent="0.25">
      <c r="A7091" t="s">
        <v>6101</v>
      </c>
      <c r="B7091" t="s">
        <v>17</v>
      </c>
      <c r="C7091" t="s">
        <v>18</v>
      </c>
      <c r="D7091" t="str">
        <f>HYPERLINK("http://service.sap.com/sap/support/notes/1699128","1699128")</f>
        <v>1699128</v>
      </c>
      <c r="E7091">
        <v>1</v>
      </c>
      <c r="F7091" t="s">
        <v>6110</v>
      </c>
    </row>
    <row r="7092" spans="1:6" x14ac:dyDescent="0.25">
      <c r="A7092" t="s">
        <v>6101</v>
      </c>
      <c r="B7092" t="s">
        <v>17</v>
      </c>
      <c r="C7092" t="s">
        <v>18</v>
      </c>
      <c r="D7092" t="str">
        <f>HYPERLINK("http://service.sap.com/sap/support/notes/1699999","1699999")</f>
        <v>1699999</v>
      </c>
      <c r="E7092">
        <v>1</v>
      </c>
      <c r="F7092" t="s">
        <v>6111</v>
      </c>
    </row>
    <row r="7093" spans="1:6" x14ac:dyDescent="0.25">
      <c r="A7093" t="s">
        <v>6101</v>
      </c>
      <c r="B7093" t="s">
        <v>17</v>
      </c>
      <c r="C7093" t="s">
        <v>18</v>
      </c>
      <c r="D7093" t="str">
        <f>HYPERLINK("http://service.sap.com/sap/support/notes/1700000","1700000")</f>
        <v>1700000</v>
      </c>
      <c r="E7093">
        <v>1</v>
      </c>
      <c r="F7093" t="s">
        <v>6112</v>
      </c>
    </row>
    <row r="7094" spans="1:6" x14ac:dyDescent="0.25">
      <c r="A7094" t="s">
        <v>6101</v>
      </c>
      <c r="B7094" t="s">
        <v>17</v>
      </c>
      <c r="C7094" t="s">
        <v>18</v>
      </c>
      <c r="D7094" t="str">
        <f>HYPERLINK("http://service.sap.com/sap/support/notes/1701066","1701066")</f>
        <v>1701066</v>
      </c>
      <c r="E7094">
        <v>1</v>
      </c>
      <c r="F7094" t="s">
        <v>6113</v>
      </c>
    </row>
    <row r="7095" spans="1:6" x14ac:dyDescent="0.25">
      <c r="A7095" t="s">
        <v>6101</v>
      </c>
      <c r="B7095" t="s">
        <v>17</v>
      </c>
      <c r="C7095" t="s">
        <v>18</v>
      </c>
      <c r="D7095" t="str">
        <f>HYPERLINK("http://service.sap.com/sap/support/notes/1701248","1701248")</f>
        <v>1701248</v>
      </c>
      <c r="E7095">
        <v>2</v>
      </c>
      <c r="F7095" t="s">
        <v>6114</v>
      </c>
    </row>
    <row r="7096" spans="1:6" x14ac:dyDescent="0.25">
      <c r="A7096" t="s">
        <v>6101</v>
      </c>
      <c r="B7096" t="s">
        <v>19</v>
      </c>
      <c r="C7096" t="s">
        <v>20</v>
      </c>
      <c r="D7096" t="str">
        <f>HYPERLINK("http://service.sap.com/sap/support/notes/1656871","1656871")</f>
        <v>1656871</v>
      </c>
      <c r="E7096">
        <v>1</v>
      </c>
      <c r="F7096" t="s">
        <v>6115</v>
      </c>
    </row>
    <row r="7097" spans="1:6" x14ac:dyDescent="0.25">
      <c r="A7097" t="s">
        <v>6101</v>
      </c>
      <c r="B7097" t="s">
        <v>19</v>
      </c>
      <c r="C7097" t="s">
        <v>20</v>
      </c>
      <c r="D7097" t="str">
        <f>HYPERLINK("http://service.sap.com/sap/support/notes/1688675","1688675")</f>
        <v>1688675</v>
      </c>
      <c r="E7097">
        <v>3</v>
      </c>
      <c r="F7097" t="s">
        <v>6116</v>
      </c>
    </row>
    <row r="7098" spans="1:6" x14ac:dyDescent="0.25">
      <c r="A7098" t="s">
        <v>6101</v>
      </c>
      <c r="B7098" t="s">
        <v>19</v>
      </c>
      <c r="C7098" t="s">
        <v>20</v>
      </c>
      <c r="D7098" t="str">
        <f>HYPERLINK("http://service.sap.com/sap/support/notes/1689450","1689450")</f>
        <v>1689450</v>
      </c>
      <c r="E7098">
        <v>3</v>
      </c>
      <c r="F7098" t="s">
        <v>6117</v>
      </c>
    </row>
    <row r="7099" spans="1:6" x14ac:dyDescent="0.25">
      <c r="A7099" t="s">
        <v>6101</v>
      </c>
      <c r="B7099" t="s">
        <v>19</v>
      </c>
      <c r="C7099" t="s">
        <v>20</v>
      </c>
      <c r="D7099" t="str">
        <f>HYPERLINK("http://service.sap.com/sap/support/notes/1690785","1690785")</f>
        <v>1690785</v>
      </c>
      <c r="E7099">
        <v>2</v>
      </c>
      <c r="F7099" t="s">
        <v>5993</v>
      </c>
    </row>
    <row r="7100" spans="1:6" x14ac:dyDescent="0.25">
      <c r="A7100" t="s">
        <v>6101</v>
      </c>
      <c r="B7100" t="s">
        <v>19</v>
      </c>
      <c r="C7100" t="s">
        <v>20</v>
      </c>
      <c r="D7100" t="str">
        <f>HYPERLINK("http://service.sap.com/sap/support/notes/1691738","1691738")</f>
        <v>1691738</v>
      </c>
      <c r="E7100">
        <v>2</v>
      </c>
      <c r="F7100" t="s">
        <v>6118</v>
      </c>
    </row>
    <row r="7101" spans="1:6" x14ac:dyDescent="0.25">
      <c r="A7101" t="s">
        <v>6101</v>
      </c>
      <c r="B7101" t="s">
        <v>19</v>
      </c>
      <c r="C7101" t="s">
        <v>20</v>
      </c>
      <c r="D7101" t="str">
        <f>HYPERLINK("http://service.sap.com/sap/support/notes/1692392","1692392")</f>
        <v>1692392</v>
      </c>
      <c r="E7101">
        <v>4</v>
      </c>
      <c r="F7101" t="s">
        <v>6119</v>
      </c>
    </row>
    <row r="7102" spans="1:6" x14ac:dyDescent="0.25">
      <c r="A7102" t="s">
        <v>6101</v>
      </c>
      <c r="B7102" t="s">
        <v>19</v>
      </c>
      <c r="C7102" t="s">
        <v>20</v>
      </c>
      <c r="D7102" t="str">
        <f>HYPERLINK("http://service.sap.com/sap/support/notes/1695665","1695665")</f>
        <v>1695665</v>
      </c>
      <c r="E7102">
        <v>2</v>
      </c>
      <c r="F7102" t="s">
        <v>6120</v>
      </c>
    </row>
    <row r="7103" spans="1:6" x14ac:dyDescent="0.25">
      <c r="A7103" t="s">
        <v>6101</v>
      </c>
      <c r="B7103" t="s">
        <v>19</v>
      </c>
      <c r="C7103" t="s">
        <v>20</v>
      </c>
      <c r="D7103" t="str">
        <f>HYPERLINK("http://service.sap.com/sap/support/notes/1696932","1696932")</f>
        <v>1696932</v>
      </c>
      <c r="E7103">
        <v>1</v>
      </c>
      <c r="F7103" t="s">
        <v>6121</v>
      </c>
    </row>
    <row r="7104" spans="1:6" x14ac:dyDescent="0.25">
      <c r="A7104" t="s">
        <v>6101</v>
      </c>
      <c r="B7104" t="s">
        <v>19</v>
      </c>
      <c r="C7104" t="s">
        <v>20</v>
      </c>
      <c r="D7104" t="str">
        <f>HYPERLINK("http://service.sap.com/sap/support/notes/1698035","1698035")</f>
        <v>1698035</v>
      </c>
      <c r="E7104">
        <v>1</v>
      </c>
      <c r="F7104" t="s">
        <v>6122</v>
      </c>
    </row>
    <row r="7105" spans="1:6" x14ac:dyDescent="0.25">
      <c r="A7105" t="s">
        <v>6101</v>
      </c>
      <c r="B7105" t="s">
        <v>19</v>
      </c>
      <c r="C7105" t="s">
        <v>20</v>
      </c>
      <c r="D7105" t="str">
        <f>HYPERLINK("http://service.sap.com/sap/support/notes/1698311","1698311")</f>
        <v>1698311</v>
      </c>
      <c r="E7105">
        <v>3</v>
      </c>
      <c r="F7105" t="s">
        <v>6123</v>
      </c>
    </row>
    <row r="7106" spans="1:6" x14ac:dyDescent="0.25">
      <c r="A7106" t="s">
        <v>6101</v>
      </c>
      <c r="B7106" t="s">
        <v>19</v>
      </c>
      <c r="C7106" t="s">
        <v>20</v>
      </c>
      <c r="D7106" t="str">
        <f>HYPERLINK("http://service.sap.com/sap/support/notes/1698475","1698475")</f>
        <v>1698475</v>
      </c>
      <c r="E7106">
        <v>1</v>
      </c>
      <c r="F7106" t="s">
        <v>6124</v>
      </c>
    </row>
    <row r="7107" spans="1:6" x14ac:dyDescent="0.25">
      <c r="A7107" t="s">
        <v>6101</v>
      </c>
      <c r="B7107" t="s">
        <v>19</v>
      </c>
      <c r="C7107" t="s">
        <v>20</v>
      </c>
      <c r="D7107" t="str">
        <f>HYPERLINK("http://service.sap.com/sap/support/notes/1698563","1698563")</f>
        <v>1698563</v>
      </c>
      <c r="E7107">
        <v>4</v>
      </c>
      <c r="F7107" t="s">
        <v>6125</v>
      </c>
    </row>
    <row r="7108" spans="1:6" x14ac:dyDescent="0.25">
      <c r="A7108" t="s">
        <v>6101</v>
      </c>
      <c r="B7108" t="s">
        <v>19</v>
      </c>
      <c r="C7108" t="s">
        <v>20</v>
      </c>
      <c r="D7108" t="str">
        <f>HYPERLINK("http://service.sap.com/sap/support/notes/1698577","1698577")</f>
        <v>1698577</v>
      </c>
      <c r="E7108">
        <v>1</v>
      </c>
      <c r="F7108" t="s">
        <v>6126</v>
      </c>
    </row>
    <row r="7109" spans="1:6" x14ac:dyDescent="0.25">
      <c r="A7109" t="s">
        <v>6101</v>
      </c>
      <c r="B7109" t="s">
        <v>19</v>
      </c>
      <c r="C7109" t="s">
        <v>20</v>
      </c>
      <c r="D7109" t="str">
        <f>HYPERLINK("http://service.sap.com/sap/support/notes/1699146","1699146")</f>
        <v>1699146</v>
      </c>
      <c r="E7109">
        <v>1</v>
      </c>
      <c r="F7109" t="s">
        <v>6127</v>
      </c>
    </row>
    <row r="7110" spans="1:6" x14ac:dyDescent="0.25">
      <c r="A7110" t="s">
        <v>6101</v>
      </c>
      <c r="B7110" t="s">
        <v>19</v>
      </c>
      <c r="C7110" t="s">
        <v>20</v>
      </c>
      <c r="D7110" t="str">
        <f>HYPERLINK("http://service.sap.com/sap/support/notes/1699165","1699165")</f>
        <v>1699165</v>
      </c>
      <c r="E7110">
        <v>2</v>
      </c>
      <c r="F7110" t="s">
        <v>6128</v>
      </c>
    </row>
    <row r="7111" spans="1:6" x14ac:dyDescent="0.25">
      <c r="A7111" t="s">
        <v>6101</v>
      </c>
      <c r="B7111" t="s">
        <v>19</v>
      </c>
      <c r="C7111" t="s">
        <v>20</v>
      </c>
      <c r="D7111" t="str">
        <f>HYPERLINK("http://service.sap.com/sap/support/notes/1699169","1699169")</f>
        <v>1699169</v>
      </c>
      <c r="E7111">
        <v>2</v>
      </c>
      <c r="F7111" t="s">
        <v>6129</v>
      </c>
    </row>
    <row r="7112" spans="1:6" x14ac:dyDescent="0.25">
      <c r="A7112" t="s">
        <v>6101</v>
      </c>
      <c r="B7112" t="s">
        <v>19</v>
      </c>
      <c r="C7112" t="s">
        <v>20</v>
      </c>
      <c r="D7112" t="str">
        <f>HYPERLINK("http://service.sap.com/sap/support/notes/1699762","1699762")</f>
        <v>1699762</v>
      </c>
      <c r="E7112">
        <v>1</v>
      </c>
      <c r="F7112" t="s">
        <v>6130</v>
      </c>
    </row>
    <row r="7113" spans="1:6" x14ac:dyDescent="0.25">
      <c r="A7113" t="s">
        <v>6101</v>
      </c>
      <c r="B7113" t="s">
        <v>19</v>
      </c>
      <c r="C7113" t="s">
        <v>20</v>
      </c>
      <c r="D7113" t="str">
        <f>HYPERLINK("http://service.sap.com/sap/support/notes/1699995","1699995")</f>
        <v>1699995</v>
      </c>
      <c r="E7113">
        <v>1</v>
      </c>
      <c r="F7113" t="s">
        <v>6131</v>
      </c>
    </row>
    <row r="7114" spans="1:6" x14ac:dyDescent="0.25">
      <c r="A7114" t="s">
        <v>6101</v>
      </c>
      <c r="B7114" t="s">
        <v>19</v>
      </c>
      <c r="C7114" t="s">
        <v>20</v>
      </c>
      <c r="D7114" t="str">
        <f>HYPERLINK("http://service.sap.com/sap/support/notes/1699996","1699996")</f>
        <v>1699996</v>
      </c>
      <c r="E7114">
        <v>1</v>
      </c>
      <c r="F7114" t="s">
        <v>6132</v>
      </c>
    </row>
    <row r="7115" spans="1:6" x14ac:dyDescent="0.25">
      <c r="A7115" t="s">
        <v>6101</v>
      </c>
      <c r="B7115" t="s">
        <v>19</v>
      </c>
      <c r="C7115" t="s">
        <v>20</v>
      </c>
      <c r="D7115" t="str">
        <f>HYPERLINK("http://service.sap.com/sap/support/notes/1700139","1700139")</f>
        <v>1700139</v>
      </c>
      <c r="E7115">
        <v>1</v>
      </c>
      <c r="F7115" t="s">
        <v>6133</v>
      </c>
    </row>
    <row r="7116" spans="1:6" x14ac:dyDescent="0.25">
      <c r="A7116" t="s">
        <v>6101</v>
      </c>
      <c r="B7116" t="s">
        <v>19</v>
      </c>
      <c r="C7116" t="s">
        <v>20</v>
      </c>
      <c r="D7116" t="str">
        <f>HYPERLINK("http://service.sap.com/sap/support/notes/1701183","1701183")</f>
        <v>1701183</v>
      </c>
      <c r="E7116">
        <v>2</v>
      </c>
      <c r="F7116" t="s">
        <v>6134</v>
      </c>
    </row>
    <row r="7117" spans="1:6" x14ac:dyDescent="0.25">
      <c r="A7117" t="s">
        <v>6101</v>
      </c>
      <c r="B7117" t="s">
        <v>19</v>
      </c>
      <c r="C7117" t="s">
        <v>20</v>
      </c>
      <c r="D7117" t="str">
        <f>HYPERLINK("http://service.sap.com/sap/support/notes/1701606","1701606")</f>
        <v>1701606</v>
      </c>
      <c r="E7117">
        <v>1</v>
      </c>
      <c r="F7117" t="s">
        <v>6135</v>
      </c>
    </row>
    <row r="7118" spans="1:6" x14ac:dyDescent="0.25">
      <c r="A7118" t="s">
        <v>6101</v>
      </c>
      <c r="B7118" t="s">
        <v>19</v>
      </c>
      <c r="C7118" t="s">
        <v>20</v>
      </c>
      <c r="D7118" t="str">
        <f>HYPERLINK("http://service.sap.com/sap/support/notes/1701646","1701646")</f>
        <v>1701646</v>
      </c>
      <c r="E7118">
        <v>1</v>
      </c>
      <c r="F7118" t="s">
        <v>6136</v>
      </c>
    </row>
    <row r="7119" spans="1:6" x14ac:dyDescent="0.25">
      <c r="A7119" t="s">
        <v>6101</v>
      </c>
      <c r="B7119" t="s">
        <v>19</v>
      </c>
      <c r="C7119" t="s">
        <v>20</v>
      </c>
      <c r="D7119" t="str">
        <f>HYPERLINK("http://service.sap.com/sap/support/notes/1702286","1702286")</f>
        <v>1702286</v>
      </c>
      <c r="E7119">
        <v>2</v>
      </c>
      <c r="F7119" t="s">
        <v>6137</v>
      </c>
    </row>
    <row r="7120" spans="1:6" x14ac:dyDescent="0.25">
      <c r="A7120" t="s">
        <v>6101</v>
      </c>
      <c r="B7120" t="s">
        <v>19</v>
      </c>
      <c r="C7120" t="s">
        <v>20</v>
      </c>
      <c r="D7120" t="str">
        <f>HYPERLINK("http://service.sap.com/sap/support/notes/1703295","1703295")</f>
        <v>1703295</v>
      </c>
      <c r="E7120">
        <v>2</v>
      </c>
      <c r="F7120" t="s">
        <v>6138</v>
      </c>
    </row>
    <row r="7121" spans="1:6" x14ac:dyDescent="0.25">
      <c r="A7121" t="s">
        <v>6101</v>
      </c>
      <c r="B7121" t="s">
        <v>19</v>
      </c>
      <c r="C7121" t="s">
        <v>20</v>
      </c>
      <c r="D7121" t="str">
        <f>HYPERLINK("http://service.sap.com/sap/support/notes/1706542","1706542")</f>
        <v>1706542</v>
      </c>
      <c r="E7121">
        <v>1</v>
      </c>
      <c r="F7121" t="s">
        <v>6139</v>
      </c>
    </row>
    <row r="7122" spans="1:6" x14ac:dyDescent="0.25">
      <c r="A7122" t="s">
        <v>6101</v>
      </c>
      <c r="B7122" t="s">
        <v>19</v>
      </c>
      <c r="C7122" t="s">
        <v>20</v>
      </c>
      <c r="D7122" t="str">
        <f>HYPERLINK("http://service.sap.com/sap/support/notes/1708412","1708412")</f>
        <v>1708412</v>
      </c>
      <c r="E7122">
        <v>1</v>
      </c>
      <c r="F7122" t="s">
        <v>6140</v>
      </c>
    </row>
    <row r="7123" spans="1:6" x14ac:dyDescent="0.25">
      <c r="A7123" t="s">
        <v>6101</v>
      </c>
      <c r="B7123" t="s">
        <v>19</v>
      </c>
      <c r="C7123" t="s">
        <v>20</v>
      </c>
      <c r="D7123" t="str">
        <f>HYPERLINK("http://service.sap.com/sap/support/notes/1709414","1709414")</f>
        <v>1709414</v>
      </c>
      <c r="E7123">
        <v>1</v>
      </c>
      <c r="F7123" t="s">
        <v>6141</v>
      </c>
    </row>
    <row r="7124" spans="1:6" x14ac:dyDescent="0.25">
      <c r="A7124" t="s">
        <v>6101</v>
      </c>
      <c r="B7124" t="s">
        <v>446</v>
      </c>
      <c r="C7124" t="s">
        <v>447</v>
      </c>
      <c r="D7124" t="str">
        <f>HYPERLINK("http://service.sap.com/sap/support/notes/1572801","1572801")</f>
        <v>1572801</v>
      </c>
      <c r="E7124">
        <v>4</v>
      </c>
      <c r="F7124" t="s">
        <v>5750</v>
      </c>
    </row>
    <row r="7125" spans="1:6" x14ac:dyDescent="0.25">
      <c r="A7125" t="s">
        <v>6101</v>
      </c>
      <c r="B7125" t="s">
        <v>446</v>
      </c>
      <c r="C7125" t="s">
        <v>447</v>
      </c>
      <c r="D7125" t="str">
        <f>HYPERLINK("http://service.sap.com/sap/support/notes/1621893","1621893")</f>
        <v>1621893</v>
      </c>
      <c r="E7125">
        <v>1</v>
      </c>
      <c r="F7125" t="s">
        <v>6142</v>
      </c>
    </row>
    <row r="7126" spans="1:6" x14ac:dyDescent="0.25">
      <c r="A7126" t="s">
        <v>6101</v>
      </c>
      <c r="B7126" t="s">
        <v>446</v>
      </c>
      <c r="C7126" t="s">
        <v>447</v>
      </c>
      <c r="D7126" t="str">
        <f>HYPERLINK("http://service.sap.com/sap/support/notes/1660045","1660045")</f>
        <v>1660045</v>
      </c>
      <c r="E7126">
        <v>2</v>
      </c>
      <c r="F7126" t="s">
        <v>6143</v>
      </c>
    </row>
    <row r="7127" spans="1:6" x14ac:dyDescent="0.25">
      <c r="A7127" t="s">
        <v>6101</v>
      </c>
      <c r="B7127" t="s">
        <v>446</v>
      </c>
      <c r="C7127" t="s">
        <v>447</v>
      </c>
      <c r="D7127" t="str">
        <f>HYPERLINK("http://service.sap.com/sap/support/notes/1674989","1674989")</f>
        <v>1674989</v>
      </c>
      <c r="E7127">
        <v>3</v>
      </c>
      <c r="F7127" t="s">
        <v>6144</v>
      </c>
    </row>
    <row r="7128" spans="1:6" x14ac:dyDescent="0.25">
      <c r="A7128" t="s">
        <v>6101</v>
      </c>
      <c r="B7128" t="s">
        <v>446</v>
      </c>
      <c r="C7128" t="s">
        <v>447</v>
      </c>
      <c r="D7128" t="str">
        <f>HYPERLINK("http://service.sap.com/sap/support/notes/1675776","1675776")</f>
        <v>1675776</v>
      </c>
      <c r="E7128">
        <v>1</v>
      </c>
      <c r="F7128" t="s">
        <v>6145</v>
      </c>
    </row>
    <row r="7129" spans="1:6" x14ac:dyDescent="0.25">
      <c r="A7129" t="s">
        <v>6101</v>
      </c>
      <c r="B7129" t="s">
        <v>446</v>
      </c>
      <c r="C7129" t="s">
        <v>447</v>
      </c>
      <c r="D7129" t="str">
        <f>HYPERLINK("http://service.sap.com/sap/support/notes/1696966","1696966")</f>
        <v>1696966</v>
      </c>
      <c r="E7129">
        <v>1</v>
      </c>
      <c r="F7129" t="s">
        <v>6146</v>
      </c>
    </row>
    <row r="7130" spans="1:6" x14ac:dyDescent="0.25">
      <c r="A7130" t="s">
        <v>6101</v>
      </c>
      <c r="B7130" t="s">
        <v>446</v>
      </c>
      <c r="C7130" t="s">
        <v>447</v>
      </c>
      <c r="D7130" t="str">
        <f>HYPERLINK("http://service.sap.com/sap/support/notes/1697371","1697371")</f>
        <v>1697371</v>
      </c>
      <c r="E7130">
        <v>1</v>
      </c>
      <c r="F7130" t="s">
        <v>6147</v>
      </c>
    </row>
    <row r="7131" spans="1:6" x14ac:dyDescent="0.25">
      <c r="A7131" t="s">
        <v>6101</v>
      </c>
      <c r="B7131" t="s">
        <v>446</v>
      </c>
      <c r="C7131" t="s">
        <v>447</v>
      </c>
      <c r="D7131" t="str">
        <f>HYPERLINK("http://service.sap.com/sap/support/notes/1697377","1697377")</f>
        <v>1697377</v>
      </c>
      <c r="E7131">
        <v>3</v>
      </c>
      <c r="F7131" t="s">
        <v>6148</v>
      </c>
    </row>
    <row r="7132" spans="1:6" x14ac:dyDescent="0.25">
      <c r="A7132" t="s">
        <v>6101</v>
      </c>
      <c r="B7132" t="s">
        <v>446</v>
      </c>
      <c r="C7132" t="s">
        <v>447</v>
      </c>
      <c r="D7132" t="str">
        <f>HYPERLINK("http://service.sap.com/sap/support/notes/1697785","1697785")</f>
        <v>1697785</v>
      </c>
      <c r="E7132">
        <v>4</v>
      </c>
      <c r="F7132" t="s">
        <v>6149</v>
      </c>
    </row>
    <row r="7133" spans="1:6" x14ac:dyDescent="0.25">
      <c r="A7133" t="s">
        <v>6101</v>
      </c>
      <c r="B7133" t="s">
        <v>446</v>
      </c>
      <c r="C7133" t="s">
        <v>447</v>
      </c>
      <c r="D7133" t="str">
        <f>HYPERLINK("http://service.sap.com/sap/support/notes/1698260","1698260")</f>
        <v>1698260</v>
      </c>
      <c r="E7133">
        <v>1</v>
      </c>
      <c r="F7133" t="s">
        <v>6150</v>
      </c>
    </row>
    <row r="7134" spans="1:6" x14ac:dyDescent="0.25">
      <c r="A7134" t="s">
        <v>6101</v>
      </c>
      <c r="B7134" t="s">
        <v>446</v>
      </c>
      <c r="C7134" t="s">
        <v>447</v>
      </c>
      <c r="D7134" t="str">
        <f>HYPERLINK("http://service.sap.com/sap/support/notes/1698507","1698507")</f>
        <v>1698507</v>
      </c>
      <c r="E7134">
        <v>1</v>
      </c>
      <c r="F7134" t="s">
        <v>6151</v>
      </c>
    </row>
    <row r="7135" spans="1:6" x14ac:dyDescent="0.25">
      <c r="A7135" t="s">
        <v>6101</v>
      </c>
      <c r="B7135" t="s">
        <v>446</v>
      </c>
      <c r="C7135" t="s">
        <v>447</v>
      </c>
      <c r="D7135" t="str">
        <f>HYPERLINK("http://service.sap.com/sap/support/notes/1698629","1698629")</f>
        <v>1698629</v>
      </c>
      <c r="E7135">
        <v>2</v>
      </c>
      <c r="F7135" t="s">
        <v>6152</v>
      </c>
    </row>
    <row r="7136" spans="1:6" x14ac:dyDescent="0.25">
      <c r="A7136" t="s">
        <v>6101</v>
      </c>
      <c r="B7136" t="s">
        <v>446</v>
      </c>
      <c r="C7136" t="s">
        <v>447</v>
      </c>
      <c r="D7136" t="str">
        <f>HYPERLINK("http://service.sap.com/sap/support/notes/1699131","1699131")</f>
        <v>1699131</v>
      </c>
      <c r="E7136">
        <v>1</v>
      </c>
      <c r="F7136" t="s">
        <v>6153</v>
      </c>
    </row>
    <row r="7137" spans="1:6" x14ac:dyDescent="0.25">
      <c r="A7137" t="s">
        <v>6101</v>
      </c>
      <c r="B7137" t="s">
        <v>446</v>
      </c>
      <c r="C7137" t="s">
        <v>447</v>
      </c>
      <c r="D7137" t="str">
        <f>HYPERLINK("http://service.sap.com/sap/support/notes/1702763","1702763")</f>
        <v>1702763</v>
      </c>
      <c r="E7137">
        <v>1</v>
      </c>
      <c r="F7137" t="s">
        <v>6154</v>
      </c>
    </row>
    <row r="7138" spans="1:6" x14ac:dyDescent="0.25">
      <c r="A7138" t="s">
        <v>6101</v>
      </c>
      <c r="B7138" t="s">
        <v>446</v>
      </c>
      <c r="C7138" t="s">
        <v>447</v>
      </c>
      <c r="D7138" t="str">
        <f>HYPERLINK("http://service.sap.com/sap/support/notes/1702765","1702765")</f>
        <v>1702765</v>
      </c>
      <c r="E7138">
        <v>2</v>
      </c>
      <c r="F7138" t="s">
        <v>6155</v>
      </c>
    </row>
    <row r="7139" spans="1:6" x14ac:dyDescent="0.25">
      <c r="A7139" t="s">
        <v>6101</v>
      </c>
      <c r="B7139" t="s">
        <v>446</v>
      </c>
      <c r="C7139" t="s">
        <v>447</v>
      </c>
      <c r="D7139" t="str">
        <f>HYPERLINK("http://service.sap.com/sap/support/notes/1703349","1703349")</f>
        <v>1703349</v>
      </c>
      <c r="E7139">
        <v>1</v>
      </c>
      <c r="F7139" t="s">
        <v>6156</v>
      </c>
    </row>
    <row r="7140" spans="1:6" x14ac:dyDescent="0.25">
      <c r="A7140" t="s">
        <v>6101</v>
      </c>
      <c r="B7140" t="s">
        <v>446</v>
      </c>
      <c r="C7140" t="s">
        <v>447</v>
      </c>
      <c r="D7140" t="str">
        <f>HYPERLINK("http://service.sap.com/sap/support/notes/1703665","1703665")</f>
        <v>1703665</v>
      </c>
      <c r="E7140">
        <v>3</v>
      </c>
      <c r="F7140" t="s">
        <v>6157</v>
      </c>
    </row>
    <row r="7141" spans="1:6" x14ac:dyDescent="0.25">
      <c r="A7141" t="s">
        <v>6101</v>
      </c>
      <c r="B7141" t="s">
        <v>446</v>
      </c>
      <c r="C7141" t="s">
        <v>447</v>
      </c>
      <c r="D7141" t="str">
        <f>HYPERLINK("http://service.sap.com/sap/support/notes/1703985","1703985")</f>
        <v>1703985</v>
      </c>
      <c r="E7141">
        <v>2</v>
      </c>
      <c r="F7141" t="s">
        <v>6158</v>
      </c>
    </row>
    <row r="7142" spans="1:6" x14ac:dyDescent="0.25">
      <c r="A7142" t="s">
        <v>6101</v>
      </c>
      <c r="B7142" t="s">
        <v>446</v>
      </c>
      <c r="C7142" t="s">
        <v>447</v>
      </c>
      <c r="D7142" t="str">
        <f>HYPERLINK("http://service.sap.com/sap/support/notes/1704837","1704837")</f>
        <v>1704837</v>
      </c>
      <c r="E7142">
        <v>3</v>
      </c>
      <c r="F7142" t="s">
        <v>6159</v>
      </c>
    </row>
    <row r="7143" spans="1:6" x14ac:dyDescent="0.25">
      <c r="A7143" t="s">
        <v>6101</v>
      </c>
      <c r="B7143" t="s">
        <v>446</v>
      </c>
      <c r="C7143" t="s">
        <v>447</v>
      </c>
      <c r="D7143" t="str">
        <f>HYPERLINK("http://service.sap.com/sap/support/notes/1705965","1705965")</f>
        <v>1705965</v>
      </c>
      <c r="E7143">
        <v>1</v>
      </c>
      <c r="F7143" t="s">
        <v>6160</v>
      </c>
    </row>
    <row r="7144" spans="1:6" x14ac:dyDescent="0.25">
      <c r="A7144" t="s">
        <v>6101</v>
      </c>
      <c r="B7144" t="s">
        <v>446</v>
      </c>
      <c r="C7144" t="s">
        <v>447</v>
      </c>
      <c r="D7144" t="str">
        <f>HYPERLINK("http://service.sap.com/sap/support/notes/1706338","1706338")</f>
        <v>1706338</v>
      </c>
      <c r="E7144">
        <v>1</v>
      </c>
      <c r="F7144" t="s">
        <v>6161</v>
      </c>
    </row>
    <row r="7145" spans="1:6" x14ac:dyDescent="0.25">
      <c r="A7145" t="s">
        <v>6101</v>
      </c>
      <c r="B7145" t="s">
        <v>446</v>
      </c>
      <c r="C7145" t="s">
        <v>447</v>
      </c>
      <c r="D7145" t="str">
        <f>HYPERLINK("http://service.sap.com/sap/support/notes/1707360","1707360")</f>
        <v>1707360</v>
      </c>
      <c r="E7145">
        <v>1</v>
      </c>
      <c r="F7145" t="s">
        <v>6162</v>
      </c>
    </row>
    <row r="7146" spans="1:6" x14ac:dyDescent="0.25">
      <c r="A7146" t="s">
        <v>6101</v>
      </c>
      <c r="B7146" t="s">
        <v>446</v>
      </c>
      <c r="C7146" t="s">
        <v>447</v>
      </c>
      <c r="D7146" t="str">
        <f>HYPERLINK("http://service.sap.com/sap/support/notes/1707899","1707899")</f>
        <v>1707899</v>
      </c>
      <c r="E7146">
        <v>1</v>
      </c>
      <c r="F7146" t="s">
        <v>6163</v>
      </c>
    </row>
    <row r="7147" spans="1:6" x14ac:dyDescent="0.25">
      <c r="A7147" t="s">
        <v>6101</v>
      </c>
      <c r="B7147" t="s">
        <v>446</v>
      </c>
      <c r="C7147" t="s">
        <v>447</v>
      </c>
      <c r="D7147" t="str">
        <f>HYPERLINK("http://service.sap.com/sap/support/notes/1708218","1708218")</f>
        <v>1708218</v>
      </c>
      <c r="E7147">
        <v>1</v>
      </c>
      <c r="F7147" t="s">
        <v>6164</v>
      </c>
    </row>
    <row r="7148" spans="1:6" x14ac:dyDescent="0.25">
      <c r="A7148" t="s">
        <v>6101</v>
      </c>
      <c r="B7148" t="s">
        <v>446</v>
      </c>
      <c r="C7148" t="s">
        <v>447</v>
      </c>
      <c r="D7148" t="str">
        <f>HYPERLINK("http://service.sap.com/sap/support/notes/1708727","1708727")</f>
        <v>1708727</v>
      </c>
      <c r="E7148">
        <v>1</v>
      </c>
      <c r="F7148" t="s">
        <v>6165</v>
      </c>
    </row>
    <row r="7149" spans="1:6" x14ac:dyDescent="0.25">
      <c r="A7149" t="s">
        <v>6101</v>
      </c>
      <c r="B7149" t="s">
        <v>446</v>
      </c>
      <c r="C7149" t="s">
        <v>447</v>
      </c>
      <c r="D7149" t="str">
        <f>HYPERLINK("http://service.sap.com/sap/support/notes/1709752","1709752")</f>
        <v>1709752</v>
      </c>
      <c r="E7149">
        <v>2</v>
      </c>
      <c r="F7149" t="s">
        <v>6166</v>
      </c>
    </row>
    <row r="7150" spans="1:6" x14ac:dyDescent="0.25">
      <c r="A7150" t="s">
        <v>6101</v>
      </c>
      <c r="B7150" t="s">
        <v>448</v>
      </c>
      <c r="C7150" t="s">
        <v>449</v>
      </c>
      <c r="D7150" t="str">
        <f>HYPERLINK("http://service.sap.com/sap/support/notes/1704778","1704778")</f>
        <v>1704778</v>
      </c>
      <c r="E7150">
        <v>1</v>
      </c>
      <c r="F7150" t="s">
        <v>6167</v>
      </c>
    </row>
    <row r="7151" spans="1:6" x14ac:dyDescent="0.25">
      <c r="A7151" t="s">
        <v>6101</v>
      </c>
      <c r="B7151" t="s">
        <v>450</v>
      </c>
      <c r="C7151" t="s">
        <v>451</v>
      </c>
      <c r="D7151" t="str">
        <f>HYPERLINK("http://service.sap.com/sap/support/notes/1695902","1695902")</f>
        <v>1695902</v>
      </c>
      <c r="E7151">
        <v>1</v>
      </c>
      <c r="F7151" t="s">
        <v>6168</v>
      </c>
    </row>
    <row r="7152" spans="1:6" x14ac:dyDescent="0.25">
      <c r="A7152" t="s">
        <v>6101</v>
      </c>
      <c r="B7152" t="s">
        <v>450</v>
      </c>
      <c r="C7152" t="s">
        <v>451</v>
      </c>
      <c r="D7152" t="str">
        <f>HYPERLINK("http://service.sap.com/sap/support/notes/1704505","1704505")</f>
        <v>1704505</v>
      </c>
      <c r="E7152">
        <v>1</v>
      </c>
      <c r="F7152" t="s">
        <v>6169</v>
      </c>
    </row>
    <row r="7153" spans="1:6" x14ac:dyDescent="0.25">
      <c r="A7153" t="s">
        <v>6101</v>
      </c>
      <c r="B7153" t="s">
        <v>453</v>
      </c>
      <c r="C7153" t="s">
        <v>454</v>
      </c>
      <c r="D7153" t="str">
        <f>HYPERLINK("http://service.sap.com/sap/support/notes/1706903","1706903")</f>
        <v>1706903</v>
      </c>
      <c r="E7153">
        <v>2</v>
      </c>
      <c r="F7153" t="s">
        <v>6170</v>
      </c>
    </row>
    <row r="7154" spans="1:6" x14ac:dyDescent="0.25">
      <c r="A7154" t="s">
        <v>6101</v>
      </c>
      <c r="B7154" t="s">
        <v>21</v>
      </c>
      <c r="C7154" t="s">
        <v>12</v>
      </c>
    </row>
    <row r="7155" spans="1:6" x14ac:dyDescent="0.25">
      <c r="A7155" t="s">
        <v>6101</v>
      </c>
      <c r="B7155" t="s">
        <v>455</v>
      </c>
      <c r="C7155" t="s">
        <v>456</v>
      </c>
      <c r="D7155" t="str">
        <f>HYPERLINK("http://service.sap.com/sap/support/notes/1664139","1664139")</f>
        <v>1664139</v>
      </c>
      <c r="E7155">
        <v>3</v>
      </c>
      <c r="F7155" t="s">
        <v>6171</v>
      </c>
    </row>
    <row r="7156" spans="1:6" x14ac:dyDescent="0.25">
      <c r="A7156" t="s">
        <v>6101</v>
      </c>
      <c r="B7156" t="s">
        <v>455</v>
      </c>
      <c r="C7156" t="s">
        <v>456</v>
      </c>
      <c r="D7156" t="str">
        <f>HYPERLINK("http://service.sap.com/sap/support/notes/1669792","1669792")</f>
        <v>1669792</v>
      </c>
      <c r="E7156">
        <v>3</v>
      </c>
      <c r="F7156" t="s">
        <v>6172</v>
      </c>
    </row>
    <row r="7157" spans="1:6" x14ac:dyDescent="0.25">
      <c r="A7157" t="s">
        <v>6101</v>
      </c>
      <c r="B7157" t="s">
        <v>455</v>
      </c>
      <c r="C7157" t="s">
        <v>456</v>
      </c>
      <c r="D7157" t="str">
        <f>HYPERLINK("http://service.sap.com/sap/support/notes/1689513","1689513")</f>
        <v>1689513</v>
      </c>
      <c r="E7157">
        <v>2</v>
      </c>
      <c r="F7157" t="s">
        <v>6173</v>
      </c>
    </row>
    <row r="7158" spans="1:6" x14ac:dyDescent="0.25">
      <c r="A7158" t="s">
        <v>6101</v>
      </c>
      <c r="B7158" t="s">
        <v>455</v>
      </c>
      <c r="C7158" t="s">
        <v>456</v>
      </c>
      <c r="D7158" t="str">
        <f>HYPERLINK("http://service.sap.com/sap/support/notes/1694639","1694639")</f>
        <v>1694639</v>
      </c>
      <c r="E7158">
        <v>2</v>
      </c>
      <c r="F7158" t="s">
        <v>6174</v>
      </c>
    </row>
    <row r="7159" spans="1:6" x14ac:dyDescent="0.25">
      <c r="A7159" t="s">
        <v>6101</v>
      </c>
      <c r="B7159" t="s">
        <v>455</v>
      </c>
      <c r="C7159" t="s">
        <v>456</v>
      </c>
      <c r="D7159" t="str">
        <f>HYPERLINK("http://service.sap.com/sap/support/notes/1698744","1698744")</f>
        <v>1698744</v>
      </c>
      <c r="E7159">
        <v>1</v>
      </c>
      <c r="F7159" t="s">
        <v>6175</v>
      </c>
    </row>
    <row r="7160" spans="1:6" x14ac:dyDescent="0.25">
      <c r="A7160" t="s">
        <v>6101</v>
      </c>
      <c r="B7160" t="s">
        <v>455</v>
      </c>
      <c r="C7160" t="s">
        <v>456</v>
      </c>
      <c r="D7160" t="str">
        <f>HYPERLINK("http://service.sap.com/sap/support/notes/1699795","1699795")</f>
        <v>1699795</v>
      </c>
      <c r="E7160">
        <v>1</v>
      </c>
      <c r="F7160" t="s">
        <v>6176</v>
      </c>
    </row>
    <row r="7161" spans="1:6" x14ac:dyDescent="0.25">
      <c r="A7161" t="s">
        <v>6101</v>
      </c>
      <c r="B7161" t="s">
        <v>22</v>
      </c>
      <c r="C7161" t="s">
        <v>23</v>
      </c>
    </row>
    <row r="7162" spans="1:6" x14ac:dyDescent="0.25">
      <c r="A7162" t="s">
        <v>6101</v>
      </c>
      <c r="B7162" t="s">
        <v>241</v>
      </c>
      <c r="C7162" t="s">
        <v>556</v>
      </c>
      <c r="D7162" t="str">
        <f>HYPERLINK("http://service.sap.com/sap/support/notes/1438998","1438998")</f>
        <v>1438998</v>
      </c>
      <c r="E7162">
        <v>3</v>
      </c>
      <c r="F7162" t="s">
        <v>6177</v>
      </c>
    </row>
    <row r="7163" spans="1:6" x14ac:dyDescent="0.25">
      <c r="A7163" t="s">
        <v>6101</v>
      </c>
      <c r="B7163" t="s">
        <v>641</v>
      </c>
      <c r="C7163" t="s">
        <v>642</v>
      </c>
    </row>
    <row r="7164" spans="1:6" x14ac:dyDescent="0.25">
      <c r="A7164" t="s">
        <v>6101</v>
      </c>
      <c r="B7164" t="s">
        <v>643</v>
      </c>
      <c r="C7164" t="s">
        <v>255</v>
      </c>
      <c r="D7164" t="str">
        <f>HYPERLINK("http://service.sap.com/sap/support/notes/1637175","1637175")</f>
        <v>1637175</v>
      </c>
      <c r="E7164">
        <v>2</v>
      </c>
      <c r="F7164" t="s">
        <v>6178</v>
      </c>
    </row>
    <row r="7165" spans="1:6" x14ac:dyDescent="0.25">
      <c r="A7165" t="s">
        <v>6101</v>
      </c>
      <c r="B7165" t="s">
        <v>378</v>
      </c>
      <c r="C7165" t="s">
        <v>379</v>
      </c>
      <c r="D7165" t="str">
        <f>HYPERLINK("http://service.sap.com/sap/support/notes/1601829","1601829")</f>
        <v>1601829</v>
      </c>
      <c r="E7165">
        <v>4</v>
      </c>
      <c r="F7165" t="s">
        <v>6179</v>
      </c>
    </row>
    <row r="7166" spans="1:6" x14ac:dyDescent="0.25">
      <c r="A7166" t="s">
        <v>6101</v>
      </c>
      <c r="B7166" t="s">
        <v>378</v>
      </c>
      <c r="C7166" t="s">
        <v>379</v>
      </c>
      <c r="D7166" t="str">
        <f>HYPERLINK("http://service.sap.com/sap/support/notes/1704171","1704171")</f>
        <v>1704171</v>
      </c>
      <c r="E7166">
        <v>2</v>
      </c>
      <c r="F7166" t="s">
        <v>6180</v>
      </c>
    </row>
    <row r="7167" spans="1:6" x14ac:dyDescent="0.25">
      <c r="A7167" t="s">
        <v>6101</v>
      </c>
      <c r="B7167" t="s">
        <v>458</v>
      </c>
      <c r="C7167" t="s">
        <v>459</v>
      </c>
      <c r="D7167" t="str">
        <f>HYPERLINK("http://service.sap.com/sap/support/notes/1589357","1589357")</f>
        <v>1589357</v>
      </c>
      <c r="E7167">
        <v>2</v>
      </c>
      <c r="F7167" t="s">
        <v>6181</v>
      </c>
    </row>
    <row r="7168" spans="1:6" x14ac:dyDescent="0.25">
      <c r="A7168" t="s">
        <v>6101</v>
      </c>
      <c r="B7168" t="s">
        <v>458</v>
      </c>
      <c r="C7168" t="s">
        <v>459</v>
      </c>
      <c r="D7168" t="str">
        <f>HYPERLINK("http://service.sap.com/sap/support/notes/1638620","1638620")</f>
        <v>1638620</v>
      </c>
      <c r="E7168">
        <v>1</v>
      </c>
      <c r="F7168" t="s">
        <v>5323</v>
      </c>
    </row>
    <row r="7169" spans="1:6" x14ac:dyDescent="0.25">
      <c r="A7169" t="s">
        <v>6101</v>
      </c>
      <c r="B7169" t="s">
        <v>458</v>
      </c>
      <c r="C7169" t="s">
        <v>459</v>
      </c>
      <c r="D7169" t="str">
        <f>HYPERLINK("http://service.sap.com/sap/support/notes/1698405","1698405")</f>
        <v>1698405</v>
      </c>
      <c r="E7169">
        <v>5</v>
      </c>
      <c r="F7169" t="s">
        <v>6182</v>
      </c>
    </row>
    <row r="7170" spans="1:6" x14ac:dyDescent="0.25">
      <c r="A7170" t="s">
        <v>6101</v>
      </c>
      <c r="B7170" t="s">
        <v>458</v>
      </c>
      <c r="C7170" t="s">
        <v>459</v>
      </c>
      <c r="D7170" t="str">
        <f>HYPERLINK("http://service.sap.com/sap/support/notes/1699444","1699444")</f>
        <v>1699444</v>
      </c>
      <c r="E7170">
        <v>2</v>
      </c>
      <c r="F7170" t="s">
        <v>6183</v>
      </c>
    </row>
    <row r="7171" spans="1:6" x14ac:dyDescent="0.25">
      <c r="A7171" t="s">
        <v>6101</v>
      </c>
      <c r="B7171" t="s">
        <v>458</v>
      </c>
      <c r="C7171" t="s">
        <v>459</v>
      </c>
      <c r="D7171" t="str">
        <f>HYPERLINK("http://service.sap.com/sap/support/notes/1704337","1704337")</f>
        <v>1704337</v>
      </c>
      <c r="E7171">
        <v>1</v>
      </c>
      <c r="F7171" t="s">
        <v>6184</v>
      </c>
    </row>
    <row r="7172" spans="1:6" x14ac:dyDescent="0.25">
      <c r="A7172" t="s">
        <v>6101</v>
      </c>
      <c r="B7172" t="s">
        <v>458</v>
      </c>
      <c r="C7172" t="s">
        <v>459</v>
      </c>
      <c r="D7172" t="str">
        <f>HYPERLINK("http://service.sap.com/sap/support/notes/1709073","1709073")</f>
        <v>1709073</v>
      </c>
      <c r="E7172">
        <v>2</v>
      </c>
      <c r="F7172" t="s">
        <v>6185</v>
      </c>
    </row>
    <row r="7173" spans="1:6" x14ac:dyDescent="0.25">
      <c r="A7173" t="s">
        <v>6101</v>
      </c>
      <c r="B7173" t="s">
        <v>458</v>
      </c>
      <c r="C7173" t="s">
        <v>459</v>
      </c>
      <c r="D7173" t="str">
        <f>HYPERLINK("http://service.sap.com/sap/support/notes/1709592","1709592")</f>
        <v>1709592</v>
      </c>
      <c r="E7173">
        <v>1</v>
      </c>
      <c r="F7173" t="s">
        <v>6186</v>
      </c>
    </row>
    <row r="7174" spans="1:6" x14ac:dyDescent="0.25">
      <c r="A7174" t="s">
        <v>6101</v>
      </c>
      <c r="B7174" t="s">
        <v>512</v>
      </c>
      <c r="C7174" t="s">
        <v>513</v>
      </c>
      <c r="D7174" t="str">
        <f>HYPERLINK("http://service.sap.com/sap/support/notes/1702304","1702304")</f>
        <v>1702304</v>
      </c>
      <c r="E7174">
        <v>4</v>
      </c>
      <c r="F7174" t="s">
        <v>6187</v>
      </c>
    </row>
    <row r="7175" spans="1:6" x14ac:dyDescent="0.25">
      <c r="A7175" t="s">
        <v>6101</v>
      </c>
      <c r="B7175" t="s">
        <v>5642</v>
      </c>
      <c r="C7175" t="s">
        <v>5643</v>
      </c>
      <c r="D7175" t="str">
        <f>HYPERLINK("http://service.sap.com/sap/support/notes/1703238","1703238")</f>
        <v>1703238</v>
      </c>
      <c r="E7175">
        <v>1</v>
      </c>
      <c r="F7175" t="s">
        <v>6188</v>
      </c>
    </row>
    <row r="7176" spans="1:6" x14ac:dyDescent="0.25">
      <c r="A7176" t="s">
        <v>6101</v>
      </c>
      <c r="B7176" t="s">
        <v>462</v>
      </c>
      <c r="C7176" t="s">
        <v>463</v>
      </c>
      <c r="D7176" t="str">
        <f>HYPERLINK("http://service.sap.com/sap/support/notes/1683210","1683210")</f>
        <v>1683210</v>
      </c>
      <c r="E7176">
        <v>1</v>
      </c>
      <c r="F7176" t="s">
        <v>6189</v>
      </c>
    </row>
    <row r="7177" spans="1:6" x14ac:dyDescent="0.25">
      <c r="A7177" t="s">
        <v>6101</v>
      </c>
      <c r="B7177" t="s">
        <v>462</v>
      </c>
      <c r="C7177" t="s">
        <v>463</v>
      </c>
      <c r="D7177" t="str">
        <f>HYPERLINK("http://service.sap.com/sap/support/notes/1685243","1685243")</f>
        <v>1685243</v>
      </c>
      <c r="E7177">
        <v>1</v>
      </c>
      <c r="F7177" t="s">
        <v>6190</v>
      </c>
    </row>
    <row r="7178" spans="1:6" x14ac:dyDescent="0.25">
      <c r="A7178" t="s">
        <v>6101</v>
      </c>
      <c r="B7178" t="s">
        <v>462</v>
      </c>
      <c r="C7178" t="s">
        <v>463</v>
      </c>
      <c r="D7178" t="str">
        <f>HYPERLINK("http://service.sap.com/sap/support/notes/1685881","1685881")</f>
        <v>1685881</v>
      </c>
      <c r="E7178">
        <v>1</v>
      </c>
      <c r="F7178" t="s">
        <v>6191</v>
      </c>
    </row>
    <row r="7179" spans="1:6" x14ac:dyDescent="0.25">
      <c r="A7179" t="s">
        <v>6101</v>
      </c>
      <c r="B7179" t="s">
        <v>462</v>
      </c>
      <c r="C7179" t="s">
        <v>463</v>
      </c>
      <c r="D7179" t="str">
        <f>HYPERLINK("http://service.sap.com/sap/support/notes/1689089","1689089")</f>
        <v>1689089</v>
      </c>
      <c r="E7179">
        <v>1</v>
      </c>
      <c r="F7179" t="s">
        <v>6192</v>
      </c>
    </row>
    <row r="7180" spans="1:6" x14ac:dyDescent="0.25">
      <c r="A7180" t="s">
        <v>6101</v>
      </c>
      <c r="B7180" t="s">
        <v>623</v>
      </c>
      <c r="C7180" t="s">
        <v>624</v>
      </c>
    </row>
    <row r="7181" spans="1:6" x14ac:dyDescent="0.25">
      <c r="A7181" t="s">
        <v>6101</v>
      </c>
      <c r="B7181" t="s">
        <v>6193</v>
      </c>
      <c r="C7181" t="s">
        <v>38</v>
      </c>
      <c r="D7181" t="str">
        <f>HYPERLINK("http://service.sap.com/sap/support/notes/1676216","1676216")</f>
        <v>1676216</v>
      </c>
      <c r="E7181">
        <v>3</v>
      </c>
      <c r="F7181" t="s">
        <v>6194</v>
      </c>
    </row>
    <row r="7182" spans="1:6" x14ac:dyDescent="0.25">
      <c r="A7182" t="s">
        <v>6101</v>
      </c>
      <c r="B7182" t="s">
        <v>625</v>
      </c>
      <c r="C7182" t="s">
        <v>626</v>
      </c>
      <c r="D7182" t="str">
        <f>HYPERLINK("http://service.sap.com/sap/support/notes/1223687","1223687")</f>
        <v>1223687</v>
      </c>
      <c r="E7182">
        <v>22</v>
      </c>
      <c r="F7182" t="s">
        <v>6195</v>
      </c>
    </row>
    <row r="7183" spans="1:6" x14ac:dyDescent="0.25">
      <c r="A7183" t="s">
        <v>6101</v>
      </c>
      <c r="B7183" t="s">
        <v>625</v>
      </c>
      <c r="C7183" t="s">
        <v>626</v>
      </c>
      <c r="D7183" t="str">
        <f>HYPERLINK("http://service.sap.com/sap/support/notes/1654533","1654533")</f>
        <v>1654533</v>
      </c>
      <c r="E7183">
        <v>2</v>
      </c>
      <c r="F7183" t="s">
        <v>676</v>
      </c>
    </row>
    <row r="7184" spans="1:6" x14ac:dyDescent="0.25">
      <c r="A7184" t="s">
        <v>6101</v>
      </c>
      <c r="B7184" t="s">
        <v>625</v>
      </c>
      <c r="C7184" t="s">
        <v>626</v>
      </c>
      <c r="D7184" t="str">
        <f>HYPERLINK("http://service.sap.com/sap/support/notes/1671704","1671704")</f>
        <v>1671704</v>
      </c>
      <c r="E7184">
        <v>2</v>
      </c>
      <c r="F7184" t="s">
        <v>5775</v>
      </c>
    </row>
    <row r="7185" spans="1:6" x14ac:dyDescent="0.25">
      <c r="A7185" t="s">
        <v>6101</v>
      </c>
      <c r="B7185" t="s">
        <v>625</v>
      </c>
      <c r="C7185" t="s">
        <v>626</v>
      </c>
      <c r="D7185" t="str">
        <f>HYPERLINK("http://service.sap.com/sap/support/notes/1684836","1684836")</f>
        <v>1684836</v>
      </c>
      <c r="E7185">
        <v>2</v>
      </c>
      <c r="F7185" t="s">
        <v>5904</v>
      </c>
    </row>
    <row r="7186" spans="1:6" x14ac:dyDescent="0.25">
      <c r="A7186" t="s">
        <v>6101</v>
      </c>
      <c r="B7186" t="s">
        <v>625</v>
      </c>
      <c r="C7186" t="s">
        <v>626</v>
      </c>
      <c r="D7186" t="str">
        <f>HYPERLINK("http://service.sap.com/sap/support/notes/1695699","1695699")</f>
        <v>1695699</v>
      </c>
      <c r="E7186">
        <v>2</v>
      </c>
      <c r="F7186" t="s">
        <v>6196</v>
      </c>
    </row>
    <row r="7187" spans="1:6" x14ac:dyDescent="0.25">
      <c r="A7187" t="s">
        <v>6101</v>
      </c>
      <c r="B7187" t="s">
        <v>625</v>
      </c>
      <c r="C7187" t="s">
        <v>626</v>
      </c>
      <c r="D7187" t="str">
        <f>HYPERLINK("http://service.sap.com/sap/support/notes/1698169","1698169")</f>
        <v>1698169</v>
      </c>
      <c r="E7187">
        <v>1</v>
      </c>
      <c r="F7187" t="s">
        <v>6197</v>
      </c>
    </row>
    <row r="7188" spans="1:6" x14ac:dyDescent="0.25">
      <c r="A7188" t="s">
        <v>6101</v>
      </c>
      <c r="B7188" t="s">
        <v>625</v>
      </c>
      <c r="C7188" t="s">
        <v>626</v>
      </c>
      <c r="D7188" t="str">
        <f>HYPERLINK("http://service.sap.com/sap/support/notes/1698832","1698832")</f>
        <v>1698832</v>
      </c>
      <c r="E7188">
        <v>1</v>
      </c>
      <c r="F7188" t="s">
        <v>6198</v>
      </c>
    </row>
    <row r="7189" spans="1:6" x14ac:dyDescent="0.25">
      <c r="A7189" t="s">
        <v>6101</v>
      </c>
      <c r="B7189" t="s">
        <v>625</v>
      </c>
      <c r="C7189" t="s">
        <v>626</v>
      </c>
      <c r="D7189" t="str">
        <f>HYPERLINK("http://service.sap.com/sap/support/notes/1706235","1706235")</f>
        <v>1706235</v>
      </c>
      <c r="E7189">
        <v>1</v>
      </c>
      <c r="F7189" t="s">
        <v>6199</v>
      </c>
    </row>
    <row r="7190" spans="1:6" x14ac:dyDescent="0.25">
      <c r="A7190" t="s">
        <v>6101</v>
      </c>
      <c r="B7190" t="s">
        <v>625</v>
      </c>
      <c r="C7190" t="s">
        <v>626</v>
      </c>
      <c r="D7190" t="str">
        <f>HYPERLINK("http://service.sap.com/sap/support/notes/1706236","1706236")</f>
        <v>1706236</v>
      </c>
      <c r="E7190">
        <v>1</v>
      </c>
      <c r="F7190" t="s">
        <v>6200</v>
      </c>
    </row>
    <row r="7191" spans="1:6" x14ac:dyDescent="0.25">
      <c r="A7191" t="s">
        <v>6101</v>
      </c>
      <c r="B7191" t="s">
        <v>627</v>
      </c>
      <c r="C7191" t="s">
        <v>628</v>
      </c>
      <c r="D7191" t="str">
        <f>HYPERLINK("http://service.sap.com/sap/support/notes/1705754","1705754")</f>
        <v>1705754</v>
      </c>
      <c r="E7191">
        <v>1</v>
      </c>
      <c r="F7191" t="s">
        <v>6201</v>
      </c>
    </row>
    <row r="7192" spans="1:6" x14ac:dyDescent="0.25">
      <c r="A7192" t="s">
        <v>6101</v>
      </c>
      <c r="B7192" t="s">
        <v>627</v>
      </c>
      <c r="C7192" t="s">
        <v>628</v>
      </c>
      <c r="D7192" t="str">
        <f>HYPERLINK("http://service.sap.com/sap/support/notes/1707934","1707934")</f>
        <v>1707934</v>
      </c>
      <c r="E7192">
        <v>1</v>
      </c>
      <c r="F7192" t="s">
        <v>6202</v>
      </c>
    </row>
    <row r="7193" spans="1:6" x14ac:dyDescent="0.25">
      <c r="A7193" t="s">
        <v>6101</v>
      </c>
      <c r="B7193" t="s">
        <v>629</v>
      </c>
      <c r="C7193" t="s">
        <v>630</v>
      </c>
      <c r="D7193" t="str">
        <f>HYPERLINK("http://service.sap.com/sap/support/notes/1693136","1693136")</f>
        <v>1693136</v>
      </c>
      <c r="E7193">
        <v>1</v>
      </c>
      <c r="F7193" t="s">
        <v>6203</v>
      </c>
    </row>
    <row r="7194" spans="1:6" x14ac:dyDescent="0.25">
      <c r="A7194" t="s">
        <v>6101</v>
      </c>
      <c r="B7194" t="s">
        <v>245</v>
      </c>
      <c r="C7194" t="s">
        <v>5215</v>
      </c>
      <c r="D7194" t="str">
        <f>HYPERLINK("http://service.sap.com/sap/support/notes/1700551","1700551")</f>
        <v>1700551</v>
      </c>
      <c r="E7194">
        <v>1</v>
      </c>
      <c r="F7194" t="s">
        <v>6204</v>
      </c>
    </row>
    <row r="7195" spans="1:6" x14ac:dyDescent="0.25">
      <c r="A7195" t="s">
        <v>6101</v>
      </c>
      <c r="B7195" t="s">
        <v>245</v>
      </c>
      <c r="C7195" t="s">
        <v>5215</v>
      </c>
      <c r="D7195" t="str">
        <f>HYPERLINK("http://service.sap.com/sap/support/notes/1701628","1701628")</f>
        <v>1701628</v>
      </c>
      <c r="E7195">
        <v>1</v>
      </c>
      <c r="F7195" t="s">
        <v>6205</v>
      </c>
    </row>
    <row r="7196" spans="1:6" x14ac:dyDescent="0.25">
      <c r="A7196" t="s">
        <v>6101</v>
      </c>
      <c r="B7196" t="s">
        <v>29</v>
      </c>
      <c r="C7196" t="s">
        <v>30</v>
      </c>
    </row>
    <row r="7197" spans="1:6" x14ac:dyDescent="0.25">
      <c r="A7197" t="s">
        <v>6101</v>
      </c>
      <c r="B7197" t="s">
        <v>33</v>
      </c>
      <c r="C7197" t="s">
        <v>34</v>
      </c>
      <c r="D7197" t="str">
        <f>HYPERLINK("http://service.sap.com/sap/support/notes/1689886","1689886")</f>
        <v>1689886</v>
      </c>
      <c r="E7197">
        <v>5</v>
      </c>
      <c r="F7197" t="s">
        <v>6206</v>
      </c>
    </row>
    <row r="7198" spans="1:6" x14ac:dyDescent="0.25">
      <c r="A7198" t="s">
        <v>6101</v>
      </c>
      <c r="B7198" t="s">
        <v>35</v>
      </c>
      <c r="C7198" t="s">
        <v>36</v>
      </c>
      <c r="D7198" t="str">
        <f>HYPERLINK("http://service.sap.com/sap/support/notes/1632904","1632904")</f>
        <v>1632904</v>
      </c>
      <c r="E7198">
        <v>1</v>
      </c>
      <c r="F7198" t="s">
        <v>5234</v>
      </c>
    </row>
    <row r="7199" spans="1:6" x14ac:dyDescent="0.25">
      <c r="A7199" t="s">
        <v>6101</v>
      </c>
      <c r="B7199" t="s">
        <v>41</v>
      </c>
      <c r="C7199" t="s">
        <v>42</v>
      </c>
    </row>
    <row r="7200" spans="1:6" x14ac:dyDescent="0.25">
      <c r="A7200" t="s">
        <v>6101</v>
      </c>
      <c r="B7200" t="s">
        <v>43</v>
      </c>
      <c r="C7200" t="s">
        <v>44</v>
      </c>
      <c r="D7200" t="str">
        <f>HYPERLINK("http://service.sap.com/sap/support/notes/1697828","1697828")</f>
        <v>1697828</v>
      </c>
      <c r="E7200">
        <v>4</v>
      </c>
      <c r="F7200" t="s">
        <v>6207</v>
      </c>
    </row>
    <row r="7201" spans="1:6" x14ac:dyDescent="0.25">
      <c r="A7201" t="s">
        <v>6101</v>
      </c>
      <c r="B7201" t="s">
        <v>43</v>
      </c>
      <c r="C7201" t="s">
        <v>44</v>
      </c>
      <c r="D7201" t="str">
        <f>HYPERLINK("http://service.sap.com/sap/support/notes/1707786","1707786")</f>
        <v>1707786</v>
      </c>
      <c r="E7201">
        <v>1</v>
      </c>
      <c r="F7201" t="s">
        <v>6208</v>
      </c>
    </row>
    <row r="7202" spans="1:6" x14ac:dyDescent="0.25">
      <c r="A7202" t="s">
        <v>6101</v>
      </c>
      <c r="B7202" t="s">
        <v>46</v>
      </c>
      <c r="C7202" t="s">
        <v>47</v>
      </c>
      <c r="D7202" t="str">
        <f>HYPERLINK("http://service.sap.com/sap/support/notes/1697226","1697226")</f>
        <v>1697226</v>
      </c>
      <c r="E7202">
        <v>4</v>
      </c>
      <c r="F7202" t="s">
        <v>6209</v>
      </c>
    </row>
    <row r="7203" spans="1:6" x14ac:dyDescent="0.25">
      <c r="A7203" t="s">
        <v>6101</v>
      </c>
      <c r="B7203" t="s">
        <v>46</v>
      </c>
      <c r="C7203" t="s">
        <v>47</v>
      </c>
      <c r="D7203" t="str">
        <f>HYPERLINK("http://service.sap.com/sap/support/notes/1708083","1708083")</f>
        <v>1708083</v>
      </c>
      <c r="E7203">
        <v>1</v>
      </c>
      <c r="F7203" t="s">
        <v>6210</v>
      </c>
    </row>
    <row r="7204" spans="1:6" x14ac:dyDescent="0.25">
      <c r="A7204" t="s">
        <v>6101</v>
      </c>
      <c r="B7204" t="s">
        <v>839</v>
      </c>
      <c r="C7204" t="s">
        <v>160</v>
      </c>
      <c r="D7204" t="str">
        <f>HYPERLINK("http://service.sap.com/sap/support/notes/1665451","1665451")</f>
        <v>1665451</v>
      </c>
      <c r="E7204">
        <v>2</v>
      </c>
      <c r="F7204" t="s">
        <v>6211</v>
      </c>
    </row>
    <row r="7205" spans="1:6" x14ac:dyDescent="0.25">
      <c r="A7205" t="s">
        <v>6101</v>
      </c>
      <c r="B7205" t="s">
        <v>55</v>
      </c>
      <c r="C7205" t="s">
        <v>56</v>
      </c>
      <c r="D7205" t="str">
        <f>HYPERLINK("http://service.sap.com/sap/support/notes/1697859","1697859")</f>
        <v>1697859</v>
      </c>
      <c r="E7205">
        <v>1</v>
      </c>
      <c r="F7205" t="s">
        <v>6212</v>
      </c>
    </row>
    <row r="7206" spans="1:6" x14ac:dyDescent="0.25">
      <c r="A7206" t="s">
        <v>6101</v>
      </c>
      <c r="B7206" t="s">
        <v>55</v>
      </c>
      <c r="C7206" t="s">
        <v>56</v>
      </c>
      <c r="D7206" t="str">
        <f>HYPERLINK("http://service.sap.com/sap/support/notes/1697887","1697887")</f>
        <v>1697887</v>
      </c>
      <c r="E7206">
        <v>1</v>
      </c>
      <c r="F7206" t="s">
        <v>6213</v>
      </c>
    </row>
    <row r="7207" spans="1:6" x14ac:dyDescent="0.25">
      <c r="A7207" t="s">
        <v>6101</v>
      </c>
      <c r="B7207" t="s">
        <v>55</v>
      </c>
      <c r="C7207" t="s">
        <v>56</v>
      </c>
      <c r="D7207" t="str">
        <f>HYPERLINK("http://service.sap.com/sap/support/notes/1705869","1705869")</f>
        <v>1705869</v>
      </c>
      <c r="E7207">
        <v>1</v>
      </c>
      <c r="F7207" t="s">
        <v>6214</v>
      </c>
    </row>
    <row r="7208" spans="1:6" x14ac:dyDescent="0.25">
      <c r="A7208" t="s">
        <v>6101</v>
      </c>
      <c r="B7208" t="s">
        <v>256</v>
      </c>
      <c r="C7208" t="s">
        <v>165</v>
      </c>
      <c r="D7208" t="str">
        <f>HYPERLINK("http://service.sap.com/sap/support/notes/1696499","1696499")</f>
        <v>1696499</v>
      </c>
      <c r="E7208">
        <v>1</v>
      </c>
      <c r="F7208" t="s">
        <v>6215</v>
      </c>
    </row>
    <row r="7209" spans="1:6" x14ac:dyDescent="0.25">
      <c r="A7209" t="s">
        <v>6101</v>
      </c>
      <c r="B7209" t="s">
        <v>415</v>
      </c>
      <c r="C7209" t="s">
        <v>167</v>
      </c>
      <c r="D7209" t="str">
        <f>HYPERLINK("http://service.sap.com/sap/support/notes/1697819","1697819")</f>
        <v>1697819</v>
      </c>
      <c r="E7209">
        <v>4</v>
      </c>
      <c r="F7209" t="s">
        <v>6216</v>
      </c>
    </row>
    <row r="7210" spans="1:6" x14ac:dyDescent="0.25">
      <c r="A7210" t="s">
        <v>6101</v>
      </c>
      <c r="B7210" t="s">
        <v>57</v>
      </c>
      <c r="C7210" t="s">
        <v>58</v>
      </c>
      <c r="D7210" t="str">
        <f>HYPERLINK("http://service.sap.com/sap/support/notes/1678908","1678908")</f>
        <v>1678908</v>
      </c>
      <c r="E7210">
        <v>4</v>
      </c>
      <c r="F7210" t="s">
        <v>2847</v>
      </c>
    </row>
    <row r="7211" spans="1:6" x14ac:dyDescent="0.25">
      <c r="A7211" t="s">
        <v>6101</v>
      </c>
      <c r="B7211" t="s">
        <v>57</v>
      </c>
      <c r="C7211" t="s">
        <v>58</v>
      </c>
      <c r="D7211" t="str">
        <f>HYPERLINK("http://service.sap.com/sap/support/notes/1685389","1685389")</f>
        <v>1685389</v>
      </c>
      <c r="E7211">
        <v>4</v>
      </c>
      <c r="F7211" t="s">
        <v>2849</v>
      </c>
    </row>
    <row r="7212" spans="1:6" x14ac:dyDescent="0.25">
      <c r="A7212" t="s">
        <v>6101</v>
      </c>
      <c r="B7212" t="s">
        <v>57</v>
      </c>
      <c r="C7212" t="s">
        <v>58</v>
      </c>
      <c r="D7212" t="str">
        <f>HYPERLINK("http://service.sap.com/sap/support/notes/1698545","1698545")</f>
        <v>1698545</v>
      </c>
      <c r="E7212">
        <v>1</v>
      </c>
      <c r="F7212" t="s">
        <v>3256</v>
      </c>
    </row>
    <row r="7213" spans="1:6" x14ac:dyDescent="0.25">
      <c r="A7213" t="s">
        <v>6101</v>
      </c>
      <c r="B7213" t="s">
        <v>57</v>
      </c>
      <c r="C7213" t="s">
        <v>58</v>
      </c>
      <c r="D7213" t="str">
        <f>HYPERLINK("http://service.sap.com/sap/support/notes/1699781","1699781")</f>
        <v>1699781</v>
      </c>
      <c r="E7213">
        <v>4</v>
      </c>
      <c r="F7213" t="s">
        <v>6217</v>
      </c>
    </row>
    <row r="7214" spans="1:6" x14ac:dyDescent="0.25">
      <c r="A7214" t="s">
        <v>6101</v>
      </c>
      <c r="B7214" t="s">
        <v>57</v>
      </c>
      <c r="C7214" t="s">
        <v>58</v>
      </c>
      <c r="D7214" t="str">
        <f>HYPERLINK("http://service.sap.com/sap/support/notes/1706318","1706318")</f>
        <v>1706318</v>
      </c>
      <c r="E7214">
        <v>1</v>
      </c>
      <c r="F7214" t="s">
        <v>3259</v>
      </c>
    </row>
    <row r="7215" spans="1:6" x14ac:dyDescent="0.25">
      <c r="A7215" t="s">
        <v>6101</v>
      </c>
      <c r="B7215" t="s">
        <v>61</v>
      </c>
      <c r="C7215" t="s">
        <v>62</v>
      </c>
    </row>
    <row r="7216" spans="1:6" x14ac:dyDescent="0.25">
      <c r="A7216" t="s">
        <v>6101</v>
      </c>
      <c r="B7216" t="s">
        <v>647</v>
      </c>
      <c r="C7216" t="s">
        <v>648</v>
      </c>
      <c r="D7216" t="str">
        <f>HYPERLINK("http://service.sap.com/sap/support/notes/1687725","1687725")</f>
        <v>1687725</v>
      </c>
      <c r="E7216">
        <v>1</v>
      </c>
      <c r="F7216" t="s">
        <v>6218</v>
      </c>
    </row>
    <row r="7217" spans="1:6" x14ac:dyDescent="0.25">
      <c r="A7217" t="s">
        <v>6101</v>
      </c>
      <c r="B7217" t="s">
        <v>647</v>
      </c>
      <c r="C7217" t="s">
        <v>648</v>
      </c>
      <c r="D7217" t="str">
        <f>HYPERLINK("http://service.sap.com/sap/support/notes/1699915","1699915")</f>
        <v>1699915</v>
      </c>
      <c r="E7217">
        <v>1</v>
      </c>
      <c r="F7217" t="s">
        <v>6219</v>
      </c>
    </row>
    <row r="7218" spans="1:6" x14ac:dyDescent="0.25">
      <c r="A7218" t="s">
        <v>6101</v>
      </c>
      <c r="B7218" t="s">
        <v>261</v>
      </c>
      <c r="C7218" t="s">
        <v>262</v>
      </c>
      <c r="D7218" t="str">
        <f>HYPERLINK("http://service.sap.com/sap/support/notes/1678299","1678299")</f>
        <v>1678299</v>
      </c>
      <c r="E7218">
        <v>1</v>
      </c>
      <c r="F7218" t="s">
        <v>6220</v>
      </c>
    </row>
    <row r="7219" spans="1:6" x14ac:dyDescent="0.25">
      <c r="A7219" t="s">
        <v>6101</v>
      </c>
      <c r="B7219" t="s">
        <v>261</v>
      </c>
      <c r="C7219" t="s">
        <v>262</v>
      </c>
      <c r="D7219" t="str">
        <f>HYPERLINK("http://service.sap.com/sap/support/notes/1694043","1694043")</f>
        <v>1694043</v>
      </c>
      <c r="E7219">
        <v>1</v>
      </c>
      <c r="F7219" t="s">
        <v>6221</v>
      </c>
    </row>
    <row r="7220" spans="1:6" x14ac:dyDescent="0.25">
      <c r="A7220" t="s">
        <v>6101</v>
      </c>
      <c r="B7220" t="s">
        <v>261</v>
      </c>
      <c r="C7220" t="s">
        <v>262</v>
      </c>
      <c r="D7220" t="str">
        <f>HYPERLINK("http://service.sap.com/sap/support/notes/1697840","1697840")</f>
        <v>1697840</v>
      </c>
      <c r="E7220">
        <v>1</v>
      </c>
      <c r="F7220" t="s">
        <v>6222</v>
      </c>
    </row>
    <row r="7221" spans="1:6" x14ac:dyDescent="0.25">
      <c r="A7221" t="s">
        <v>6101</v>
      </c>
      <c r="B7221" t="s">
        <v>261</v>
      </c>
      <c r="C7221" t="s">
        <v>262</v>
      </c>
      <c r="D7221" t="str">
        <f>HYPERLINK("http://service.sap.com/sap/support/notes/1699321","1699321")</f>
        <v>1699321</v>
      </c>
      <c r="E7221">
        <v>1</v>
      </c>
      <c r="F7221" t="s">
        <v>6223</v>
      </c>
    </row>
    <row r="7222" spans="1:6" x14ac:dyDescent="0.25">
      <c r="A7222" t="s">
        <v>6101</v>
      </c>
      <c r="B7222" t="s">
        <v>264</v>
      </c>
      <c r="C7222" t="s">
        <v>249</v>
      </c>
    </row>
    <row r="7223" spans="1:6" x14ac:dyDescent="0.25">
      <c r="A7223" t="s">
        <v>6101</v>
      </c>
      <c r="B7223" t="s">
        <v>265</v>
      </c>
      <c r="C7223" t="s">
        <v>668</v>
      </c>
      <c r="D7223" t="str">
        <f>HYPERLINK("http://service.sap.com/sap/support/notes/1676545","1676545")</f>
        <v>1676545</v>
      </c>
      <c r="E7223">
        <v>2</v>
      </c>
      <c r="F7223" t="s">
        <v>6224</v>
      </c>
    </row>
    <row r="7224" spans="1:6" x14ac:dyDescent="0.25">
      <c r="A7224" t="s">
        <v>6101</v>
      </c>
      <c r="B7224" t="s">
        <v>267</v>
      </c>
      <c r="C7224" t="s">
        <v>466</v>
      </c>
    </row>
    <row r="7225" spans="1:6" x14ac:dyDescent="0.25">
      <c r="A7225" t="s">
        <v>6101</v>
      </c>
      <c r="B7225" t="s">
        <v>268</v>
      </c>
      <c r="C7225" t="s">
        <v>467</v>
      </c>
      <c r="D7225" t="str">
        <f>HYPERLINK("http://service.sap.com/sap/support/notes/1697984","1697984")</f>
        <v>1697984</v>
      </c>
      <c r="E7225">
        <v>2</v>
      </c>
      <c r="F7225" t="s">
        <v>6225</v>
      </c>
    </row>
    <row r="7226" spans="1:6" x14ac:dyDescent="0.25">
      <c r="A7226" t="s">
        <v>6101</v>
      </c>
      <c r="B7226" t="s">
        <v>268</v>
      </c>
      <c r="C7226" t="s">
        <v>467</v>
      </c>
      <c r="D7226" t="str">
        <f>HYPERLINK("http://service.sap.com/sap/support/notes/1699361","1699361")</f>
        <v>1699361</v>
      </c>
      <c r="E7226">
        <v>2</v>
      </c>
      <c r="F7226" t="s">
        <v>6226</v>
      </c>
    </row>
    <row r="7227" spans="1:6" x14ac:dyDescent="0.25">
      <c r="A7227" t="s">
        <v>6101</v>
      </c>
      <c r="B7227" t="s">
        <v>268</v>
      </c>
      <c r="C7227" t="s">
        <v>467</v>
      </c>
      <c r="D7227" t="str">
        <f>HYPERLINK("http://service.sap.com/sap/support/notes/1701740","1701740")</f>
        <v>1701740</v>
      </c>
      <c r="E7227">
        <v>1</v>
      </c>
      <c r="F7227" t="s">
        <v>6227</v>
      </c>
    </row>
    <row r="7228" spans="1:6" x14ac:dyDescent="0.25">
      <c r="A7228" t="s">
        <v>6101</v>
      </c>
      <c r="B7228" t="s">
        <v>268</v>
      </c>
      <c r="C7228" t="s">
        <v>467</v>
      </c>
      <c r="D7228" t="str">
        <f>HYPERLINK("http://service.sap.com/sap/support/notes/1701794","1701794")</f>
        <v>1701794</v>
      </c>
      <c r="E7228">
        <v>3</v>
      </c>
      <c r="F7228" t="s">
        <v>6228</v>
      </c>
    </row>
    <row r="7229" spans="1:6" x14ac:dyDescent="0.25">
      <c r="A7229" t="s">
        <v>6101</v>
      </c>
      <c r="B7229" t="s">
        <v>268</v>
      </c>
      <c r="C7229" t="s">
        <v>467</v>
      </c>
      <c r="D7229" t="str">
        <f>HYPERLINK("http://service.sap.com/sap/support/notes/1706079","1706079")</f>
        <v>1706079</v>
      </c>
      <c r="E7229">
        <v>1</v>
      </c>
      <c r="F7229" t="s">
        <v>6229</v>
      </c>
    </row>
    <row r="7230" spans="1:6" x14ac:dyDescent="0.25">
      <c r="A7230" t="s">
        <v>6101</v>
      </c>
      <c r="B7230" t="s">
        <v>268</v>
      </c>
      <c r="C7230" t="s">
        <v>467</v>
      </c>
      <c r="D7230" t="str">
        <f>HYPERLINK("http://service.sap.com/sap/support/notes/1707514","1707514")</f>
        <v>1707514</v>
      </c>
      <c r="E7230">
        <v>1</v>
      </c>
      <c r="F7230" t="s">
        <v>6230</v>
      </c>
    </row>
    <row r="7231" spans="1:6" x14ac:dyDescent="0.25">
      <c r="A7231" t="s">
        <v>6101</v>
      </c>
      <c r="B7231" t="s">
        <v>268</v>
      </c>
      <c r="C7231" t="s">
        <v>467</v>
      </c>
      <c r="D7231" t="str">
        <f>HYPERLINK("http://service.sap.com/sap/support/notes/1708183","1708183")</f>
        <v>1708183</v>
      </c>
      <c r="E7231">
        <v>3</v>
      </c>
      <c r="F7231" t="s">
        <v>6231</v>
      </c>
    </row>
    <row r="7232" spans="1:6" x14ac:dyDescent="0.25">
      <c r="A7232" t="s">
        <v>6101</v>
      </c>
      <c r="B7232" t="s">
        <v>268</v>
      </c>
      <c r="C7232" t="s">
        <v>467</v>
      </c>
      <c r="D7232" t="str">
        <f>HYPERLINK("http://service.sap.com/sap/support/notes/1709068","1709068")</f>
        <v>1709068</v>
      </c>
      <c r="E7232">
        <v>2</v>
      </c>
      <c r="F7232" t="s">
        <v>6232</v>
      </c>
    </row>
    <row r="7233" spans="1:6" x14ac:dyDescent="0.25">
      <c r="A7233" t="s">
        <v>6101</v>
      </c>
      <c r="B7233" t="s">
        <v>273</v>
      </c>
      <c r="C7233" t="s">
        <v>469</v>
      </c>
    </row>
    <row r="7234" spans="1:6" x14ac:dyDescent="0.25">
      <c r="A7234" t="s">
        <v>6101</v>
      </c>
      <c r="B7234" t="s">
        <v>274</v>
      </c>
      <c r="C7234" t="s">
        <v>470</v>
      </c>
      <c r="D7234" t="str">
        <f>HYPERLINK("http://service.sap.com/sap/support/notes/1671228","1671228")</f>
        <v>1671228</v>
      </c>
      <c r="E7234">
        <v>2</v>
      </c>
      <c r="F7234" t="s">
        <v>6233</v>
      </c>
    </row>
    <row r="7235" spans="1:6" x14ac:dyDescent="0.25">
      <c r="A7235" t="s">
        <v>6101</v>
      </c>
      <c r="B7235" t="s">
        <v>471</v>
      </c>
      <c r="C7235" t="s">
        <v>472</v>
      </c>
      <c r="D7235" t="str">
        <f>HYPERLINK("http://service.sap.com/sap/support/notes/1426335","1426335")</f>
        <v>1426335</v>
      </c>
      <c r="E7235">
        <v>5</v>
      </c>
      <c r="F7235" t="s">
        <v>6234</v>
      </c>
    </row>
    <row r="7236" spans="1:6" x14ac:dyDescent="0.25">
      <c r="A7236" t="s">
        <v>6101</v>
      </c>
      <c r="B7236" t="s">
        <v>471</v>
      </c>
      <c r="C7236" t="s">
        <v>472</v>
      </c>
      <c r="D7236" t="str">
        <f>HYPERLINK("http://service.sap.com/sap/support/notes/1685269","1685269")</f>
        <v>1685269</v>
      </c>
      <c r="E7236">
        <v>5</v>
      </c>
      <c r="F7236" t="s">
        <v>6235</v>
      </c>
    </row>
    <row r="7237" spans="1:6" x14ac:dyDescent="0.25">
      <c r="A7237" t="s">
        <v>6101</v>
      </c>
      <c r="B7237" t="s">
        <v>471</v>
      </c>
      <c r="C7237" t="s">
        <v>472</v>
      </c>
      <c r="D7237" t="str">
        <f>HYPERLINK("http://service.sap.com/sap/support/notes/1690195","1690195")</f>
        <v>1690195</v>
      </c>
      <c r="E7237">
        <v>3</v>
      </c>
      <c r="F7237" t="s">
        <v>6236</v>
      </c>
    </row>
    <row r="7238" spans="1:6" x14ac:dyDescent="0.25">
      <c r="A7238" t="s">
        <v>6101</v>
      </c>
      <c r="B7238" t="s">
        <v>471</v>
      </c>
      <c r="C7238" t="s">
        <v>472</v>
      </c>
      <c r="D7238" t="str">
        <f>HYPERLINK("http://service.sap.com/sap/support/notes/1701026","1701026")</f>
        <v>1701026</v>
      </c>
      <c r="E7238">
        <v>1</v>
      </c>
      <c r="F7238" t="s">
        <v>6237</v>
      </c>
    </row>
    <row r="7239" spans="1:6" x14ac:dyDescent="0.25">
      <c r="A7239" t="s">
        <v>6101</v>
      </c>
      <c r="B7239" t="s">
        <v>471</v>
      </c>
      <c r="C7239" t="s">
        <v>472</v>
      </c>
      <c r="D7239" t="str">
        <f>HYPERLINK("http://service.sap.com/sap/support/notes/1708472","1708472")</f>
        <v>1708472</v>
      </c>
      <c r="E7239">
        <v>2</v>
      </c>
      <c r="F7239" t="s">
        <v>6238</v>
      </c>
    </row>
    <row r="7240" spans="1:6" x14ac:dyDescent="0.25">
      <c r="A7240" t="s">
        <v>6101</v>
      </c>
      <c r="B7240" t="s">
        <v>276</v>
      </c>
      <c r="C7240" t="s">
        <v>473</v>
      </c>
      <c r="D7240" t="str">
        <f>HYPERLINK("http://service.sap.com/sap/support/notes/1698544","1698544")</f>
        <v>1698544</v>
      </c>
      <c r="E7240">
        <v>2</v>
      </c>
      <c r="F7240" t="s">
        <v>6239</v>
      </c>
    </row>
    <row r="7241" spans="1:6" x14ac:dyDescent="0.25">
      <c r="A7241" t="s">
        <v>6101</v>
      </c>
      <c r="B7241" t="s">
        <v>474</v>
      </c>
      <c r="C7241" t="s">
        <v>475</v>
      </c>
      <c r="D7241" t="str">
        <f>HYPERLINK("http://service.sap.com/sap/support/notes/1683371","1683371")</f>
        <v>1683371</v>
      </c>
      <c r="E7241">
        <v>1</v>
      </c>
      <c r="F7241" t="s">
        <v>6240</v>
      </c>
    </row>
    <row r="7242" spans="1:6" x14ac:dyDescent="0.25">
      <c r="A7242" t="s">
        <v>6101</v>
      </c>
      <c r="B7242" t="s">
        <v>474</v>
      </c>
      <c r="C7242" t="s">
        <v>475</v>
      </c>
      <c r="D7242" t="str">
        <f>HYPERLINK("http://service.sap.com/sap/support/notes/1687494","1687494")</f>
        <v>1687494</v>
      </c>
      <c r="E7242">
        <v>3</v>
      </c>
      <c r="F7242" t="s">
        <v>6241</v>
      </c>
    </row>
    <row r="7243" spans="1:6" x14ac:dyDescent="0.25">
      <c r="A7243" t="s">
        <v>6101</v>
      </c>
      <c r="B7243" t="s">
        <v>474</v>
      </c>
      <c r="C7243" t="s">
        <v>475</v>
      </c>
      <c r="D7243" t="str">
        <f>HYPERLINK("http://service.sap.com/sap/support/notes/1692406","1692406")</f>
        <v>1692406</v>
      </c>
      <c r="E7243">
        <v>2</v>
      </c>
      <c r="F7243" t="s">
        <v>6056</v>
      </c>
    </row>
    <row r="7244" spans="1:6" x14ac:dyDescent="0.25">
      <c r="A7244" t="s">
        <v>6101</v>
      </c>
      <c r="B7244" t="s">
        <v>474</v>
      </c>
      <c r="C7244" t="s">
        <v>475</v>
      </c>
      <c r="D7244" t="str">
        <f>HYPERLINK("http://service.sap.com/sap/support/notes/1692611","1692611")</f>
        <v>1692611</v>
      </c>
      <c r="E7244">
        <v>4</v>
      </c>
      <c r="F7244" t="s">
        <v>6242</v>
      </c>
    </row>
    <row r="7245" spans="1:6" x14ac:dyDescent="0.25">
      <c r="A7245" t="s">
        <v>6101</v>
      </c>
      <c r="B7245" t="s">
        <v>474</v>
      </c>
      <c r="C7245" t="s">
        <v>475</v>
      </c>
      <c r="D7245" t="str">
        <f>HYPERLINK("http://service.sap.com/sap/support/notes/1699021","1699021")</f>
        <v>1699021</v>
      </c>
      <c r="E7245">
        <v>2</v>
      </c>
      <c r="F7245" t="s">
        <v>6243</v>
      </c>
    </row>
    <row r="7246" spans="1:6" x14ac:dyDescent="0.25">
      <c r="A7246" t="s">
        <v>6101</v>
      </c>
      <c r="B7246" t="s">
        <v>474</v>
      </c>
      <c r="C7246" t="s">
        <v>475</v>
      </c>
      <c r="D7246" t="str">
        <f>HYPERLINK("http://service.sap.com/sap/support/notes/1699933","1699933")</f>
        <v>1699933</v>
      </c>
      <c r="E7246">
        <v>1</v>
      </c>
      <c r="F7246" t="s">
        <v>6244</v>
      </c>
    </row>
    <row r="7247" spans="1:6" x14ac:dyDescent="0.25">
      <c r="A7247" t="s">
        <v>6101</v>
      </c>
      <c r="B7247" t="s">
        <v>474</v>
      </c>
      <c r="C7247" t="s">
        <v>475</v>
      </c>
      <c r="D7247" t="str">
        <f>HYPERLINK("http://service.sap.com/sap/support/notes/1700025","1700025")</f>
        <v>1700025</v>
      </c>
      <c r="E7247">
        <v>1</v>
      </c>
      <c r="F7247" t="s">
        <v>6245</v>
      </c>
    </row>
    <row r="7248" spans="1:6" x14ac:dyDescent="0.25">
      <c r="A7248" t="s">
        <v>6101</v>
      </c>
      <c r="B7248" t="s">
        <v>474</v>
      </c>
      <c r="C7248" t="s">
        <v>475</v>
      </c>
      <c r="D7248" t="str">
        <f>HYPERLINK("http://service.sap.com/sap/support/notes/1703782","1703782")</f>
        <v>1703782</v>
      </c>
      <c r="E7248">
        <v>1</v>
      </c>
      <c r="F7248" t="s">
        <v>5797</v>
      </c>
    </row>
    <row r="7249" spans="1:6" x14ac:dyDescent="0.25">
      <c r="A7249" t="s">
        <v>6101</v>
      </c>
      <c r="B7249" t="s">
        <v>474</v>
      </c>
      <c r="C7249" t="s">
        <v>475</v>
      </c>
      <c r="D7249" t="str">
        <f>HYPERLINK("http://service.sap.com/sap/support/notes/1703875","1703875")</f>
        <v>1703875</v>
      </c>
      <c r="E7249">
        <v>2</v>
      </c>
      <c r="F7249" t="s">
        <v>6246</v>
      </c>
    </row>
    <row r="7250" spans="1:6" x14ac:dyDescent="0.25">
      <c r="A7250" t="s">
        <v>6101</v>
      </c>
      <c r="B7250" t="s">
        <v>72</v>
      </c>
      <c r="C7250" t="s">
        <v>73</v>
      </c>
    </row>
    <row r="7251" spans="1:6" x14ac:dyDescent="0.25">
      <c r="A7251" t="s">
        <v>6101</v>
      </c>
      <c r="B7251" t="s">
        <v>364</v>
      </c>
      <c r="C7251" t="s">
        <v>365</v>
      </c>
      <c r="D7251" t="str">
        <f>HYPERLINK("http://service.sap.com/sap/support/notes/1670696","1670696")</f>
        <v>1670696</v>
      </c>
      <c r="E7251">
        <v>1</v>
      </c>
      <c r="F7251" t="s">
        <v>4558</v>
      </c>
    </row>
    <row r="7252" spans="1:6" x14ac:dyDescent="0.25">
      <c r="A7252" t="s">
        <v>6101</v>
      </c>
      <c r="B7252" t="s">
        <v>281</v>
      </c>
      <c r="C7252" t="s">
        <v>368</v>
      </c>
    </row>
    <row r="7253" spans="1:6" x14ac:dyDescent="0.25">
      <c r="A7253" t="s">
        <v>6101</v>
      </c>
      <c r="B7253" t="s">
        <v>476</v>
      </c>
      <c r="C7253" t="s">
        <v>477</v>
      </c>
      <c r="D7253" t="str">
        <f>HYPERLINK("http://service.sap.com/sap/support/notes/1604972","1604972")</f>
        <v>1604972</v>
      </c>
      <c r="E7253">
        <v>2</v>
      </c>
      <c r="F7253" t="s">
        <v>6247</v>
      </c>
    </row>
    <row r="7254" spans="1:6" x14ac:dyDescent="0.25">
      <c r="A7254" t="s">
        <v>6101</v>
      </c>
      <c r="B7254" t="s">
        <v>476</v>
      </c>
      <c r="C7254" t="s">
        <v>477</v>
      </c>
      <c r="D7254" t="str">
        <f>HYPERLINK("http://service.sap.com/sap/support/notes/1698177","1698177")</f>
        <v>1698177</v>
      </c>
      <c r="E7254">
        <v>1</v>
      </c>
      <c r="F7254" t="s">
        <v>6248</v>
      </c>
    </row>
    <row r="7255" spans="1:6" x14ac:dyDescent="0.25">
      <c r="A7255" t="s">
        <v>6101</v>
      </c>
      <c r="B7255" t="s">
        <v>476</v>
      </c>
      <c r="C7255" t="s">
        <v>477</v>
      </c>
      <c r="D7255" t="str">
        <f>HYPERLINK("http://service.sap.com/sap/support/notes/1698721","1698721")</f>
        <v>1698721</v>
      </c>
      <c r="E7255">
        <v>1</v>
      </c>
      <c r="F7255" t="s">
        <v>6249</v>
      </c>
    </row>
    <row r="7256" spans="1:6" x14ac:dyDescent="0.25">
      <c r="A7256" t="s">
        <v>6101</v>
      </c>
      <c r="B7256" t="s">
        <v>476</v>
      </c>
      <c r="C7256" t="s">
        <v>477</v>
      </c>
      <c r="D7256" t="str">
        <f>HYPERLINK("http://service.sap.com/sap/support/notes/1700637","1700637")</f>
        <v>1700637</v>
      </c>
      <c r="E7256">
        <v>3</v>
      </c>
      <c r="F7256" t="s">
        <v>6250</v>
      </c>
    </row>
    <row r="7257" spans="1:6" x14ac:dyDescent="0.25">
      <c r="A7257" t="s">
        <v>6101</v>
      </c>
      <c r="B7257" t="s">
        <v>282</v>
      </c>
      <c r="C7257" t="s">
        <v>369</v>
      </c>
      <c r="D7257" t="str">
        <f>HYPERLINK("http://service.sap.com/sap/support/notes/1631306","1631306")</f>
        <v>1631306</v>
      </c>
      <c r="E7257">
        <v>2</v>
      </c>
      <c r="F7257" t="s">
        <v>6251</v>
      </c>
    </row>
    <row r="7258" spans="1:6" x14ac:dyDescent="0.25">
      <c r="A7258" t="s">
        <v>6101</v>
      </c>
      <c r="B7258" t="s">
        <v>282</v>
      </c>
      <c r="C7258" t="s">
        <v>369</v>
      </c>
      <c r="D7258" t="str">
        <f>HYPERLINK("http://service.sap.com/sap/support/notes/1632594","1632594")</f>
        <v>1632594</v>
      </c>
      <c r="E7258">
        <v>2</v>
      </c>
      <c r="F7258" t="s">
        <v>6252</v>
      </c>
    </row>
    <row r="7259" spans="1:6" x14ac:dyDescent="0.25">
      <c r="A7259" t="s">
        <v>6101</v>
      </c>
      <c r="B7259" t="s">
        <v>282</v>
      </c>
      <c r="C7259" t="s">
        <v>369</v>
      </c>
      <c r="D7259" t="str">
        <f>HYPERLINK("http://service.sap.com/sap/support/notes/1687813","1687813")</f>
        <v>1687813</v>
      </c>
      <c r="E7259">
        <v>1</v>
      </c>
      <c r="F7259" t="s">
        <v>6253</v>
      </c>
    </row>
    <row r="7260" spans="1:6" x14ac:dyDescent="0.25">
      <c r="A7260" t="s">
        <v>6101</v>
      </c>
      <c r="B7260" t="s">
        <v>282</v>
      </c>
      <c r="C7260" t="s">
        <v>369</v>
      </c>
      <c r="D7260" t="str">
        <f>HYPERLINK("http://service.sap.com/sap/support/notes/1691021","1691021")</f>
        <v>1691021</v>
      </c>
      <c r="E7260">
        <v>2</v>
      </c>
      <c r="F7260" t="s">
        <v>6254</v>
      </c>
    </row>
    <row r="7261" spans="1:6" x14ac:dyDescent="0.25">
      <c r="A7261" t="s">
        <v>6101</v>
      </c>
      <c r="B7261" t="s">
        <v>282</v>
      </c>
      <c r="C7261" t="s">
        <v>369</v>
      </c>
      <c r="D7261" t="str">
        <f>HYPERLINK("http://service.sap.com/sap/support/notes/1692287","1692287")</f>
        <v>1692287</v>
      </c>
      <c r="E7261">
        <v>1</v>
      </c>
      <c r="F7261" t="s">
        <v>6255</v>
      </c>
    </row>
    <row r="7262" spans="1:6" x14ac:dyDescent="0.25">
      <c r="A7262" t="s">
        <v>6101</v>
      </c>
      <c r="B7262" t="s">
        <v>282</v>
      </c>
      <c r="C7262" t="s">
        <v>369</v>
      </c>
      <c r="D7262" t="str">
        <f>HYPERLINK("http://service.sap.com/sap/support/notes/1698217","1698217")</f>
        <v>1698217</v>
      </c>
      <c r="E7262">
        <v>1</v>
      </c>
      <c r="F7262" t="s">
        <v>6256</v>
      </c>
    </row>
    <row r="7263" spans="1:6" x14ac:dyDescent="0.25">
      <c r="A7263" t="s">
        <v>6101</v>
      </c>
      <c r="B7263" t="s">
        <v>282</v>
      </c>
      <c r="C7263" t="s">
        <v>369</v>
      </c>
      <c r="D7263" t="str">
        <f>HYPERLINK("http://service.sap.com/sap/support/notes/1704889","1704889")</f>
        <v>1704889</v>
      </c>
      <c r="E7263">
        <v>1</v>
      </c>
      <c r="F7263" t="s">
        <v>6257</v>
      </c>
    </row>
    <row r="7264" spans="1:6" x14ac:dyDescent="0.25">
      <c r="A7264" t="s">
        <v>6101</v>
      </c>
      <c r="B7264" t="s">
        <v>370</v>
      </c>
      <c r="C7264" t="s">
        <v>371</v>
      </c>
      <c r="D7264" t="str">
        <f>HYPERLINK("http://service.sap.com/sap/support/notes/1703202","1703202")</f>
        <v>1703202</v>
      </c>
      <c r="E7264">
        <v>1</v>
      </c>
      <c r="F7264" t="s">
        <v>6258</v>
      </c>
    </row>
    <row r="7265" spans="1:6" x14ac:dyDescent="0.25">
      <c r="A7265" t="s">
        <v>6101</v>
      </c>
      <c r="B7265" t="s">
        <v>284</v>
      </c>
      <c r="C7265" t="s">
        <v>393</v>
      </c>
    </row>
    <row r="7266" spans="1:6" x14ac:dyDescent="0.25">
      <c r="A7266" t="s">
        <v>6101</v>
      </c>
      <c r="B7266" t="s">
        <v>285</v>
      </c>
      <c r="C7266" t="s">
        <v>658</v>
      </c>
      <c r="D7266" t="str">
        <f>HYPERLINK("http://service.sap.com/sap/support/notes/1697289","1697289")</f>
        <v>1697289</v>
      </c>
      <c r="E7266">
        <v>1</v>
      </c>
      <c r="F7266" t="s">
        <v>6259</v>
      </c>
    </row>
    <row r="7267" spans="1:6" x14ac:dyDescent="0.25">
      <c r="A7267" t="s">
        <v>6101</v>
      </c>
      <c r="B7267" t="s">
        <v>293</v>
      </c>
      <c r="C7267" t="s">
        <v>587</v>
      </c>
    </row>
    <row r="7268" spans="1:6" x14ac:dyDescent="0.25">
      <c r="A7268" t="s">
        <v>6101</v>
      </c>
      <c r="B7268" t="s">
        <v>298</v>
      </c>
      <c r="C7268" t="s">
        <v>588</v>
      </c>
    </row>
    <row r="7269" spans="1:6" x14ac:dyDescent="0.25">
      <c r="A7269" t="s">
        <v>6101</v>
      </c>
      <c r="B7269" t="s">
        <v>589</v>
      </c>
      <c r="C7269" t="s">
        <v>443</v>
      </c>
      <c r="D7269" t="str">
        <f>HYPERLINK("http://service.sap.com/sap/support/notes/1400022","1400022")</f>
        <v>1400022</v>
      </c>
      <c r="E7269">
        <v>2</v>
      </c>
      <c r="F7269" t="s">
        <v>6260</v>
      </c>
    </row>
    <row r="7270" spans="1:6" x14ac:dyDescent="0.25">
      <c r="A7270" t="s">
        <v>6101</v>
      </c>
      <c r="B7270" t="s">
        <v>589</v>
      </c>
      <c r="C7270" t="s">
        <v>443</v>
      </c>
      <c r="D7270" t="str">
        <f>HYPERLINK("http://service.sap.com/sap/support/notes/1455462","1455462")</f>
        <v>1455462</v>
      </c>
      <c r="E7270">
        <v>6</v>
      </c>
      <c r="F7270" t="s">
        <v>6261</v>
      </c>
    </row>
    <row r="7271" spans="1:6" x14ac:dyDescent="0.25">
      <c r="A7271" t="s">
        <v>6101</v>
      </c>
      <c r="B7271" t="s">
        <v>589</v>
      </c>
      <c r="C7271" t="s">
        <v>443</v>
      </c>
      <c r="D7271" t="str">
        <f>HYPERLINK("http://service.sap.com/sap/support/notes/1456799","1456799")</f>
        <v>1456799</v>
      </c>
      <c r="E7271">
        <v>5</v>
      </c>
      <c r="F7271" t="s">
        <v>6262</v>
      </c>
    </row>
    <row r="7272" spans="1:6" x14ac:dyDescent="0.25">
      <c r="A7272" t="s">
        <v>6101</v>
      </c>
      <c r="B7272" t="s">
        <v>589</v>
      </c>
      <c r="C7272" t="s">
        <v>443</v>
      </c>
      <c r="D7272" t="str">
        <f>HYPERLINK("http://service.sap.com/sap/support/notes/1463563","1463563")</f>
        <v>1463563</v>
      </c>
      <c r="E7272">
        <v>7</v>
      </c>
      <c r="F7272" t="s">
        <v>6263</v>
      </c>
    </row>
    <row r="7273" spans="1:6" x14ac:dyDescent="0.25">
      <c r="A7273" t="s">
        <v>6101</v>
      </c>
      <c r="B7273" t="s">
        <v>589</v>
      </c>
      <c r="C7273" t="s">
        <v>443</v>
      </c>
      <c r="D7273" t="str">
        <f>HYPERLINK("http://service.sap.com/sap/support/notes/1555370","1555370")</f>
        <v>1555370</v>
      </c>
      <c r="E7273">
        <v>2</v>
      </c>
      <c r="F7273" t="s">
        <v>6264</v>
      </c>
    </row>
    <row r="7274" spans="1:6" x14ac:dyDescent="0.25">
      <c r="A7274" t="s">
        <v>6101</v>
      </c>
      <c r="B7274" t="s">
        <v>589</v>
      </c>
      <c r="C7274" t="s">
        <v>443</v>
      </c>
      <c r="D7274" t="str">
        <f>HYPERLINK("http://service.sap.com/sap/support/notes/1575132","1575132")</f>
        <v>1575132</v>
      </c>
      <c r="E7274">
        <v>3</v>
      </c>
      <c r="F7274" t="s">
        <v>6265</v>
      </c>
    </row>
    <row r="7275" spans="1:6" x14ac:dyDescent="0.25">
      <c r="A7275" t="s">
        <v>6101</v>
      </c>
      <c r="B7275" t="s">
        <v>589</v>
      </c>
      <c r="C7275" t="s">
        <v>443</v>
      </c>
      <c r="D7275" t="str">
        <f>HYPERLINK("http://service.sap.com/sap/support/notes/1580515","1580515")</f>
        <v>1580515</v>
      </c>
      <c r="E7275">
        <v>2</v>
      </c>
      <c r="F7275" t="s">
        <v>6266</v>
      </c>
    </row>
    <row r="7276" spans="1:6" x14ac:dyDescent="0.25">
      <c r="A7276" t="s">
        <v>6101</v>
      </c>
      <c r="B7276" t="s">
        <v>589</v>
      </c>
      <c r="C7276" t="s">
        <v>443</v>
      </c>
      <c r="D7276" t="str">
        <f>HYPERLINK("http://service.sap.com/sap/support/notes/1588817","1588817")</f>
        <v>1588817</v>
      </c>
      <c r="E7276">
        <v>2</v>
      </c>
      <c r="F7276" t="s">
        <v>6267</v>
      </c>
    </row>
    <row r="7277" spans="1:6" x14ac:dyDescent="0.25">
      <c r="A7277" t="s">
        <v>6101</v>
      </c>
      <c r="B7277" t="s">
        <v>589</v>
      </c>
      <c r="C7277" t="s">
        <v>443</v>
      </c>
      <c r="D7277" t="str">
        <f>HYPERLINK("http://service.sap.com/sap/support/notes/1611105","1611105")</f>
        <v>1611105</v>
      </c>
      <c r="E7277">
        <v>3</v>
      </c>
      <c r="F7277" t="s">
        <v>6268</v>
      </c>
    </row>
    <row r="7278" spans="1:6" x14ac:dyDescent="0.25">
      <c r="A7278" t="s">
        <v>6101</v>
      </c>
      <c r="B7278" t="s">
        <v>589</v>
      </c>
      <c r="C7278" t="s">
        <v>443</v>
      </c>
      <c r="D7278" t="str">
        <f>HYPERLINK("http://service.sap.com/sap/support/notes/1620537","1620537")</f>
        <v>1620537</v>
      </c>
      <c r="E7278">
        <v>2</v>
      </c>
      <c r="F7278" t="s">
        <v>686</v>
      </c>
    </row>
    <row r="7279" spans="1:6" x14ac:dyDescent="0.25">
      <c r="A7279" t="s">
        <v>6101</v>
      </c>
      <c r="B7279" t="s">
        <v>589</v>
      </c>
      <c r="C7279" t="s">
        <v>443</v>
      </c>
      <c r="D7279" t="str">
        <f>HYPERLINK("http://service.sap.com/sap/support/notes/1646674","1646674")</f>
        <v>1646674</v>
      </c>
      <c r="E7279">
        <v>3</v>
      </c>
      <c r="F7279" t="s">
        <v>6269</v>
      </c>
    </row>
    <row r="7280" spans="1:6" x14ac:dyDescent="0.25">
      <c r="A7280" t="s">
        <v>6101</v>
      </c>
      <c r="B7280" t="s">
        <v>589</v>
      </c>
      <c r="C7280" t="s">
        <v>443</v>
      </c>
      <c r="D7280" t="str">
        <f>HYPERLINK("http://service.sap.com/sap/support/notes/1652309","1652309")</f>
        <v>1652309</v>
      </c>
      <c r="E7280">
        <v>3</v>
      </c>
      <c r="F7280" t="s">
        <v>6270</v>
      </c>
    </row>
    <row r="7281" spans="1:6" x14ac:dyDescent="0.25">
      <c r="A7281" t="s">
        <v>6101</v>
      </c>
      <c r="B7281" t="s">
        <v>589</v>
      </c>
      <c r="C7281" t="s">
        <v>443</v>
      </c>
      <c r="D7281" t="str">
        <f>HYPERLINK("http://service.sap.com/sap/support/notes/1655495","1655495")</f>
        <v>1655495</v>
      </c>
      <c r="E7281">
        <v>3</v>
      </c>
      <c r="F7281" t="s">
        <v>6271</v>
      </c>
    </row>
    <row r="7282" spans="1:6" x14ac:dyDescent="0.25">
      <c r="A7282" t="s">
        <v>6101</v>
      </c>
      <c r="B7282" t="s">
        <v>589</v>
      </c>
      <c r="C7282" t="s">
        <v>443</v>
      </c>
      <c r="D7282" t="str">
        <f>HYPERLINK("http://service.sap.com/sap/support/notes/1655501","1655501")</f>
        <v>1655501</v>
      </c>
      <c r="E7282">
        <v>1</v>
      </c>
      <c r="F7282" t="s">
        <v>6272</v>
      </c>
    </row>
    <row r="7283" spans="1:6" x14ac:dyDescent="0.25">
      <c r="A7283" t="s">
        <v>6101</v>
      </c>
      <c r="B7283" t="s">
        <v>589</v>
      </c>
      <c r="C7283" t="s">
        <v>443</v>
      </c>
      <c r="D7283" t="str">
        <f>HYPERLINK("http://service.sap.com/sap/support/notes/1656481","1656481")</f>
        <v>1656481</v>
      </c>
      <c r="E7283">
        <v>2</v>
      </c>
      <c r="F7283" t="s">
        <v>6273</v>
      </c>
    </row>
    <row r="7284" spans="1:6" x14ac:dyDescent="0.25">
      <c r="A7284" t="s">
        <v>6101</v>
      </c>
      <c r="B7284" t="s">
        <v>589</v>
      </c>
      <c r="C7284" t="s">
        <v>443</v>
      </c>
      <c r="D7284" t="str">
        <f>HYPERLINK("http://service.sap.com/sap/support/notes/1665826","1665826")</f>
        <v>1665826</v>
      </c>
      <c r="E7284">
        <v>3</v>
      </c>
      <c r="F7284" t="s">
        <v>6274</v>
      </c>
    </row>
    <row r="7285" spans="1:6" x14ac:dyDescent="0.25">
      <c r="A7285" t="s">
        <v>6101</v>
      </c>
      <c r="B7285" t="s">
        <v>589</v>
      </c>
      <c r="C7285" t="s">
        <v>443</v>
      </c>
      <c r="D7285" t="str">
        <f>HYPERLINK("http://service.sap.com/sap/support/notes/1668196","1668196")</f>
        <v>1668196</v>
      </c>
      <c r="E7285">
        <v>6</v>
      </c>
      <c r="F7285" t="s">
        <v>6275</v>
      </c>
    </row>
    <row r="7286" spans="1:6" x14ac:dyDescent="0.25">
      <c r="A7286" t="s">
        <v>6101</v>
      </c>
      <c r="B7286" t="s">
        <v>589</v>
      </c>
      <c r="C7286" t="s">
        <v>443</v>
      </c>
      <c r="D7286" t="str">
        <f>HYPERLINK("http://service.sap.com/sap/support/notes/1668326","1668326")</f>
        <v>1668326</v>
      </c>
      <c r="E7286">
        <v>2</v>
      </c>
      <c r="F7286" t="s">
        <v>6276</v>
      </c>
    </row>
    <row r="7287" spans="1:6" x14ac:dyDescent="0.25">
      <c r="A7287" t="s">
        <v>6101</v>
      </c>
      <c r="B7287" t="s">
        <v>589</v>
      </c>
      <c r="C7287" t="s">
        <v>443</v>
      </c>
      <c r="D7287" t="str">
        <f>HYPERLINK("http://service.sap.com/sap/support/notes/1672305","1672305")</f>
        <v>1672305</v>
      </c>
      <c r="E7287">
        <v>1</v>
      </c>
      <c r="F7287" t="s">
        <v>6277</v>
      </c>
    </row>
    <row r="7288" spans="1:6" x14ac:dyDescent="0.25">
      <c r="A7288" t="s">
        <v>6101</v>
      </c>
      <c r="B7288" t="s">
        <v>589</v>
      </c>
      <c r="C7288" t="s">
        <v>443</v>
      </c>
      <c r="D7288" t="str">
        <f>HYPERLINK("http://service.sap.com/sap/support/notes/1673679","1673679")</f>
        <v>1673679</v>
      </c>
      <c r="E7288">
        <v>1</v>
      </c>
      <c r="F7288" t="s">
        <v>6278</v>
      </c>
    </row>
    <row r="7289" spans="1:6" x14ac:dyDescent="0.25">
      <c r="A7289" t="s">
        <v>6101</v>
      </c>
      <c r="B7289" t="s">
        <v>589</v>
      </c>
      <c r="C7289" t="s">
        <v>443</v>
      </c>
      <c r="D7289" t="str">
        <f>HYPERLINK("http://service.sap.com/sap/support/notes/1679731","1679731")</f>
        <v>1679731</v>
      </c>
      <c r="E7289">
        <v>2</v>
      </c>
      <c r="F7289" t="s">
        <v>6279</v>
      </c>
    </row>
    <row r="7290" spans="1:6" x14ac:dyDescent="0.25">
      <c r="A7290" t="s">
        <v>6101</v>
      </c>
      <c r="B7290" t="s">
        <v>589</v>
      </c>
      <c r="C7290" t="s">
        <v>443</v>
      </c>
      <c r="D7290" t="str">
        <f>HYPERLINK("http://service.sap.com/sap/support/notes/1681364","1681364")</f>
        <v>1681364</v>
      </c>
      <c r="E7290">
        <v>1</v>
      </c>
      <c r="F7290" t="s">
        <v>6280</v>
      </c>
    </row>
    <row r="7291" spans="1:6" x14ac:dyDescent="0.25">
      <c r="A7291" t="s">
        <v>6101</v>
      </c>
      <c r="B7291" t="s">
        <v>589</v>
      </c>
      <c r="C7291" t="s">
        <v>443</v>
      </c>
      <c r="D7291" t="str">
        <f>HYPERLINK("http://service.sap.com/sap/support/notes/1681936","1681936")</f>
        <v>1681936</v>
      </c>
      <c r="E7291">
        <v>2</v>
      </c>
      <c r="F7291" t="s">
        <v>6281</v>
      </c>
    </row>
    <row r="7292" spans="1:6" x14ac:dyDescent="0.25">
      <c r="A7292" t="s">
        <v>6101</v>
      </c>
      <c r="B7292" t="s">
        <v>589</v>
      </c>
      <c r="C7292" t="s">
        <v>443</v>
      </c>
      <c r="D7292" t="str">
        <f>HYPERLINK("http://service.sap.com/sap/support/notes/1684984","1684984")</f>
        <v>1684984</v>
      </c>
      <c r="E7292">
        <v>1</v>
      </c>
      <c r="F7292" t="s">
        <v>6282</v>
      </c>
    </row>
    <row r="7293" spans="1:6" x14ac:dyDescent="0.25">
      <c r="A7293" t="s">
        <v>6101</v>
      </c>
      <c r="B7293" t="s">
        <v>589</v>
      </c>
      <c r="C7293" t="s">
        <v>443</v>
      </c>
      <c r="D7293" t="str">
        <f>HYPERLINK("http://service.sap.com/sap/support/notes/1685086","1685086")</f>
        <v>1685086</v>
      </c>
      <c r="E7293">
        <v>1</v>
      </c>
      <c r="F7293" t="s">
        <v>6283</v>
      </c>
    </row>
    <row r="7294" spans="1:6" x14ac:dyDescent="0.25">
      <c r="A7294" t="s">
        <v>6101</v>
      </c>
      <c r="B7294" t="s">
        <v>589</v>
      </c>
      <c r="C7294" t="s">
        <v>443</v>
      </c>
      <c r="D7294" t="str">
        <f>HYPERLINK("http://service.sap.com/sap/support/notes/1685406","1685406")</f>
        <v>1685406</v>
      </c>
      <c r="E7294">
        <v>1</v>
      </c>
      <c r="F7294" t="s">
        <v>6284</v>
      </c>
    </row>
    <row r="7295" spans="1:6" x14ac:dyDescent="0.25">
      <c r="A7295" t="s">
        <v>6101</v>
      </c>
      <c r="B7295" t="s">
        <v>589</v>
      </c>
      <c r="C7295" t="s">
        <v>443</v>
      </c>
      <c r="D7295" t="str">
        <f>HYPERLINK("http://service.sap.com/sap/support/notes/1685969","1685969")</f>
        <v>1685969</v>
      </c>
      <c r="E7295">
        <v>1</v>
      </c>
      <c r="F7295" t="s">
        <v>6285</v>
      </c>
    </row>
    <row r="7296" spans="1:6" x14ac:dyDescent="0.25">
      <c r="A7296" t="s">
        <v>6101</v>
      </c>
      <c r="B7296" t="s">
        <v>589</v>
      </c>
      <c r="C7296" t="s">
        <v>443</v>
      </c>
      <c r="D7296" t="str">
        <f>HYPERLINK("http://service.sap.com/sap/support/notes/1687923","1687923")</f>
        <v>1687923</v>
      </c>
      <c r="E7296">
        <v>1</v>
      </c>
      <c r="F7296" t="s">
        <v>6286</v>
      </c>
    </row>
    <row r="7297" spans="1:6" x14ac:dyDescent="0.25">
      <c r="A7297" t="s">
        <v>6101</v>
      </c>
      <c r="B7297" t="s">
        <v>589</v>
      </c>
      <c r="C7297" t="s">
        <v>443</v>
      </c>
      <c r="D7297" t="str">
        <f>HYPERLINK("http://service.sap.com/sap/support/notes/1696834","1696834")</f>
        <v>1696834</v>
      </c>
      <c r="E7297">
        <v>2</v>
      </c>
      <c r="F7297" t="s">
        <v>6287</v>
      </c>
    </row>
    <row r="7298" spans="1:6" x14ac:dyDescent="0.25">
      <c r="A7298" t="s">
        <v>6101</v>
      </c>
      <c r="B7298" t="s">
        <v>589</v>
      </c>
      <c r="C7298" t="s">
        <v>443</v>
      </c>
      <c r="D7298" t="str">
        <f>HYPERLINK("http://service.sap.com/sap/support/notes/1699969","1699969")</f>
        <v>1699969</v>
      </c>
      <c r="E7298">
        <v>3</v>
      </c>
      <c r="F7298" t="s">
        <v>6288</v>
      </c>
    </row>
    <row r="7299" spans="1:6" x14ac:dyDescent="0.25">
      <c r="A7299" t="s">
        <v>6101</v>
      </c>
      <c r="B7299" t="s">
        <v>589</v>
      </c>
      <c r="C7299" t="s">
        <v>443</v>
      </c>
      <c r="D7299" t="str">
        <f>HYPERLINK("http://service.sap.com/sap/support/notes/1702975","1702975")</f>
        <v>1702975</v>
      </c>
      <c r="E7299">
        <v>2</v>
      </c>
      <c r="F7299" t="s">
        <v>6289</v>
      </c>
    </row>
    <row r="7300" spans="1:6" x14ac:dyDescent="0.25">
      <c r="A7300" t="s">
        <v>6101</v>
      </c>
      <c r="B7300" t="s">
        <v>589</v>
      </c>
      <c r="C7300" t="s">
        <v>443</v>
      </c>
      <c r="D7300" t="str">
        <f>HYPERLINK("http://service.sap.com/sap/support/notes/1705429","1705429")</f>
        <v>1705429</v>
      </c>
      <c r="E7300">
        <v>1</v>
      </c>
      <c r="F7300" t="s">
        <v>6290</v>
      </c>
    </row>
    <row r="7301" spans="1:6" x14ac:dyDescent="0.25">
      <c r="A7301" t="s">
        <v>6101</v>
      </c>
      <c r="B7301" t="s">
        <v>76</v>
      </c>
      <c r="C7301" t="s">
        <v>77</v>
      </c>
    </row>
    <row r="7302" spans="1:6" x14ac:dyDescent="0.25">
      <c r="A7302" t="s">
        <v>6101</v>
      </c>
      <c r="B7302" t="s">
        <v>83</v>
      </c>
      <c r="C7302" t="s">
        <v>84</v>
      </c>
      <c r="D7302" t="str">
        <f>HYPERLINK("http://service.sap.com/sap/support/notes/1699270","1699270")</f>
        <v>1699270</v>
      </c>
      <c r="E7302">
        <v>1</v>
      </c>
      <c r="F7302" t="s">
        <v>3280</v>
      </c>
    </row>
    <row r="7303" spans="1:6" x14ac:dyDescent="0.25">
      <c r="A7303" t="s">
        <v>6101</v>
      </c>
      <c r="B7303" t="s">
        <v>83</v>
      </c>
      <c r="C7303" t="s">
        <v>84</v>
      </c>
      <c r="D7303" t="str">
        <f>HYPERLINK("http://service.sap.com/sap/support/notes/1702210","1702210")</f>
        <v>1702210</v>
      </c>
      <c r="E7303">
        <v>1</v>
      </c>
      <c r="F7303" t="s">
        <v>3281</v>
      </c>
    </row>
    <row r="7304" spans="1:6" x14ac:dyDescent="0.25">
      <c r="A7304" t="s">
        <v>6101</v>
      </c>
      <c r="B7304" t="s">
        <v>83</v>
      </c>
      <c r="C7304" t="s">
        <v>84</v>
      </c>
      <c r="D7304" t="str">
        <f>HYPERLINK("http://service.sap.com/sap/support/notes/1703627","1703627")</f>
        <v>1703627</v>
      </c>
      <c r="E7304">
        <v>3</v>
      </c>
      <c r="F7304" t="s">
        <v>3283</v>
      </c>
    </row>
    <row r="7305" spans="1:6" x14ac:dyDescent="0.25">
      <c r="A7305" t="s">
        <v>6101</v>
      </c>
      <c r="B7305" t="s">
        <v>83</v>
      </c>
      <c r="C7305" t="s">
        <v>84</v>
      </c>
      <c r="D7305" t="str">
        <f>HYPERLINK("http://service.sap.com/sap/support/notes/1704780","1704780")</f>
        <v>1704780</v>
      </c>
      <c r="E7305">
        <v>1</v>
      </c>
      <c r="F7305" t="s">
        <v>3285</v>
      </c>
    </row>
    <row r="7306" spans="1:6" x14ac:dyDescent="0.25">
      <c r="A7306" t="s">
        <v>6101</v>
      </c>
      <c r="B7306" t="s">
        <v>83</v>
      </c>
      <c r="C7306" t="s">
        <v>84</v>
      </c>
      <c r="D7306" t="str">
        <f>HYPERLINK("http://service.sap.com/sap/support/notes/1708046","1708046")</f>
        <v>1708046</v>
      </c>
      <c r="E7306">
        <v>2</v>
      </c>
      <c r="F7306" t="s">
        <v>3289</v>
      </c>
    </row>
    <row r="7307" spans="1:6" x14ac:dyDescent="0.25">
      <c r="A7307" t="s">
        <v>6101</v>
      </c>
      <c r="B7307" t="s">
        <v>83</v>
      </c>
      <c r="C7307" t="s">
        <v>84</v>
      </c>
      <c r="D7307" t="str">
        <f>HYPERLINK("http://service.sap.com/sap/support/notes/1710121","1710121")</f>
        <v>1710121</v>
      </c>
      <c r="E7307">
        <v>2</v>
      </c>
      <c r="F7307" t="s">
        <v>3294</v>
      </c>
    </row>
    <row r="7308" spans="1:6" x14ac:dyDescent="0.25">
      <c r="A7308" t="s">
        <v>6101</v>
      </c>
      <c r="B7308" t="s">
        <v>86</v>
      </c>
      <c r="C7308" t="s">
        <v>87</v>
      </c>
      <c r="D7308" t="str">
        <f>HYPERLINK("http://service.sap.com/sap/support/notes/1698381","1698381")</f>
        <v>1698381</v>
      </c>
      <c r="E7308">
        <v>1</v>
      </c>
      <c r="F7308" t="s">
        <v>3295</v>
      </c>
    </row>
    <row r="7309" spans="1:6" x14ac:dyDescent="0.25">
      <c r="A7309" t="s">
        <v>6101</v>
      </c>
      <c r="B7309" t="s">
        <v>86</v>
      </c>
      <c r="C7309" t="s">
        <v>87</v>
      </c>
      <c r="D7309" t="str">
        <f>HYPERLINK("http://service.sap.com/sap/support/notes/1700797","1700797")</f>
        <v>1700797</v>
      </c>
      <c r="E7309">
        <v>2</v>
      </c>
      <c r="F7309" t="s">
        <v>3296</v>
      </c>
    </row>
    <row r="7310" spans="1:6" x14ac:dyDescent="0.25">
      <c r="A7310" t="s">
        <v>6101</v>
      </c>
      <c r="B7310" t="s">
        <v>86</v>
      </c>
      <c r="C7310" t="s">
        <v>87</v>
      </c>
      <c r="D7310" t="str">
        <f>HYPERLINK("http://service.sap.com/sap/support/notes/1703706","1703706")</f>
        <v>1703706</v>
      </c>
      <c r="E7310">
        <v>1</v>
      </c>
      <c r="F7310" t="s">
        <v>3297</v>
      </c>
    </row>
    <row r="7311" spans="1:6" x14ac:dyDescent="0.25">
      <c r="A7311" t="s">
        <v>6101</v>
      </c>
      <c r="B7311" t="s">
        <v>86</v>
      </c>
      <c r="C7311" t="s">
        <v>87</v>
      </c>
      <c r="D7311" t="str">
        <f>HYPERLINK("http://service.sap.com/sap/support/notes/1704470","1704470")</f>
        <v>1704470</v>
      </c>
      <c r="E7311">
        <v>1</v>
      </c>
      <c r="F7311" t="s">
        <v>6291</v>
      </c>
    </row>
    <row r="7312" spans="1:6" x14ac:dyDescent="0.25">
      <c r="A7312" t="s">
        <v>6101</v>
      </c>
      <c r="B7312" t="s">
        <v>86</v>
      </c>
      <c r="C7312" t="s">
        <v>87</v>
      </c>
      <c r="D7312" t="str">
        <f>HYPERLINK("http://service.sap.com/sap/support/notes/1704680","1704680")</f>
        <v>1704680</v>
      </c>
      <c r="E7312">
        <v>1</v>
      </c>
      <c r="F7312" t="s">
        <v>6292</v>
      </c>
    </row>
    <row r="7313" spans="1:6" x14ac:dyDescent="0.25">
      <c r="A7313" t="s">
        <v>6101</v>
      </c>
      <c r="B7313" t="s">
        <v>86</v>
      </c>
      <c r="C7313" t="s">
        <v>87</v>
      </c>
      <c r="D7313" t="str">
        <f>HYPERLINK("http://service.sap.com/sap/support/notes/1704760","1704760")</f>
        <v>1704760</v>
      </c>
      <c r="E7313">
        <v>1</v>
      </c>
      <c r="F7313" t="s">
        <v>6293</v>
      </c>
    </row>
    <row r="7314" spans="1:6" x14ac:dyDescent="0.25">
      <c r="A7314" t="s">
        <v>6101</v>
      </c>
      <c r="B7314" t="s">
        <v>86</v>
      </c>
      <c r="C7314" t="s">
        <v>87</v>
      </c>
      <c r="D7314" t="str">
        <f>HYPERLINK("http://service.sap.com/sap/support/notes/1705396","1705396")</f>
        <v>1705396</v>
      </c>
      <c r="E7314">
        <v>2</v>
      </c>
      <c r="F7314" t="s">
        <v>6294</v>
      </c>
    </row>
    <row r="7315" spans="1:6" x14ac:dyDescent="0.25">
      <c r="A7315" t="s">
        <v>6101</v>
      </c>
      <c r="B7315" t="s">
        <v>86</v>
      </c>
      <c r="C7315" t="s">
        <v>87</v>
      </c>
      <c r="D7315" t="str">
        <f>HYPERLINK("http://service.sap.com/sap/support/notes/1707313","1707313")</f>
        <v>1707313</v>
      </c>
      <c r="E7315">
        <v>1</v>
      </c>
      <c r="F7315" t="s">
        <v>6295</v>
      </c>
    </row>
    <row r="7316" spans="1:6" x14ac:dyDescent="0.25">
      <c r="A7316" t="s">
        <v>6101</v>
      </c>
      <c r="B7316" t="s">
        <v>86</v>
      </c>
      <c r="C7316" t="s">
        <v>87</v>
      </c>
      <c r="D7316" t="str">
        <f>HYPERLINK("http://service.sap.com/sap/support/notes/1707459","1707459")</f>
        <v>1707459</v>
      </c>
      <c r="E7316">
        <v>2</v>
      </c>
      <c r="F7316" t="s">
        <v>6296</v>
      </c>
    </row>
    <row r="7317" spans="1:6" x14ac:dyDescent="0.25">
      <c r="A7317" t="s">
        <v>6101</v>
      </c>
      <c r="B7317" t="s">
        <v>86</v>
      </c>
      <c r="C7317" t="s">
        <v>87</v>
      </c>
      <c r="D7317" t="str">
        <f>HYPERLINK("http://service.sap.com/sap/support/notes/1707533","1707533")</f>
        <v>1707533</v>
      </c>
      <c r="E7317">
        <v>1</v>
      </c>
      <c r="F7317" t="s">
        <v>6297</v>
      </c>
    </row>
    <row r="7318" spans="1:6" x14ac:dyDescent="0.25">
      <c r="A7318" t="s">
        <v>6101</v>
      </c>
      <c r="B7318" t="s">
        <v>86</v>
      </c>
      <c r="C7318" t="s">
        <v>87</v>
      </c>
      <c r="D7318" t="str">
        <f>HYPERLINK("http://service.sap.com/sap/support/notes/1708444","1708444")</f>
        <v>1708444</v>
      </c>
      <c r="E7318">
        <v>1</v>
      </c>
      <c r="F7318" t="s">
        <v>6298</v>
      </c>
    </row>
    <row r="7319" spans="1:6" x14ac:dyDescent="0.25">
      <c r="A7319" t="s">
        <v>6101</v>
      </c>
      <c r="B7319" t="s">
        <v>86</v>
      </c>
      <c r="C7319" t="s">
        <v>87</v>
      </c>
      <c r="D7319" t="str">
        <f>HYPERLINK("http://service.sap.com/sap/support/notes/1709093","1709093")</f>
        <v>1709093</v>
      </c>
      <c r="E7319">
        <v>1</v>
      </c>
      <c r="F7319" t="s">
        <v>6299</v>
      </c>
    </row>
    <row r="7320" spans="1:6" x14ac:dyDescent="0.25">
      <c r="A7320" t="s">
        <v>6101</v>
      </c>
      <c r="B7320" t="s">
        <v>86</v>
      </c>
      <c r="C7320" t="s">
        <v>87</v>
      </c>
      <c r="D7320" t="str">
        <f>HYPERLINK("http://service.sap.com/sap/support/notes/1709761","1709761")</f>
        <v>1709761</v>
      </c>
      <c r="E7320">
        <v>1</v>
      </c>
      <c r="F7320" t="s">
        <v>6300</v>
      </c>
    </row>
    <row r="7321" spans="1:6" x14ac:dyDescent="0.25">
      <c r="A7321" t="s">
        <v>6101</v>
      </c>
      <c r="B7321" t="s">
        <v>86</v>
      </c>
      <c r="C7321" t="s">
        <v>87</v>
      </c>
      <c r="D7321" t="str">
        <f>HYPERLINK("http://service.sap.com/sap/support/notes/1709979","1709979")</f>
        <v>1709979</v>
      </c>
      <c r="E7321">
        <v>1</v>
      </c>
      <c r="F7321" t="s">
        <v>6301</v>
      </c>
    </row>
    <row r="7322" spans="1:6" x14ac:dyDescent="0.25">
      <c r="A7322" t="s">
        <v>6101</v>
      </c>
      <c r="B7322" t="s">
        <v>101</v>
      </c>
      <c r="C7322" t="s">
        <v>38</v>
      </c>
      <c r="D7322" t="str">
        <f>HYPERLINK("http://service.sap.com/sap/support/notes/1681993","1681993")</f>
        <v>1681993</v>
      </c>
      <c r="E7322">
        <v>1</v>
      </c>
      <c r="F7322" t="s">
        <v>3335</v>
      </c>
    </row>
    <row r="7323" spans="1:6" x14ac:dyDescent="0.25">
      <c r="A7323" t="s">
        <v>6101</v>
      </c>
      <c r="B7323" t="s">
        <v>106</v>
      </c>
      <c r="C7323" t="s">
        <v>107</v>
      </c>
    </row>
    <row r="7324" spans="1:6" x14ac:dyDescent="0.25">
      <c r="A7324" t="s">
        <v>6101</v>
      </c>
      <c r="B7324" t="s">
        <v>112</v>
      </c>
      <c r="C7324" t="s">
        <v>113</v>
      </c>
      <c r="D7324" t="str">
        <f>HYPERLINK("http://service.sap.com/sap/support/notes/1678838","1678838")</f>
        <v>1678838</v>
      </c>
      <c r="E7324">
        <v>2</v>
      </c>
      <c r="F7324" t="s">
        <v>6302</v>
      </c>
    </row>
    <row r="7325" spans="1:6" x14ac:dyDescent="0.25">
      <c r="A7325" t="s">
        <v>6101</v>
      </c>
      <c r="B7325" t="s">
        <v>139</v>
      </c>
      <c r="C7325" t="s">
        <v>140</v>
      </c>
    </row>
    <row r="7326" spans="1:6" x14ac:dyDescent="0.25">
      <c r="A7326" t="s">
        <v>6101</v>
      </c>
      <c r="B7326" t="s">
        <v>322</v>
      </c>
      <c r="C7326" t="s">
        <v>115</v>
      </c>
    </row>
    <row r="7327" spans="1:6" x14ac:dyDescent="0.25">
      <c r="A7327" t="s">
        <v>6101</v>
      </c>
      <c r="B7327" t="s">
        <v>398</v>
      </c>
      <c r="C7327" t="s">
        <v>123</v>
      </c>
      <c r="D7327" t="str">
        <f>HYPERLINK("http://service.sap.com/sap/support/notes/1696212","1696212")</f>
        <v>1696212</v>
      </c>
      <c r="E7327">
        <v>1</v>
      </c>
      <c r="F7327" t="s">
        <v>6303</v>
      </c>
    </row>
    <row r="7328" spans="1:6" x14ac:dyDescent="0.25">
      <c r="A7328" t="s">
        <v>6101</v>
      </c>
      <c r="B7328" t="s">
        <v>152</v>
      </c>
      <c r="C7328" t="s">
        <v>47</v>
      </c>
      <c r="D7328" t="str">
        <f>HYPERLINK("http://service.sap.com/sap/support/notes/1168955","1168955")</f>
        <v>1168955</v>
      </c>
      <c r="E7328">
        <v>1</v>
      </c>
      <c r="F7328" t="s">
        <v>4017</v>
      </c>
    </row>
    <row r="7329" spans="1:6" x14ac:dyDescent="0.25">
      <c r="A7329" t="s">
        <v>6101</v>
      </c>
      <c r="B7329" t="s">
        <v>152</v>
      </c>
      <c r="C7329" t="s">
        <v>47</v>
      </c>
      <c r="D7329" t="str">
        <f>HYPERLINK("http://service.sap.com/sap/support/notes/1684928","1684928")</f>
        <v>1684928</v>
      </c>
      <c r="E7329">
        <v>3</v>
      </c>
      <c r="F7329" t="s">
        <v>6304</v>
      </c>
    </row>
    <row r="7330" spans="1:6" x14ac:dyDescent="0.25">
      <c r="A7330" t="s">
        <v>6101</v>
      </c>
      <c r="B7330" t="s">
        <v>171</v>
      </c>
      <c r="C7330" t="s">
        <v>172</v>
      </c>
      <c r="D7330" t="str">
        <f>HYPERLINK("http://service.sap.com/sap/support/notes/1701494","1701494")</f>
        <v>1701494</v>
      </c>
      <c r="E7330">
        <v>1</v>
      </c>
      <c r="F7330" t="s">
        <v>3545</v>
      </c>
    </row>
    <row r="7331" spans="1:6" x14ac:dyDescent="0.25">
      <c r="A7331" t="s">
        <v>6101</v>
      </c>
      <c r="B7331" t="s">
        <v>179</v>
      </c>
      <c r="C7331" t="s">
        <v>180</v>
      </c>
      <c r="D7331" t="str">
        <f>HYPERLINK("http://service.sap.com/sap/support/notes/1698788","1698788")</f>
        <v>1698788</v>
      </c>
      <c r="E7331">
        <v>1</v>
      </c>
      <c r="F7331" t="s">
        <v>3576</v>
      </c>
    </row>
    <row r="7332" spans="1:6" x14ac:dyDescent="0.25">
      <c r="A7332" t="s">
        <v>6101</v>
      </c>
      <c r="B7332" t="s">
        <v>179</v>
      </c>
      <c r="C7332" t="s">
        <v>180</v>
      </c>
      <c r="D7332" t="str">
        <f>HYPERLINK("http://service.sap.com/sap/support/notes/1701048","1701048")</f>
        <v>1701048</v>
      </c>
      <c r="E7332">
        <v>1</v>
      </c>
      <c r="F7332" t="s">
        <v>6305</v>
      </c>
    </row>
    <row r="7333" spans="1:6" x14ac:dyDescent="0.25">
      <c r="A7333" t="s">
        <v>6101</v>
      </c>
      <c r="B7333" t="s">
        <v>179</v>
      </c>
      <c r="C7333" t="s">
        <v>180</v>
      </c>
      <c r="D7333" t="str">
        <f>HYPERLINK("http://service.sap.com/sap/support/notes/1701886","1701886")</f>
        <v>1701886</v>
      </c>
      <c r="E7333">
        <v>1</v>
      </c>
      <c r="F7333" t="s">
        <v>3577</v>
      </c>
    </row>
    <row r="7334" spans="1:6" x14ac:dyDescent="0.25">
      <c r="A7334" t="s">
        <v>6101</v>
      </c>
      <c r="B7334" t="s">
        <v>179</v>
      </c>
      <c r="C7334" t="s">
        <v>180</v>
      </c>
      <c r="D7334" t="str">
        <f>HYPERLINK("http://service.sap.com/sap/support/notes/1705208","1705208")</f>
        <v>1705208</v>
      </c>
      <c r="E7334">
        <v>2</v>
      </c>
      <c r="F7334" t="s">
        <v>6306</v>
      </c>
    </row>
    <row r="7335" spans="1:6" x14ac:dyDescent="0.25">
      <c r="A7335" t="s">
        <v>6101</v>
      </c>
      <c r="B7335" t="s">
        <v>179</v>
      </c>
      <c r="C7335" t="s">
        <v>180</v>
      </c>
      <c r="D7335" t="str">
        <f>HYPERLINK("http://service.sap.com/sap/support/notes/1705501","1705501")</f>
        <v>1705501</v>
      </c>
      <c r="E7335">
        <v>1</v>
      </c>
      <c r="F7335" t="s">
        <v>6307</v>
      </c>
    </row>
    <row r="7336" spans="1:6" x14ac:dyDescent="0.25">
      <c r="A7336" t="s">
        <v>6101</v>
      </c>
      <c r="B7336" t="s">
        <v>179</v>
      </c>
      <c r="C7336" t="s">
        <v>180</v>
      </c>
      <c r="D7336" t="str">
        <f>HYPERLINK("http://service.sap.com/sap/support/notes/1705635","1705635")</f>
        <v>1705635</v>
      </c>
      <c r="E7336">
        <v>1</v>
      </c>
      <c r="F7336" t="s">
        <v>6308</v>
      </c>
    </row>
    <row r="7337" spans="1:6" x14ac:dyDescent="0.25">
      <c r="A7337" t="s">
        <v>6101</v>
      </c>
      <c r="B7337" t="s">
        <v>179</v>
      </c>
      <c r="C7337" t="s">
        <v>180</v>
      </c>
      <c r="D7337" t="str">
        <f>HYPERLINK("http://service.sap.com/sap/support/notes/1710550","1710550")</f>
        <v>1710550</v>
      </c>
      <c r="E7337">
        <v>1</v>
      </c>
      <c r="F7337" t="s">
        <v>3581</v>
      </c>
    </row>
    <row r="7338" spans="1:6" x14ac:dyDescent="0.25">
      <c r="A7338" t="s">
        <v>6101</v>
      </c>
      <c r="B7338" t="s">
        <v>181</v>
      </c>
      <c r="C7338" t="s">
        <v>182</v>
      </c>
      <c r="D7338" t="str">
        <f>HYPERLINK("http://service.sap.com/sap/support/notes/1705282","1705282")</f>
        <v>1705282</v>
      </c>
      <c r="E7338">
        <v>1</v>
      </c>
      <c r="F7338" t="s">
        <v>3584</v>
      </c>
    </row>
    <row r="7339" spans="1:6" x14ac:dyDescent="0.25">
      <c r="A7339" t="s">
        <v>6101</v>
      </c>
      <c r="B7339" t="s">
        <v>183</v>
      </c>
      <c r="C7339" t="s">
        <v>184</v>
      </c>
      <c r="D7339" t="str">
        <f>HYPERLINK("http://service.sap.com/sap/support/notes/1675169","1675169")</f>
        <v>1675169</v>
      </c>
      <c r="E7339">
        <v>1</v>
      </c>
      <c r="F7339" t="s">
        <v>6309</v>
      </c>
    </row>
    <row r="7340" spans="1:6" x14ac:dyDescent="0.25">
      <c r="A7340" t="s">
        <v>6101</v>
      </c>
      <c r="B7340" t="s">
        <v>183</v>
      </c>
      <c r="C7340" t="s">
        <v>184</v>
      </c>
      <c r="D7340" t="str">
        <f>HYPERLINK("http://service.sap.com/sap/support/notes/1698495","1698495")</f>
        <v>1698495</v>
      </c>
      <c r="E7340">
        <v>1</v>
      </c>
      <c r="F7340" t="s">
        <v>6310</v>
      </c>
    </row>
    <row r="7341" spans="1:6" x14ac:dyDescent="0.25">
      <c r="A7341" t="s">
        <v>6101</v>
      </c>
      <c r="B7341" t="s">
        <v>203</v>
      </c>
      <c r="C7341" t="s">
        <v>204</v>
      </c>
    </row>
    <row r="7342" spans="1:6" x14ac:dyDescent="0.25">
      <c r="A7342" t="s">
        <v>6101</v>
      </c>
      <c r="B7342" t="s">
        <v>348</v>
      </c>
      <c r="C7342" t="s">
        <v>349</v>
      </c>
      <c r="D7342" t="str">
        <f>HYPERLINK("http://service.sap.com/sap/support/notes/1701014","1701014")</f>
        <v>1701014</v>
      </c>
      <c r="E7342">
        <v>2</v>
      </c>
      <c r="F7342" t="s">
        <v>6311</v>
      </c>
    </row>
    <row r="7343" spans="1:6" x14ac:dyDescent="0.25">
      <c r="A7343" t="s">
        <v>6101</v>
      </c>
      <c r="B7343" t="s">
        <v>207</v>
      </c>
      <c r="C7343" t="s">
        <v>208</v>
      </c>
    </row>
    <row r="7344" spans="1:6" x14ac:dyDescent="0.25">
      <c r="A7344" t="s">
        <v>6101</v>
      </c>
      <c r="B7344" t="s">
        <v>209</v>
      </c>
      <c r="C7344" t="s">
        <v>210</v>
      </c>
    </row>
    <row r="7345" spans="1:6" x14ac:dyDescent="0.25">
      <c r="A7345" t="s">
        <v>6101</v>
      </c>
      <c r="B7345" t="s">
        <v>790</v>
      </c>
      <c r="C7345" t="s">
        <v>791</v>
      </c>
    </row>
    <row r="7346" spans="1:6" x14ac:dyDescent="0.25">
      <c r="A7346" t="s">
        <v>6101</v>
      </c>
      <c r="B7346" t="s">
        <v>792</v>
      </c>
      <c r="C7346" t="s">
        <v>655</v>
      </c>
      <c r="D7346" t="str">
        <f>HYPERLINK("http://service.sap.com/sap/support/notes/1699009","1699009")</f>
        <v>1699009</v>
      </c>
      <c r="E7346">
        <v>1</v>
      </c>
      <c r="F7346" t="s">
        <v>6312</v>
      </c>
    </row>
    <row r="7347" spans="1:6" x14ac:dyDescent="0.25">
      <c r="A7347" t="s">
        <v>6101</v>
      </c>
      <c r="B7347" t="s">
        <v>792</v>
      </c>
      <c r="C7347" t="s">
        <v>655</v>
      </c>
      <c r="D7347" t="str">
        <f>HYPERLINK("http://service.sap.com/sap/support/notes/1704720","1704720")</f>
        <v>1704720</v>
      </c>
      <c r="E7347">
        <v>1</v>
      </c>
      <c r="F7347" t="s">
        <v>6313</v>
      </c>
    </row>
    <row r="7348" spans="1:6" x14ac:dyDescent="0.25">
      <c r="A7348" t="s">
        <v>6101</v>
      </c>
      <c r="B7348" t="s">
        <v>5247</v>
      </c>
      <c r="C7348" t="s">
        <v>5248</v>
      </c>
    </row>
    <row r="7349" spans="1:6" x14ac:dyDescent="0.25">
      <c r="A7349" t="s">
        <v>6101</v>
      </c>
      <c r="B7349" t="s">
        <v>5249</v>
      </c>
      <c r="C7349" t="s">
        <v>655</v>
      </c>
      <c r="D7349" t="str">
        <f>HYPERLINK("http://service.sap.com/sap/support/notes/1687973","1687973")</f>
        <v>1687973</v>
      </c>
      <c r="E7349">
        <v>1</v>
      </c>
      <c r="F7349" t="s">
        <v>6098</v>
      </c>
    </row>
    <row r="7350" spans="1:6" x14ac:dyDescent="0.25">
      <c r="A7350" t="s">
        <v>6101</v>
      </c>
      <c r="B7350" t="s">
        <v>5249</v>
      </c>
      <c r="C7350" t="s">
        <v>655</v>
      </c>
      <c r="D7350" t="str">
        <f>HYPERLINK("http://service.sap.com/sap/support/notes/1697940","1697940")</f>
        <v>1697940</v>
      </c>
      <c r="E7350">
        <v>1</v>
      </c>
      <c r="F7350" t="s">
        <v>6314</v>
      </c>
    </row>
    <row r="7351" spans="1:6" x14ac:dyDescent="0.25">
      <c r="A7351" t="s">
        <v>6101</v>
      </c>
      <c r="B7351" t="s">
        <v>652</v>
      </c>
      <c r="C7351" t="s">
        <v>653</v>
      </c>
    </row>
    <row r="7352" spans="1:6" x14ac:dyDescent="0.25">
      <c r="A7352" t="s">
        <v>6101</v>
      </c>
      <c r="B7352" t="s">
        <v>654</v>
      </c>
      <c r="C7352" t="s">
        <v>655</v>
      </c>
      <c r="D7352" t="str">
        <f>HYPERLINK("http://service.sap.com/sap/support/notes/1707034","1707034")</f>
        <v>1707034</v>
      </c>
      <c r="E7352">
        <v>1</v>
      </c>
      <c r="F7352" t="s">
        <v>6315</v>
      </c>
    </row>
    <row r="7353" spans="1:6" x14ac:dyDescent="0.25">
      <c r="A7353" t="s">
        <v>6101</v>
      </c>
      <c r="B7353" t="s">
        <v>389</v>
      </c>
      <c r="C7353" t="s">
        <v>390</v>
      </c>
    </row>
    <row r="7354" spans="1:6" x14ac:dyDescent="0.25">
      <c r="A7354" t="s">
        <v>6101</v>
      </c>
      <c r="B7354" t="s">
        <v>5716</v>
      </c>
      <c r="C7354" t="s">
        <v>5717</v>
      </c>
      <c r="D7354" t="str">
        <f>HYPERLINK("http://service.sap.com/sap/support/notes/1709091","1709091")</f>
        <v>1709091</v>
      </c>
      <c r="E7354">
        <v>1</v>
      </c>
      <c r="F7354" t="s">
        <v>6316</v>
      </c>
    </row>
    <row r="7355" spans="1:6" x14ac:dyDescent="0.25">
      <c r="A7355" t="s">
        <v>6317</v>
      </c>
      <c r="B7355" t="s">
        <v>220</v>
      </c>
      <c r="C7355" t="s">
        <v>435</v>
      </c>
    </row>
    <row r="7356" spans="1:6" x14ac:dyDescent="0.25">
      <c r="A7356" t="s">
        <v>6317</v>
      </c>
      <c r="B7356" t="s">
        <v>436</v>
      </c>
      <c r="C7356" t="s">
        <v>437</v>
      </c>
    </row>
    <row r="7357" spans="1:6" x14ac:dyDescent="0.25">
      <c r="A7357" t="s">
        <v>6317</v>
      </c>
      <c r="B7357" t="s">
        <v>635</v>
      </c>
      <c r="C7357" t="s">
        <v>636</v>
      </c>
      <c r="D7357" t="str">
        <f>HYPERLINK("http://service.sap.com/sap/support/notes/1713184","1713184")</f>
        <v>1713184</v>
      </c>
      <c r="E7357">
        <v>4</v>
      </c>
      <c r="F7357" t="s">
        <v>6318</v>
      </c>
    </row>
    <row r="7358" spans="1:6" x14ac:dyDescent="0.25">
      <c r="A7358" t="s">
        <v>6317</v>
      </c>
      <c r="B7358" t="s">
        <v>438</v>
      </c>
      <c r="C7358" t="s">
        <v>439</v>
      </c>
    </row>
    <row r="7359" spans="1:6" x14ac:dyDescent="0.25">
      <c r="A7359" t="s">
        <v>6317</v>
      </c>
      <c r="B7359" t="s">
        <v>440</v>
      </c>
      <c r="C7359" t="s">
        <v>441</v>
      </c>
    </row>
    <row r="7360" spans="1:6" x14ac:dyDescent="0.25">
      <c r="A7360" t="s">
        <v>6317</v>
      </c>
      <c r="B7360" t="s">
        <v>442</v>
      </c>
      <c r="C7360" t="s">
        <v>443</v>
      </c>
      <c r="D7360" t="str">
        <f>HYPERLINK("http://service.sap.com/sap/support/notes/1682217","1682217")</f>
        <v>1682217</v>
      </c>
      <c r="E7360">
        <v>3</v>
      </c>
      <c r="F7360" t="s">
        <v>6319</v>
      </c>
    </row>
    <row r="7361" spans="1:6" x14ac:dyDescent="0.25">
      <c r="A7361" t="s">
        <v>6317</v>
      </c>
      <c r="B7361" t="s">
        <v>15</v>
      </c>
      <c r="C7361" t="s">
        <v>16</v>
      </c>
    </row>
    <row r="7362" spans="1:6" x14ac:dyDescent="0.25">
      <c r="A7362" t="s">
        <v>6317</v>
      </c>
      <c r="B7362" t="s">
        <v>17</v>
      </c>
      <c r="C7362" t="s">
        <v>18</v>
      </c>
      <c r="D7362" t="str">
        <f>HYPERLINK("http://service.sap.com/sap/support/notes/1711514","1711514")</f>
        <v>1711514</v>
      </c>
      <c r="E7362">
        <v>3</v>
      </c>
      <c r="F7362" t="s">
        <v>6320</v>
      </c>
    </row>
    <row r="7363" spans="1:6" x14ac:dyDescent="0.25">
      <c r="A7363" t="s">
        <v>6317</v>
      </c>
      <c r="B7363" t="s">
        <v>19</v>
      </c>
      <c r="C7363" t="s">
        <v>20</v>
      </c>
      <c r="D7363" t="str">
        <f>HYPERLINK("http://service.sap.com/sap/support/notes/1702677","1702677")</f>
        <v>1702677</v>
      </c>
      <c r="E7363">
        <v>1</v>
      </c>
      <c r="F7363" t="s">
        <v>6321</v>
      </c>
    </row>
    <row r="7364" spans="1:6" x14ac:dyDescent="0.25">
      <c r="A7364" t="s">
        <v>6317</v>
      </c>
      <c r="B7364" t="s">
        <v>19</v>
      </c>
      <c r="C7364" t="s">
        <v>20</v>
      </c>
      <c r="D7364" t="str">
        <f>HYPERLINK("http://service.sap.com/sap/support/notes/1703229","1703229")</f>
        <v>1703229</v>
      </c>
      <c r="E7364">
        <v>3</v>
      </c>
      <c r="F7364" t="s">
        <v>6322</v>
      </c>
    </row>
    <row r="7365" spans="1:6" x14ac:dyDescent="0.25">
      <c r="A7365" t="s">
        <v>6317</v>
      </c>
      <c r="B7365" t="s">
        <v>19</v>
      </c>
      <c r="C7365" t="s">
        <v>20</v>
      </c>
      <c r="D7365" t="str">
        <f>HYPERLINK("http://service.sap.com/sap/support/notes/1707734","1707734")</f>
        <v>1707734</v>
      </c>
      <c r="E7365">
        <v>1</v>
      </c>
      <c r="F7365" t="s">
        <v>6323</v>
      </c>
    </row>
    <row r="7366" spans="1:6" x14ac:dyDescent="0.25">
      <c r="A7366" t="s">
        <v>6317</v>
      </c>
      <c r="B7366" t="s">
        <v>19</v>
      </c>
      <c r="C7366" t="s">
        <v>20</v>
      </c>
      <c r="D7366" t="str">
        <f>HYPERLINK("http://service.sap.com/sap/support/notes/1709287","1709287")</f>
        <v>1709287</v>
      </c>
      <c r="E7366">
        <v>2</v>
      </c>
      <c r="F7366" t="s">
        <v>3618</v>
      </c>
    </row>
    <row r="7367" spans="1:6" x14ac:dyDescent="0.25">
      <c r="A7367" t="s">
        <v>6317</v>
      </c>
      <c r="B7367" t="s">
        <v>19</v>
      </c>
      <c r="C7367" t="s">
        <v>20</v>
      </c>
      <c r="D7367" t="str">
        <f>HYPERLINK("http://service.sap.com/sap/support/notes/1710830","1710830")</f>
        <v>1710830</v>
      </c>
      <c r="E7367">
        <v>1</v>
      </c>
      <c r="F7367" t="s">
        <v>6324</v>
      </c>
    </row>
    <row r="7368" spans="1:6" x14ac:dyDescent="0.25">
      <c r="A7368" t="s">
        <v>6317</v>
      </c>
      <c r="B7368" t="s">
        <v>19</v>
      </c>
      <c r="C7368" t="s">
        <v>20</v>
      </c>
      <c r="D7368" t="str">
        <f>HYPERLINK("http://service.sap.com/sap/support/notes/1711239","1711239")</f>
        <v>1711239</v>
      </c>
      <c r="E7368">
        <v>2</v>
      </c>
      <c r="F7368" t="s">
        <v>6325</v>
      </c>
    </row>
    <row r="7369" spans="1:6" x14ac:dyDescent="0.25">
      <c r="A7369" t="s">
        <v>6317</v>
      </c>
      <c r="B7369" t="s">
        <v>19</v>
      </c>
      <c r="C7369" t="s">
        <v>20</v>
      </c>
      <c r="D7369" t="str">
        <f>HYPERLINK("http://service.sap.com/sap/support/notes/1712071","1712071")</f>
        <v>1712071</v>
      </c>
      <c r="E7369">
        <v>4</v>
      </c>
      <c r="F7369" t="s">
        <v>6326</v>
      </c>
    </row>
    <row r="7370" spans="1:6" x14ac:dyDescent="0.25">
      <c r="A7370" t="s">
        <v>6317</v>
      </c>
      <c r="B7370" t="s">
        <v>19</v>
      </c>
      <c r="C7370" t="s">
        <v>20</v>
      </c>
      <c r="D7370" t="str">
        <f>HYPERLINK("http://service.sap.com/sap/support/notes/1712292","1712292")</f>
        <v>1712292</v>
      </c>
      <c r="E7370">
        <v>2</v>
      </c>
      <c r="F7370" t="s">
        <v>6327</v>
      </c>
    </row>
    <row r="7371" spans="1:6" x14ac:dyDescent="0.25">
      <c r="A7371" t="s">
        <v>6317</v>
      </c>
      <c r="B7371" t="s">
        <v>19</v>
      </c>
      <c r="C7371" t="s">
        <v>20</v>
      </c>
      <c r="D7371" t="str">
        <f>HYPERLINK("http://service.sap.com/sap/support/notes/1712962","1712962")</f>
        <v>1712962</v>
      </c>
      <c r="E7371">
        <v>1</v>
      </c>
      <c r="F7371" t="s">
        <v>6328</v>
      </c>
    </row>
    <row r="7372" spans="1:6" x14ac:dyDescent="0.25">
      <c r="A7372" t="s">
        <v>6317</v>
      </c>
      <c r="B7372" t="s">
        <v>19</v>
      </c>
      <c r="C7372" t="s">
        <v>20</v>
      </c>
      <c r="D7372" t="str">
        <f>HYPERLINK("http://service.sap.com/sap/support/notes/1715068","1715068")</f>
        <v>1715068</v>
      </c>
      <c r="E7372">
        <v>1</v>
      </c>
      <c r="F7372" t="s">
        <v>6329</v>
      </c>
    </row>
    <row r="7373" spans="1:6" x14ac:dyDescent="0.25">
      <c r="A7373" t="s">
        <v>6317</v>
      </c>
      <c r="B7373" t="s">
        <v>19</v>
      </c>
      <c r="C7373" t="s">
        <v>20</v>
      </c>
      <c r="D7373" t="str">
        <f>HYPERLINK("http://service.sap.com/sap/support/notes/1715673","1715673")</f>
        <v>1715673</v>
      </c>
      <c r="E7373">
        <v>1</v>
      </c>
      <c r="F7373" t="s">
        <v>6330</v>
      </c>
    </row>
    <row r="7374" spans="1:6" x14ac:dyDescent="0.25">
      <c r="A7374" t="s">
        <v>6317</v>
      </c>
      <c r="B7374" t="s">
        <v>19</v>
      </c>
      <c r="C7374" t="s">
        <v>20</v>
      </c>
      <c r="D7374" t="str">
        <f>HYPERLINK("http://service.sap.com/sap/support/notes/1717316","1717316")</f>
        <v>1717316</v>
      </c>
      <c r="E7374">
        <v>2</v>
      </c>
      <c r="F7374" t="s">
        <v>6331</v>
      </c>
    </row>
    <row r="7375" spans="1:6" x14ac:dyDescent="0.25">
      <c r="A7375" t="s">
        <v>6317</v>
      </c>
      <c r="B7375" t="s">
        <v>19</v>
      </c>
      <c r="C7375" t="s">
        <v>20</v>
      </c>
      <c r="D7375" t="str">
        <f>HYPERLINK("http://service.sap.com/sap/support/notes/1718677","1718677")</f>
        <v>1718677</v>
      </c>
      <c r="E7375">
        <v>2</v>
      </c>
      <c r="F7375" t="s">
        <v>6332</v>
      </c>
    </row>
    <row r="7376" spans="1:6" x14ac:dyDescent="0.25">
      <c r="A7376" t="s">
        <v>6317</v>
      </c>
      <c r="B7376" t="s">
        <v>19</v>
      </c>
      <c r="C7376" t="s">
        <v>20</v>
      </c>
      <c r="D7376" t="str">
        <f>HYPERLINK("http://service.sap.com/sap/support/notes/1719034","1719034")</f>
        <v>1719034</v>
      </c>
      <c r="E7376">
        <v>1</v>
      </c>
      <c r="F7376" t="s">
        <v>6333</v>
      </c>
    </row>
    <row r="7377" spans="1:6" x14ac:dyDescent="0.25">
      <c r="A7377" t="s">
        <v>6317</v>
      </c>
      <c r="B7377" t="s">
        <v>19</v>
      </c>
      <c r="C7377" t="s">
        <v>20</v>
      </c>
      <c r="D7377" t="str">
        <f>HYPERLINK("http://service.sap.com/sap/support/notes/1719206","1719206")</f>
        <v>1719206</v>
      </c>
      <c r="E7377">
        <v>1</v>
      </c>
      <c r="F7377" t="s">
        <v>6334</v>
      </c>
    </row>
    <row r="7378" spans="1:6" x14ac:dyDescent="0.25">
      <c r="A7378" t="s">
        <v>6317</v>
      </c>
      <c r="B7378" t="s">
        <v>19</v>
      </c>
      <c r="C7378" t="s">
        <v>20</v>
      </c>
      <c r="D7378" t="str">
        <f>HYPERLINK("http://service.sap.com/sap/support/notes/1719590","1719590")</f>
        <v>1719590</v>
      </c>
      <c r="E7378">
        <v>1</v>
      </c>
      <c r="F7378" t="s">
        <v>6335</v>
      </c>
    </row>
    <row r="7379" spans="1:6" x14ac:dyDescent="0.25">
      <c r="A7379" t="s">
        <v>6317</v>
      </c>
      <c r="B7379" t="s">
        <v>446</v>
      </c>
      <c r="C7379" t="s">
        <v>447</v>
      </c>
      <c r="D7379" t="str">
        <f>HYPERLINK("http://service.sap.com/sap/support/notes/1703375","1703375")</f>
        <v>1703375</v>
      </c>
      <c r="E7379">
        <v>3</v>
      </c>
      <c r="F7379" t="s">
        <v>6336</v>
      </c>
    </row>
    <row r="7380" spans="1:6" x14ac:dyDescent="0.25">
      <c r="A7380" t="s">
        <v>6317</v>
      </c>
      <c r="B7380" t="s">
        <v>446</v>
      </c>
      <c r="C7380" t="s">
        <v>447</v>
      </c>
      <c r="D7380" t="str">
        <f>HYPERLINK("http://service.sap.com/sap/support/notes/1710188","1710188")</f>
        <v>1710188</v>
      </c>
      <c r="E7380">
        <v>1</v>
      </c>
      <c r="F7380" t="s">
        <v>6337</v>
      </c>
    </row>
    <row r="7381" spans="1:6" x14ac:dyDescent="0.25">
      <c r="A7381" t="s">
        <v>6317</v>
      </c>
      <c r="B7381" t="s">
        <v>446</v>
      </c>
      <c r="C7381" t="s">
        <v>447</v>
      </c>
      <c r="D7381" t="str">
        <f>HYPERLINK("http://service.sap.com/sap/support/notes/1710418","1710418")</f>
        <v>1710418</v>
      </c>
      <c r="E7381">
        <v>2</v>
      </c>
      <c r="F7381" t="s">
        <v>6338</v>
      </c>
    </row>
    <row r="7382" spans="1:6" x14ac:dyDescent="0.25">
      <c r="A7382" t="s">
        <v>6317</v>
      </c>
      <c r="B7382" t="s">
        <v>446</v>
      </c>
      <c r="C7382" t="s">
        <v>447</v>
      </c>
      <c r="D7382" t="str">
        <f>HYPERLINK("http://service.sap.com/sap/support/notes/1710878","1710878")</f>
        <v>1710878</v>
      </c>
      <c r="E7382">
        <v>2</v>
      </c>
      <c r="F7382" t="s">
        <v>6339</v>
      </c>
    </row>
    <row r="7383" spans="1:6" x14ac:dyDescent="0.25">
      <c r="A7383" t="s">
        <v>6317</v>
      </c>
      <c r="B7383" t="s">
        <v>446</v>
      </c>
      <c r="C7383" t="s">
        <v>447</v>
      </c>
      <c r="D7383" t="str">
        <f>HYPERLINK("http://service.sap.com/sap/support/notes/1711002","1711002")</f>
        <v>1711002</v>
      </c>
      <c r="E7383">
        <v>2</v>
      </c>
      <c r="F7383" t="s">
        <v>6340</v>
      </c>
    </row>
    <row r="7384" spans="1:6" x14ac:dyDescent="0.25">
      <c r="A7384" t="s">
        <v>6317</v>
      </c>
      <c r="B7384" t="s">
        <v>446</v>
      </c>
      <c r="C7384" t="s">
        <v>447</v>
      </c>
      <c r="D7384" t="str">
        <f>HYPERLINK("http://service.sap.com/sap/support/notes/1711838","1711838")</f>
        <v>1711838</v>
      </c>
      <c r="E7384">
        <v>1</v>
      </c>
      <c r="F7384" t="s">
        <v>6341</v>
      </c>
    </row>
    <row r="7385" spans="1:6" x14ac:dyDescent="0.25">
      <c r="A7385" t="s">
        <v>6317</v>
      </c>
      <c r="B7385" t="s">
        <v>446</v>
      </c>
      <c r="C7385" t="s">
        <v>447</v>
      </c>
      <c r="D7385" t="str">
        <f>HYPERLINK("http://service.sap.com/sap/support/notes/1711921","1711921")</f>
        <v>1711921</v>
      </c>
      <c r="E7385">
        <v>2</v>
      </c>
      <c r="F7385" t="s">
        <v>6342</v>
      </c>
    </row>
    <row r="7386" spans="1:6" x14ac:dyDescent="0.25">
      <c r="A7386" t="s">
        <v>6317</v>
      </c>
      <c r="B7386" t="s">
        <v>446</v>
      </c>
      <c r="C7386" t="s">
        <v>447</v>
      </c>
      <c r="D7386" t="str">
        <f>HYPERLINK("http://service.sap.com/sap/support/notes/1712284","1712284")</f>
        <v>1712284</v>
      </c>
      <c r="E7386">
        <v>1</v>
      </c>
      <c r="F7386" t="s">
        <v>6343</v>
      </c>
    </row>
    <row r="7387" spans="1:6" x14ac:dyDescent="0.25">
      <c r="A7387" t="s">
        <v>6317</v>
      </c>
      <c r="B7387" t="s">
        <v>446</v>
      </c>
      <c r="C7387" t="s">
        <v>447</v>
      </c>
      <c r="D7387" t="str">
        <f>HYPERLINK("http://service.sap.com/sap/support/notes/1712481","1712481")</f>
        <v>1712481</v>
      </c>
      <c r="E7387">
        <v>2</v>
      </c>
      <c r="F7387" t="s">
        <v>6344</v>
      </c>
    </row>
    <row r="7388" spans="1:6" x14ac:dyDescent="0.25">
      <c r="A7388" t="s">
        <v>6317</v>
      </c>
      <c r="B7388" t="s">
        <v>446</v>
      </c>
      <c r="C7388" t="s">
        <v>447</v>
      </c>
      <c r="D7388" t="str">
        <f>HYPERLINK("http://service.sap.com/sap/support/notes/1712876","1712876")</f>
        <v>1712876</v>
      </c>
      <c r="E7388">
        <v>2</v>
      </c>
      <c r="F7388" t="s">
        <v>6345</v>
      </c>
    </row>
    <row r="7389" spans="1:6" x14ac:dyDescent="0.25">
      <c r="A7389" t="s">
        <v>6317</v>
      </c>
      <c r="B7389" t="s">
        <v>446</v>
      </c>
      <c r="C7389" t="s">
        <v>447</v>
      </c>
      <c r="D7389" t="str">
        <f>HYPERLINK("http://service.sap.com/sap/support/notes/1714756","1714756")</f>
        <v>1714756</v>
      </c>
      <c r="E7389">
        <v>2</v>
      </c>
      <c r="F7389" t="s">
        <v>6346</v>
      </c>
    </row>
    <row r="7390" spans="1:6" x14ac:dyDescent="0.25">
      <c r="A7390" t="s">
        <v>6317</v>
      </c>
      <c r="B7390" t="s">
        <v>446</v>
      </c>
      <c r="C7390" t="s">
        <v>447</v>
      </c>
      <c r="D7390" t="str">
        <f>HYPERLINK("http://service.sap.com/sap/support/notes/1715858","1715858")</f>
        <v>1715858</v>
      </c>
      <c r="E7390">
        <v>1</v>
      </c>
      <c r="F7390" t="s">
        <v>6347</v>
      </c>
    </row>
    <row r="7391" spans="1:6" x14ac:dyDescent="0.25">
      <c r="A7391" t="s">
        <v>6317</v>
      </c>
      <c r="B7391" t="s">
        <v>446</v>
      </c>
      <c r="C7391" t="s">
        <v>447</v>
      </c>
      <c r="D7391" t="str">
        <f>HYPERLINK("http://service.sap.com/sap/support/notes/1717258","1717258")</f>
        <v>1717258</v>
      </c>
      <c r="E7391">
        <v>2</v>
      </c>
      <c r="F7391" t="s">
        <v>6348</v>
      </c>
    </row>
    <row r="7392" spans="1:6" x14ac:dyDescent="0.25">
      <c r="A7392" t="s">
        <v>6317</v>
      </c>
      <c r="B7392" t="s">
        <v>446</v>
      </c>
      <c r="C7392" t="s">
        <v>447</v>
      </c>
      <c r="D7392" t="str">
        <f>HYPERLINK("http://service.sap.com/sap/support/notes/1717270","1717270")</f>
        <v>1717270</v>
      </c>
      <c r="E7392">
        <v>1</v>
      </c>
      <c r="F7392" t="s">
        <v>6349</v>
      </c>
    </row>
    <row r="7393" spans="1:6" x14ac:dyDescent="0.25">
      <c r="A7393" t="s">
        <v>6317</v>
      </c>
      <c r="B7393" t="s">
        <v>446</v>
      </c>
      <c r="C7393" t="s">
        <v>447</v>
      </c>
      <c r="D7393" t="str">
        <f>HYPERLINK("http://service.sap.com/sap/support/notes/1717337","1717337")</f>
        <v>1717337</v>
      </c>
      <c r="E7393">
        <v>1</v>
      </c>
      <c r="F7393" t="s">
        <v>6350</v>
      </c>
    </row>
    <row r="7394" spans="1:6" x14ac:dyDescent="0.25">
      <c r="A7394" t="s">
        <v>6317</v>
      </c>
      <c r="B7394" t="s">
        <v>446</v>
      </c>
      <c r="C7394" t="s">
        <v>447</v>
      </c>
      <c r="D7394" t="str">
        <f>HYPERLINK("http://service.sap.com/sap/support/notes/1717437","1717437")</f>
        <v>1717437</v>
      </c>
      <c r="E7394">
        <v>3</v>
      </c>
      <c r="F7394" t="s">
        <v>6351</v>
      </c>
    </row>
    <row r="7395" spans="1:6" x14ac:dyDescent="0.25">
      <c r="A7395" t="s">
        <v>6317</v>
      </c>
      <c r="B7395" t="s">
        <v>446</v>
      </c>
      <c r="C7395" t="s">
        <v>447</v>
      </c>
      <c r="D7395" t="str">
        <f>HYPERLINK("http://service.sap.com/sap/support/notes/1718012","1718012")</f>
        <v>1718012</v>
      </c>
      <c r="E7395">
        <v>1</v>
      </c>
      <c r="F7395" t="s">
        <v>6352</v>
      </c>
    </row>
    <row r="7396" spans="1:6" x14ac:dyDescent="0.25">
      <c r="A7396" t="s">
        <v>6317</v>
      </c>
      <c r="B7396" t="s">
        <v>446</v>
      </c>
      <c r="C7396" t="s">
        <v>447</v>
      </c>
      <c r="D7396" t="str">
        <f>HYPERLINK("http://service.sap.com/sap/support/notes/1719138","1719138")</f>
        <v>1719138</v>
      </c>
      <c r="E7396">
        <v>1</v>
      </c>
      <c r="F7396" t="s">
        <v>6353</v>
      </c>
    </row>
    <row r="7397" spans="1:6" x14ac:dyDescent="0.25">
      <c r="A7397" t="s">
        <v>6317</v>
      </c>
      <c r="B7397" t="s">
        <v>446</v>
      </c>
      <c r="C7397" t="s">
        <v>447</v>
      </c>
      <c r="D7397" t="str">
        <f>HYPERLINK("http://service.sap.com/sap/support/notes/1719202","1719202")</f>
        <v>1719202</v>
      </c>
      <c r="E7397">
        <v>2</v>
      </c>
      <c r="F7397" t="s">
        <v>6354</v>
      </c>
    </row>
    <row r="7398" spans="1:6" x14ac:dyDescent="0.25">
      <c r="A7398" t="s">
        <v>6317</v>
      </c>
      <c r="B7398" t="s">
        <v>446</v>
      </c>
      <c r="C7398" t="s">
        <v>447</v>
      </c>
      <c r="D7398" t="str">
        <f>HYPERLINK("http://service.sap.com/sap/support/notes/1719228","1719228")</f>
        <v>1719228</v>
      </c>
      <c r="E7398">
        <v>3</v>
      </c>
      <c r="F7398" t="s">
        <v>6355</v>
      </c>
    </row>
    <row r="7399" spans="1:6" x14ac:dyDescent="0.25">
      <c r="A7399" t="s">
        <v>6317</v>
      </c>
      <c r="B7399" t="s">
        <v>617</v>
      </c>
      <c r="C7399" t="s">
        <v>618</v>
      </c>
      <c r="D7399" t="str">
        <f>HYPERLINK("http://service.sap.com/sap/support/notes/1718536","1718536")</f>
        <v>1718536</v>
      </c>
      <c r="E7399">
        <v>2</v>
      </c>
      <c r="F7399" t="s">
        <v>6356</v>
      </c>
    </row>
    <row r="7400" spans="1:6" x14ac:dyDescent="0.25">
      <c r="A7400" t="s">
        <v>6317</v>
      </c>
      <c r="B7400" t="s">
        <v>448</v>
      </c>
      <c r="C7400" t="s">
        <v>449</v>
      </c>
    </row>
    <row r="7401" spans="1:6" x14ac:dyDescent="0.25">
      <c r="A7401" t="s">
        <v>6317</v>
      </c>
      <c r="B7401" t="s">
        <v>505</v>
      </c>
      <c r="C7401" t="s">
        <v>506</v>
      </c>
      <c r="D7401" t="str">
        <f>HYPERLINK("http://service.sap.com/sap/support/notes/1689511","1689511")</f>
        <v>1689511</v>
      </c>
      <c r="E7401">
        <v>5</v>
      </c>
      <c r="F7401" t="s">
        <v>6357</v>
      </c>
    </row>
    <row r="7402" spans="1:6" x14ac:dyDescent="0.25">
      <c r="A7402" t="s">
        <v>6317</v>
      </c>
      <c r="B7402" t="s">
        <v>619</v>
      </c>
      <c r="C7402" t="s">
        <v>620</v>
      </c>
      <c r="D7402" t="str">
        <f>HYPERLINK("http://service.sap.com/sap/support/notes/1717364","1717364")</f>
        <v>1717364</v>
      </c>
      <c r="E7402">
        <v>2</v>
      </c>
      <c r="F7402" t="s">
        <v>6358</v>
      </c>
    </row>
    <row r="7403" spans="1:6" x14ac:dyDescent="0.25">
      <c r="A7403" t="s">
        <v>6317</v>
      </c>
      <c r="B7403" t="s">
        <v>21</v>
      </c>
      <c r="C7403" t="s">
        <v>12</v>
      </c>
    </row>
    <row r="7404" spans="1:6" x14ac:dyDescent="0.25">
      <c r="A7404" t="s">
        <v>6317</v>
      </c>
      <c r="B7404" t="s">
        <v>378</v>
      </c>
      <c r="C7404" t="s">
        <v>379</v>
      </c>
      <c r="D7404" t="str">
        <f>HYPERLINK("http://service.sap.com/sap/support/notes/1709700","1709700")</f>
        <v>1709700</v>
      </c>
      <c r="E7404">
        <v>2</v>
      </c>
      <c r="F7404" t="s">
        <v>6359</v>
      </c>
    </row>
    <row r="7405" spans="1:6" x14ac:dyDescent="0.25">
      <c r="A7405" t="s">
        <v>6317</v>
      </c>
      <c r="B7405" t="s">
        <v>458</v>
      </c>
      <c r="C7405" t="s">
        <v>459</v>
      </c>
      <c r="D7405" t="str">
        <f>HYPERLINK("http://service.sap.com/sap/support/notes/1646373","1646373")</f>
        <v>1646373</v>
      </c>
      <c r="E7405">
        <v>3</v>
      </c>
      <c r="F7405" t="s">
        <v>6360</v>
      </c>
    </row>
    <row r="7406" spans="1:6" x14ac:dyDescent="0.25">
      <c r="A7406" t="s">
        <v>6317</v>
      </c>
      <c r="B7406" t="s">
        <v>458</v>
      </c>
      <c r="C7406" t="s">
        <v>459</v>
      </c>
      <c r="D7406" t="str">
        <f>HYPERLINK("http://service.sap.com/sap/support/notes/1647698","1647698")</f>
        <v>1647698</v>
      </c>
      <c r="E7406">
        <v>3</v>
      </c>
      <c r="F7406" t="s">
        <v>6361</v>
      </c>
    </row>
    <row r="7407" spans="1:6" x14ac:dyDescent="0.25">
      <c r="A7407" t="s">
        <v>6317</v>
      </c>
      <c r="B7407" t="s">
        <v>458</v>
      </c>
      <c r="C7407" t="s">
        <v>459</v>
      </c>
      <c r="D7407" t="str">
        <f>HYPERLINK("http://service.sap.com/sap/support/notes/1708471","1708471")</f>
        <v>1708471</v>
      </c>
      <c r="E7407">
        <v>3</v>
      </c>
      <c r="F7407" t="s">
        <v>6362</v>
      </c>
    </row>
    <row r="7408" spans="1:6" x14ac:dyDescent="0.25">
      <c r="A7408" t="s">
        <v>6317</v>
      </c>
      <c r="B7408" t="s">
        <v>458</v>
      </c>
      <c r="C7408" t="s">
        <v>459</v>
      </c>
      <c r="D7408" t="str">
        <f>HYPERLINK("http://service.sap.com/sap/support/notes/1715839","1715839")</f>
        <v>1715839</v>
      </c>
      <c r="E7408">
        <v>1</v>
      </c>
      <c r="F7408" t="s">
        <v>6363</v>
      </c>
    </row>
    <row r="7409" spans="1:6" x14ac:dyDescent="0.25">
      <c r="A7409" t="s">
        <v>6317</v>
      </c>
      <c r="B7409" t="s">
        <v>623</v>
      </c>
      <c r="C7409" t="s">
        <v>624</v>
      </c>
    </row>
    <row r="7410" spans="1:6" x14ac:dyDescent="0.25">
      <c r="A7410" t="s">
        <v>6317</v>
      </c>
      <c r="B7410" t="s">
        <v>625</v>
      </c>
      <c r="C7410" t="s">
        <v>626</v>
      </c>
      <c r="D7410" t="str">
        <f>HYPERLINK("http://service.sap.com/sap/support/notes/1640432","1640432")</f>
        <v>1640432</v>
      </c>
      <c r="E7410">
        <v>1</v>
      </c>
      <c r="F7410" t="s">
        <v>6364</v>
      </c>
    </row>
    <row r="7411" spans="1:6" x14ac:dyDescent="0.25">
      <c r="A7411" t="s">
        <v>6317</v>
      </c>
      <c r="B7411" t="s">
        <v>625</v>
      </c>
      <c r="C7411" t="s">
        <v>626</v>
      </c>
      <c r="D7411" t="str">
        <f>HYPERLINK("http://service.sap.com/sap/support/notes/1671704","1671704")</f>
        <v>1671704</v>
      </c>
      <c r="E7411">
        <v>2</v>
      </c>
      <c r="F7411" t="s">
        <v>5775</v>
      </c>
    </row>
    <row r="7412" spans="1:6" x14ac:dyDescent="0.25">
      <c r="A7412" t="s">
        <v>6317</v>
      </c>
      <c r="B7412" t="s">
        <v>625</v>
      </c>
      <c r="C7412" t="s">
        <v>626</v>
      </c>
      <c r="D7412" t="str">
        <f>HYPERLINK("http://service.sap.com/sap/support/notes/1719528","1719528")</f>
        <v>1719528</v>
      </c>
      <c r="E7412">
        <v>1</v>
      </c>
      <c r="F7412" t="s">
        <v>6365</v>
      </c>
    </row>
    <row r="7413" spans="1:6" x14ac:dyDescent="0.25">
      <c r="A7413" t="s">
        <v>6317</v>
      </c>
      <c r="B7413" t="s">
        <v>627</v>
      </c>
      <c r="C7413" t="s">
        <v>628</v>
      </c>
      <c r="D7413" t="str">
        <f>HYPERLINK("http://service.sap.com/sap/support/notes/1715412","1715412")</f>
        <v>1715412</v>
      </c>
      <c r="E7413">
        <v>2</v>
      </c>
      <c r="F7413" t="s">
        <v>6366</v>
      </c>
    </row>
    <row r="7414" spans="1:6" x14ac:dyDescent="0.25">
      <c r="A7414" t="s">
        <v>6317</v>
      </c>
      <c r="B7414" t="s">
        <v>627</v>
      </c>
      <c r="C7414" t="s">
        <v>628</v>
      </c>
      <c r="D7414" t="str">
        <f>HYPERLINK("http://service.sap.com/sap/support/notes/1717427","1717427")</f>
        <v>1717427</v>
      </c>
      <c r="E7414">
        <v>2</v>
      </c>
      <c r="F7414" t="s">
        <v>6367</v>
      </c>
    </row>
    <row r="7415" spans="1:6" x14ac:dyDescent="0.25">
      <c r="A7415" t="s">
        <v>6317</v>
      </c>
      <c r="B7415" t="s">
        <v>627</v>
      </c>
      <c r="C7415" t="s">
        <v>628</v>
      </c>
      <c r="D7415" t="str">
        <f>HYPERLINK("http://service.sap.com/sap/support/notes/1717920","1717920")</f>
        <v>1717920</v>
      </c>
      <c r="E7415">
        <v>1</v>
      </c>
      <c r="F7415" t="s">
        <v>5797</v>
      </c>
    </row>
    <row r="7416" spans="1:6" x14ac:dyDescent="0.25">
      <c r="A7416" t="s">
        <v>6317</v>
      </c>
      <c r="B7416" t="s">
        <v>629</v>
      </c>
      <c r="C7416" t="s">
        <v>630</v>
      </c>
      <c r="D7416" t="str">
        <f>HYPERLINK("http://service.sap.com/sap/support/notes/1614318","1614318")</f>
        <v>1614318</v>
      </c>
      <c r="E7416">
        <v>6</v>
      </c>
      <c r="F7416" t="s">
        <v>6368</v>
      </c>
    </row>
    <row r="7417" spans="1:6" x14ac:dyDescent="0.25">
      <c r="A7417" t="s">
        <v>6317</v>
      </c>
      <c r="B7417" t="s">
        <v>629</v>
      </c>
      <c r="C7417" t="s">
        <v>630</v>
      </c>
      <c r="D7417" t="str">
        <f>HYPERLINK("http://service.sap.com/sap/support/notes/1707417","1707417")</f>
        <v>1707417</v>
      </c>
      <c r="E7417">
        <v>3</v>
      </c>
      <c r="F7417" t="s">
        <v>6369</v>
      </c>
    </row>
    <row r="7418" spans="1:6" x14ac:dyDescent="0.25">
      <c r="A7418" t="s">
        <v>6317</v>
      </c>
      <c r="B7418" t="s">
        <v>29</v>
      </c>
      <c r="C7418" t="s">
        <v>30</v>
      </c>
    </row>
    <row r="7419" spans="1:6" x14ac:dyDescent="0.25">
      <c r="A7419" t="s">
        <v>6317</v>
      </c>
      <c r="B7419" t="s">
        <v>37</v>
      </c>
      <c r="C7419" t="s">
        <v>38</v>
      </c>
      <c r="D7419" t="str">
        <f>HYPERLINK("http://service.sap.com/sap/support/notes/1686580","1686580")</f>
        <v>1686580</v>
      </c>
      <c r="E7419">
        <v>3</v>
      </c>
      <c r="F7419" t="s">
        <v>6370</v>
      </c>
    </row>
    <row r="7420" spans="1:6" x14ac:dyDescent="0.25">
      <c r="A7420" t="s">
        <v>6317</v>
      </c>
      <c r="B7420" t="s">
        <v>415</v>
      </c>
      <c r="C7420" t="s">
        <v>167</v>
      </c>
      <c r="D7420" t="str">
        <f>HYPERLINK("http://service.sap.com/sap/support/notes/1704847","1704847")</f>
        <v>1704847</v>
      </c>
      <c r="E7420">
        <v>1</v>
      </c>
      <c r="F7420" t="s">
        <v>6371</v>
      </c>
    </row>
    <row r="7421" spans="1:6" x14ac:dyDescent="0.25">
      <c r="A7421" t="s">
        <v>6317</v>
      </c>
      <c r="B7421" t="s">
        <v>57</v>
      </c>
      <c r="C7421" t="s">
        <v>58</v>
      </c>
      <c r="D7421" t="str">
        <f>HYPERLINK("http://service.sap.com/sap/support/notes/1705960","1705960")</f>
        <v>1705960</v>
      </c>
      <c r="E7421">
        <v>2</v>
      </c>
      <c r="F7421" t="s">
        <v>3683</v>
      </c>
    </row>
    <row r="7422" spans="1:6" x14ac:dyDescent="0.25">
      <c r="A7422" t="s">
        <v>6317</v>
      </c>
      <c r="B7422" t="s">
        <v>57</v>
      </c>
      <c r="C7422" t="s">
        <v>58</v>
      </c>
      <c r="D7422" t="str">
        <f>HYPERLINK("http://service.sap.com/sap/support/notes/1710248","1710248")</f>
        <v>1710248</v>
      </c>
      <c r="E7422">
        <v>2</v>
      </c>
      <c r="F7422" t="s">
        <v>3685</v>
      </c>
    </row>
    <row r="7423" spans="1:6" x14ac:dyDescent="0.25">
      <c r="A7423" t="s">
        <v>6317</v>
      </c>
      <c r="B7423" t="s">
        <v>57</v>
      </c>
      <c r="C7423" t="s">
        <v>58</v>
      </c>
      <c r="D7423" t="str">
        <f>HYPERLINK("http://service.sap.com/sap/support/notes/1710281","1710281")</f>
        <v>1710281</v>
      </c>
      <c r="E7423">
        <v>1</v>
      </c>
      <c r="F7423" t="s">
        <v>6372</v>
      </c>
    </row>
    <row r="7424" spans="1:6" x14ac:dyDescent="0.25">
      <c r="A7424" t="s">
        <v>6317</v>
      </c>
      <c r="B7424" t="s">
        <v>57</v>
      </c>
      <c r="C7424" t="s">
        <v>58</v>
      </c>
      <c r="D7424" t="str">
        <f>HYPERLINK("http://service.sap.com/sap/support/notes/1720550","1720550")</f>
        <v>1720550</v>
      </c>
      <c r="E7424">
        <v>1</v>
      </c>
      <c r="F7424" t="s">
        <v>6373</v>
      </c>
    </row>
    <row r="7425" spans="1:6" x14ac:dyDescent="0.25">
      <c r="A7425" t="s">
        <v>6317</v>
      </c>
      <c r="B7425" t="s">
        <v>261</v>
      </c>
      <c r="C7425" t="s">
        <v>262</v>
      </c>
      <c r="D7425" t="str">
        <f>HYPERLINK("http://service.sap.com/sap/support/notes/1659364","1659364")</f>
        <v>1659364</v>
      </c>
      <c r="E7425">
        <v>1</v>
      </c>
      <c r="F7425" t="s">
        <v>3697</v>
      </c>
    </row>
    <row r="7426" spans="1:6" x14ac:dyDescent="0.25">
      <c r="A7426" t="s">
        <v>6317</v>
      </c>
      <c r="B7426" t="s">
        <v>261</v>
      </c>
      <c r="C7426" t="s">
        <v>262</v>
      </c>
      <c r="D7426" t="str">
        <f>HYPERLINK("http://service.sap.com/sap/support/notes/1662329","1662329")</f>
        <v>1662329</v>
      </c>
      <c r="E7426">
        <v>3</v>
      </c>
      <c r="F7426" t="s">
        <v>6374</v>
      </c>
    </row>
    <row r="7427" spans="1:6" x14ac:dyDescent="0.25">
      <c r="A7427" t="s">
        <v>6317</v>
      </c>
      <c r="B7427" t="s">
        <v>261</v>
      </c>
      <c r="C7427" t="s">
        <v>262</v>
      </c>
      <c r="D7427" t="str">
        <f>HYPERLINK("http://service.sap.com/sap/support/notes/1674514","1674514")</f>
        <v>1674514</v>
      </c>
      <c r="E7427">
        <v>1</v>
      </c>
      <c r="F7427" t="s">
        <v>3719</v>
      </c>
    </row>
    <row r="7428" spans="1:6" x14ac:dyDescent="0.25">
      <c r="A7428" t="s">
        <v>6317</v>
      </c>
      <c r="B7428" t="s">
        <v>261</v>
      </c>
      <c r="C7428" t="s">
        <v>262</v>
      </c>
      <c r="D7428" t="str">
        <f>HYPERLINK("http://service.sap.com/sap/support/notes/1700510","1700510")</f>
        <v>1700510</v>
      </c>
      <c r="E7428">
        <v>1</v>
      </c>
      <c r="F7428" t="s">
        <v>6375</v>
      </c>
    </row>
    <row r="7429" spans="1:6" x14ac:dyDescent="0.25">
      <c r="A7429" t="s">
        <v>6317</v>
      </c>
      <c r="B7429" t="s">
        <v>261</v>
      </c>
      <c r="C7429" t="s">
        <v>262</v>
      </c>
      <c r="D7429" t="str">
        <f>HYPERLINK("http://service.sap.com/sap/support/notes/1706894","1706894")</f>
        <v>1706894</v>
      </c>
      <c r="E7429">
        <v>1</v>
      </c>
      <c r="F7429" t="s">
        <v>3748</v>
      </c>
    </row>
    <row r="7430" spans="1:6" x14ac:dyDescent="0.25">
      <c r="A7430" t="s">
        <v>6317</v>
      </c>
      <c r="B7430" t="s">
        <v>261</v>
      </c>
      <c r="C7430" t="s">
        <v>262</v>
      </c>
      <c r="D7430" t="str">
        <f>HYPERLINK("http://service.sap.com/sap/support/notes/1708544","1708544")</f>
        <v>1708544</v>
      </c>
      <c r="E7430">
        <v>1</v>
      </c>
      <c r="F7430" t="s">
        <v>6376</v>
      </c>
    </row>
    <row r="7431" spans="1:6" x14ac:dyDescent="0.25">
      <c r="A7431" t="s">
        <v>6317</v>
      </c>
      <c r="B7431" t="s">
        <v>261</v>
      </c>
      <c r="C7431" t="s">
        <v>262</v>
      </c>
      <c r="D7431" t="str">
        <f>HYPERLINK("http://service.sap.com/sap/support/notes/1712036","1712036")</f>
        <v>1712036</v>
      </c>
      <c r="E7431">
        <v>3</v>
      </c>
      <c r="F7431" t="s">
        <v>3758</v>
      </c>
    </row>
    <row r="7432" spans="1:6" x14ac:dyDescent="0.25">
      <c r="A7432" t="s">
        <v>6317</v>
      </c>
      <c r="B7432" t="s">
        <v>261</v>
      </c>
      <c r="C7432" t="s">
        <v>262</v>
      </c>
      <c r="D7432" t="str">
        <f>HYPERLINK("http://service.sap.com/sap/support/notes/1714824","1714824")</f>
        <v>1714824</v>
      </c>
      <c r="E7432">
        <v>1</v>
      </c>
      <c r="F7432" t="s">
        <v>6377</v>
      </c>
    </row>
    <row r="7433" spans="1:6" x14ac:dyDescent="0.25">
      <c r="A7433" t="s">
        <v>6317</v>
      </c>
      <c r="B7433" t="s">
        <v>261</v>
      </c>
      <c r="C7433" t="s">
        <v>262</v>
      </c>
      <c r="D7433" t="str">
        <f>HYPERLINK("http://service.sap.com/sap/support/notes/1715843","1715843")</f>
        <v>1715843</v>
      </c>
      <c r="E7433">
        <v>2</v>
      </c>
      <c r="F7433" t="s">
        <v>3764</v>
      </c>
    </row>
    <row r="7434" spans="1:6" x14ac:dyDescent="0.25">
      <c r="A7434" t="s">
        <v>6317</v>
      </c>
      <c r="B7434" t="s">
        <v>261</v>
      </c>
      <c r="C7434" t="s">
        <v>262</v>
      </c>
      <c r="D7434" t="str">
        <f>HYPERLINK("http://service.sap.com/sap/support/notes/1715935","1715935")</f>
        <v>1715935</v>
      </c>
      <c r="E7434">
        <v>3</v>
      </c>
      <c r="F7434" t="s">
        <v>6378</v>
      </c>
    </row>
    <row r="7435" spans="1:6" x14ac:dyDescent="0.25">
      <c r="A7435" t="s">
        <v>6317</v>
      </c>
      <c r="B7435" t="s">
        <v>261</v>
      </c>
      <c r="C7435" t="s">
        <v>262</v>
      </c>
      <c r="D7435" t="str">
        <f>HYPERLINK("http://service.sap.com/sap/support/notes/1718173","1718173")</f>
        <v>1718173</v>
      </c>
      <c r="E7435">
        <v>2</v>
      </c>
      <c r="F7435" t="s">
        <v>6379</v>
      </c>
    </row>
    <row r="7436" spans="1:6" x14ac:dyDescent="0.25">
      <c r="A7436" t="s">
        <v>6317</v>
      </c>
      <c r="B7436" t="s">
        <v>261</v>
      </c>
      <c r="C7436" t="s">
        <v>262</v>
      </c>
      <c r="D7436" t="str">
        <f>HYPERLINK("http://service.sap.com/sap/support/notes/1719577","1719577")</f>
        <v>1719577</v>
      </c>
      <c r="E7436">
        <v>1</v>
      </c>
      <c r="F7436" t="s">
        <v>6380</v>
      </c>
    </row>
    <row r="7437" spans="1:6" x14ac:dyDescent="0.25">
      <c r="A7437" t="s">
        <v>6317</v>
      </c>
      <c r="B7437" t="s">
        <v>267</v>
      </c>
      <c r="C7437" t="s">
        <v>466</v>
      </c>
    </row>
    <row r="7438" spans="1:6" x14ac:dyDescent="0.25">
      <c r="A7438" t="s">
        <v>6317</v>
      </c>
      <c r="B7438" t="s">
        <v>268</v>
      </c>
      <c r="C7438" t="s">
        <v>467</v>
      </c>
      <c r="D7438" t="str">
        <f>HYPERLINK("http://service.sap.com/sap/support/notes/1709563","1709563")</f>
        <v>1709563</v>
      </c>
      <c r="E7438">
        <v>2</v>
      </c>
      <c r="F7438" t="s">
        <v>6381</v>
      </c>
    </row>
    <row r="7439" spans="1:6" x14ac:dyDescent="0.25">
      <c r="A7439" t="s">
        <v>6317</v>
      </c>
      <c r="B7439" t="s">
        <v>268</v>
      </c>
      <c r="C7439" t="s">
        <v>467</v>
      </c>
      <c r="D7439" t="str">
        <f>HYPERLINK("http://service.sap.com/sap/support/notes/1710932","1710932")</f>
        <v>1710932</v>
      </c>
      <c r="E7439">
        <v>3</v>
      </c>
      <c r="F7439" t="s">
        <v>6382</v>
      </c>
    </row>
    <row r="7440" spans="1:6" x14ac:dyDescent="0.25">
      <c r="A7440" t="s">
        <v>6317</v>
      </c>
      <c r="B7440" t="s">
        <v>268</v>
      </c>
      <c r="C7440" t="s">
        <v>467</v>
      </c>
      <c r="D7440" t="str">
        <f>HYPERLINK("http://service.sap.com/sap/support/notes/1718719","1718719")</f>
        <v>1718719</v>
      </c>
      <c r="E7440">
        <v>1</v>
      </c>
      <c r="F7440" t="s">
        <v>6383</v>
      </c>
    </row>
    <row r="7441" spans="1:6" x14ac:dyDescent="0.25">
      <c r="A7441" t="s">
        <v>6317</v>
      </c>
      <c r="B7441" t="s">
        <v>273</v>
      </c>
      <c r="C7441" t="s">
        <v>469</v>
      </c>
    </row>
    <row r="7442" spans="1:6" x14ac:dyDescent="0.25">
      <c r="A7442" t="s">
        <v>6317</v>
      </c>
      <c r="B7442" t="s">
        <v>274</v>
      </c>
      <c r="C7442" t="s">
        <v>470</v>
      </c>
      <c r="D7442" t="str">
        <f>HYPERLINK("http://service.sap.com/sap/support/notes/1677827","1677827")</f>
        <v>1677827</v>
      </c>
      <c r="E7442">
        <v>4</v>
      </c>
      <c r="F7442" t="s">
        <v>6384</v>
      </c>
    </row>
    <row r="7443" spans="1:6" x14ac:dyDescent="0.25">
      <c r="A7443" t="s">
        <v>6317</v>
      </c>
      <c r="B7443" t="s">
        <v>274</v>
      </c>
      <c r="C7443" t="s">
        <v>470</v>
      </c>
      <c r="D7443" t="str">
        <f>HYPERLINK("http://service.sap.com/sap/support/notes/1715818","1715818")</f>
        <v>1715818</v>
      </c>
      <c r="E7443">
        <v>3</v>
      </c>
      <c r="F7443" t="s">
        <v>6385</v>
      </c>
    </row>
    <row r="7444" spans="1:6" x14ac:dyDescent="0.25">
      <c r="A7444" t="s">
        <v>6317</v>
      </c>
      <c r="B7444" t="s">
        <v>274</v>
      </c>
      <c r="C7444" t="s">
        <v>470</v>
      </c>
      <c r="D7444" t="str">
        <f>HYPERLINK("http://service.sap.com/sap/support/notes/1717519","1717519")</f>
        <v>1717519</v>
      </c>
      <c r="E7444">
        <v>3</v>
      </c>
      <c r="F7444" t="s">
        <v>6386</v>
      </c>
    </row>
    <row r="7445" spans="1:6" x14ac:dyDescent="0.25">
      <c r="A7445" t="s">
        <v>6317</v>
      </c>
      <c r="B7445" t="s">
        <v>474</v>
      </c>
      <c r="C7445" t="s">
        <v>475</v>
      </c>
      <c r="D7445" t="str">
        <f>HYPERLINK("http://service.sap.com/sap/support/notes/1711552","1711552")</f>
        <v>1711552</v>
      </c>
      <c r="E7445">
        <v>2</v>
      </c>
      <c r="F7445" t="s">
        <v>6387</v>
      </c>
    </row>
    <row r="7446" spans="1:6" x14ac:dyDescent="0.25">
      <c r="A7446" t="s">
        <v>6317</v>
      </c>
      <c r="B7446" t="s">
        <v>474</v>
      </c>
      <c r="C7446" t="s">
        <v>475</v>
      </c>
      <c r="D7446" t="str">
        <f>HYPERLINK("http://service.sap.com/sap/support/notes/1712017","1712017")</f>
        <v>1712017</v>
      </c>
      <c r="E7446">
        <v>3</v>
      </c>
      <c r="F7446" t="s">
        <v>6388</v>
      </c>
    </row>
    <row r="7447" spans="1:6" x14ac:dyDescent="0.25">
      <c r="A7447" t="s">
        <v>6317</v>
      </c>
      <c r="B7447" t="s">
        <v>474</v>
      </c>
      <c r="C7447" t="s">
        <v>475</v>
      </c>
      <c r="D7447" t="str">
        <f>HYPERLINK("http://service.sap.com/sap/support/notes/1714066","1714066")</f>
        <v>1714066</v>
      </c>
      <c r="E7447">
        <v>2</v>
      </c>
      <c r="F7447" t="s">
        <v>6389</v>
      </c>
    </row>
    <row r="7448" spans="1:6" x14ac:dyDescent="0.25">
      <c r="A7448" t="s">
        <v>6317</v>
      </c>
      <c r="B7448" t="s">
        <v>474</v>
      </c>
      <c r="C7448" t="s">
        <v>475</v>
      </c>
      <c r="D7448" t="str">
        <f>HYPERLINK("http://service.sap.com/sap/support/notes/1716328","1716328")</f>
        <v>1716328</v>
      </c>
      <c r="E7448">
        <v>2</v>
      </c>
      <c r="F7448" t="s">
        <v>6390</v>
      </c>
    </row>
    <row r="7449" spans="1:6" x14ac:dyDescent="0.25">
      <c r="A7449" t="s">
        <v>6317</v>
      </c>
      <c r="B7449" t="s">
        <v>474</v>
      </c>
      <c r="C7449" t="s">
        <v>475</v>
      </c>
      <c r="D7449" t="str">
        <f>HYPERLINK("http://service.sap.com/sap/support/notes/1717518","1717518")</f>
        <v>1717518</v>
      </c>
      <c r="E7449">
        <v>1</v>
      </c>
      <c r="F7449" t="s">
        <v>6391</v>
      </c>
    </row>
    <row r="7450" spans="1:6" x14ac:dyDescent="0.25">
      <c r="A7450" t="s">
        <v>6317</v>
      </c>
      <c r="B7450" t="s">
        <v>474</v>
      </c>
      <c r="C7450" t="s">
        <v>475</v>
      </c>
      <c r="D7450" t="str">
        <f>HYPERLINK("http://service.sap.com/sap/support/notes/1720470","1720470")</f>
        <v>1720470</v>
      </c>
      <c r="E7450">
        <v>1</v>
      </c>
      <c r="F7450" t="s">
        <v>6392</v>
      </c>
    </row>
    <row r="7451" spans="1:6" x14ac:dyDescent="0.25">
      <c r="A7451" t="s">
        <v>6317</v>
      </c>
      <c r="B7451" t="s">
        <v>474</v>
      </c>
      <c r="C7451" t="s">
        <v>475</v>
      </c>
      <c r="D7451" t="str">
        <f>HYPERLINK("http://service.sap.com/sap/support/notes/1720590","1720590")</f>
        <v>1720590</v>
      </c>
      <c r="E7451">
        <v>2</v>
      </c>
      <c r="F7451" t="s">
        <v>6393</v>
      </c>
    </row>
    <row r="7452" spans="1:6" x14ac:dyDescent="0.25">
      <c r="A7452" t="s">
        <v>6317</v>
      </c>
      <c r="B7452" t="s">
        <v>72</v>
      </c>
      <c r="C7452" t="s">
        <v>73</v>
      </c>
    </row>
    <row r="7453" spans="1:6" x14ac:dyDescent="0.25">
      <c r="A7453" t="s">
        <v>6317</v>
      </c>
      <c r="B7453" t="s">
        <v>364</v>
      </c>
      <c r="C7453" t="s">
        <v>365</v>
      </c>
      <c r="D7453" t="str">
        <f>HYPERLINK("http://service.sap.com/sap/support/notes/1704097","1704097")</f>
        <v>1704097</v>
      </c>
      <c r="E7453">
        <v>2</v>
      </c>
      <c r="F7453" t="s">
        <v>3792</v>
      </c>
    </row>
    <row r="7454" spans="1:6" x14ac:dyDescent="0.25">
      <c r="A7454" t="s">
        <v>6317</v>
      </c>
      <c r="B7454" t="s">
        <v>281</v>
      </c>
      <c r="C7454" t="s">
        <v>368</v>
      </c>
    </row>
    <row r="7455" spans="1:6" x14ac:dyDescent="0.25">
      <c r="A7455" t="s">
        <v>6317</v>
      </c>
      <c r="B7455" t="s">
        <v>282</v>
      </c>
      <c r="C7455" t="s">
        <v>369</v>
      </c>
      <c r="D7455" t="str">
        <f>HYPERLINK("http://service.sap.com/sap/support/notes/1448255","1448255")</f>
        <v>1448255</v>
      </c>
      <c r="E7455">
        <v>2</v>
      </c>
      <c r="F7455" t="s">
        <v>6394</v>
      </c>
    </row>
    <row r="7456" spans="1:6" x14ac:dyDescent="0.25">
      <c r="A7456" t="s">
        <v>6317</v>
      </c>
      <c r="B7456" t="s">
        <v>282</v>
      </c>
      <c r="C7456" t="s">
        <v>369</v>
      </c>
      <c r="D7456" t="str">
        <f>HYPERLINK("http://service.sap.com/sap/support/notes/1672759","1672759")</f>
        <v>1672759</v>
      </c>
      <c r="E7456">
        <v>2</v>
      </c>
      <c r="F7456" t="s">
        <v>6395</v>
      </c>
    </row>
    <row r="7457" spans="1:6" x14ac:dyDescent="0.25">
      <c r="A7457" t="s">
        <v>6317</v>
      </c>
      <c r="B7457" t="s">
        <v>282</v>
      </c>
      <c r="C7457" t="s">
        <v>369</v>
      </c>
      <c r="D7457" t="str">
        <f>HYPERLINK("http://service.sap.com/sap/support/notes/1704708","1704708")</f>
        <v>1704708</v>
      </c>
      <c r="E7457">
        <v>1</v>
      </c>
      <c r="F7457" t="s">
        <v>6396</v>
      </c>
    </row>
    <row r="7458" spans="1:6" x14ac:dyDescent="0.25">
      <c r="A7458" t="s">
        <v>6317</v>
      </c>
      <c r="B7458" t="s">
        <v>284</v>
      </c>
      <c r="C7458" t="s">
        <v>393</v>
      </c>
    </row>
    <row r="7459" spans="1:6" x14ac:dyDescent="0.25">
      <c r="A7459" t="s">
        <v>6317</v>
      </c>
      <c r="B7459" t="s">
        <v>291</v>
      </c>
      <c r="C7459" t="s">
        <v>292</v>
      </c>
      <c r="D7459" t="str">
        <f>HYPERLINK("http://service.sap.com/sap/support/notes/1711974","1711974")</f>
        <v>1711974</v>
      </c>
      <c r="E7459">
        <v>1</v>
      </c>
      <c r="F7459" t="s">
        <v>6397</v>
      </c>
    </row>
    <row r="7460" spans="1:6" x14ac:dyDescent="0.25">
      <c r="A7460" t="s">
        <v>6317</v>
      </c>
      <c r="B7460" t="s">
        <v>291</v>
      </c>
      <c r="C7460" t="s">
        <v>292</v>
      </c>
      <c r="D7460" t="str">
        <f>HYPERLINK("http://service.sap.com/sap/support/notes/1711979","1711979")</f>
        <v>1711979</v>
      </c>
      <c r="E7460">
        <v>1</v>
      </c>
      <c r="F7460" t="s">
        <v>6398</v>
      </c>
    </row>
    <row r="7461" spans="1:6" x14ac:dyDescent="0.25">
      <c r="A7461" t="s">
        <v>6317</v>
      </c>
      <c r="B7461" t="s">
        <v>293</v>
      </c>
      <c r="C7461" t="s">
        <v>587</v>
      </c>
    </row>
    <row r="7462" spans="1:6" x14ac:dyDescent="0.25">
      <c r="A7462" t="s">
        <v>6317</v>
      </c>
      <c r="B7462" t="s">
        <v>298</v>
      </c>
      <c r="C7462" t="s">
        <v>588</v>
      </c>
    </row>
    <row r="7463" spans="1:6" x14ac:dyDescent="0.25">
      <c r="A7463" t="s">
        <v>6317</v>
      </c>
      <c r="B7463" t="s">
        <v>589</v>
      </c>
      <c r="C7463" t="s">
        <v>443</v>
      </c>
      <c r="D7463" t="str">
        <f>HYPERLINK("http://service.sap.com/sap/support/notes/1686213","1686213")</f>
        <v>1686213</v>
      </c>
      <c r="E7463">
        <v>3</v>
      </c>
      <c r="F7463" t="s">
        <v>6399</v>
      </c>
    </row>
    <row r="7464" spans="1:6" x14ac:dyDescent="0.25">
      <c r="A7464" t="s">
        <v>6317</v>
      </c>
      <c r="B7464" t="s">
        <v>589</v>
      </c>
      <c r="C7464" t="s">
        <v>443</v>
      </c>
      <c r="D7464" t="str">
        <f>HYPERLINK("http://service.sap.com/sap/support/notes/1689866","1689866")</f>
        <v>1689866</v>
      </c>
      <c r="E7464">
        <v>1</v>
      </c>
      <c r="F7464" t="s">
        <v>6400</v>
      </c>
    </row>
    <row r="7465" spans="1:6" x14ac:dyDescent="0.25">
      <c r="A7465" t="s">
        <v>6317</v>
      </c>
      <c r="B7465" t="s">
        <v>589</v>
      </c>
      <c r="C7465" t="s">
        <v>443</v>
      </c>
      <c r="D7465" t="str">
        <f>HYPERLINK("http://service.sap.com/sap/support/notes/1699969","1699969")</f>
        <v>1699969</v>
      </c>
      <c r="E7465">
        <v>3</v>
      </c>
      <c r="F7465" t="s">
        <v>6288</v>
      </c>
    </row>
    <row r="7466" spans="1:6" x14ac:dyDescent="0.25">
      <c r="A7466" t="s">
        <v>6317</v>
      </c>
      <c r="B7466" t="s">
        <v>589</v>
      </c>
      <c r="C7466" t="s">
        <v>443</v>
      </c>
      <c r="D7466" t="str">
        <f>HYPERLINK("http://service.sap.com/sap/support/notes/1701664","1701664")</f>
        <v>1701664</v>
      </c>
      <c r="E7466">
        <v>6</v>
      </c>
      <c r="F7466" t="s">
        <v>6401</v>
      </c>
    </row>
    <row r="7467" spans="1:6" x14ac:dyDescent="0.25">
      <c r="A7467" t="s">
        <v>6317</v>
      </c>
      <c r="B7467" t="s">
        <v>589</v>
      </c>
      <c r="C7467" t="s">
        <v>443</v>
      </c>
      <c r="D7467" t="str">
        <f>HYPERLINK("http://service.sap.com/sap/support/notes/1703207","1703207")</f>
        <v>1703207</v>
      </c>
      <c r="E7467">
        <v>2</v>
      </c>
      <c r="F7467" t="s">
        <v>6402</v>
      </c>
    </row>
    <row r="7468" spans="1:6" x14ac:dyDescent="0.25">
      <c r="A7468" t="s">
        <v>6317</v>
      </c>
      <c r="B7468" t="s">
        <v>589</v>
      </c>
      <c r="C7468" t="s">
        <v>443</v>
      </c>
      <c r="D7468" t="str">
        <f>HYPERLINK("http://service.sap.com/sap/support/notes/1706680","1706680")</f>
        <v>1706680</v>
      </c>
      <c r="E7468">
        <v>3</v>
      </c>
      <c r="F7468" t="s">
        <v>6403</v>
      </c>
    </row>
    <row r="7469" spans="1:6" x14ac:dyDescent="0.25">
      <c r="A7469" t="s">
        <v>6317</v>
      </c>
      <c r="B7469" t="s">
        <v>589</v>
      </c>
      <c r="C7469" t="s">
        <v>443</v>
      </c>
      <c r="D7469" t="str">
        <f>HYPERLINK("http://service.sap.com/sap/support/notes/1711312","1711312")</f>
        <v>1711312</v>
      </c>
      <c r="E7469">
        <v>2</v>
      </c>
      <c r="F7469" t="s">
        <v>5530</v>
      </c>
    </row>
    <row r="7470" spans="1:6" x14ac:dyDescent="0.25">
      <c r="A7470" t="s">
        <v>6317</v>
      </c>
      <c r="B7470" t="s">
        <v>589</v>
      </c>
      <c r="C7470" t="s">
        <v>443</v>
      </c>
      <c r="D7470" t="str">
        <f>HYPERLINK("http://service.sap.com/sap/support/notes/1713483","1713483")</f>
        <v>1713483</v>
      </c>
      <c r="E7470">
        <v>1</v>
      </c>
      <c r="F7470" t="s">
        <v>6404</v>
      </c>
    </row>
    <row r="7471" spans="1:6" x14ac:dyDescent="0.25">
      <c r="A7471" t="s">
        <v>6317</v>
      </c>
      <c r="B7471" t="s">
        <v>589</v>
      </c>
      <c r="C7471" t="s">
        <v>443</v>
      </c>
      <c r="D7471" t="str">
        <f>HYPERLINK("http://service.sap.com/sap/support/notes/1713615","1713615")</f>
        <v>1713615</v>
      </c>
      <c r="E7471">
        <v>1</v>
      </c>
      <c r="F7471" t="s">
        <v>6405</v>
      </c>
    </row>
    <row r="7472" spans="1:6" x14ac:dyDescent="0.25">
      <c r="A7472" t="s">
        <v>6317</v>
      </c>
      <c r="B7472" t="s">
        <v>589</v>
      </c>
      <c r="C7472" t="s">
        <v>443</v>
      </c>
      <c r="D7472" t="str">
        <f>HYPERLINK("http://service.sap.com/sap/support/notes/1714955","1714955")</f>
        <v>1714955</v>
      </c>
      <c r="E7472">
        <v>2</v>
      </c>
      <c r="F7472" t="s">
        <v>6406</v>
      </c>
    </row>
    <row r="7473" spans="1:6" x14ac:dyDescent="0.25">
      <c r="A7473" t="s">
        <v>6317</v>
      </c>
      <c r="B7473" t="s">
        <v>589</v>
      </c>
      <c r="C7473" t="s">
        <v>443</v>
      </c>
      <c r="D7473" t="str">
        <f>HYPERLINK("http://service.sap.com/sap/support/notes/1715619","1715619")</f>
        <v>1715619</v>
      </c>
      <c r="E7473">
        <v>3</v>
      </c>
      <c r="F7473" t="s">
        <v>6407</v>
      </c>
    </row>
    <row r="7474" spans="1:6" x14ac:dyDescent="0.25">
      <c r="A7474" t="s">
        <v>6317</v>
      </c>
      <c r="B7474" t="s">
        <v>589</v>
      </c>
      <c r="C7474" t="s">
        <v>443</v>
      </c>
      <c r="D7474" t="str">
        <f>HYPERLINK("http://service.sap.com/sap/support/notes/1715852","1715852")</f>
        <v>1715852</v>
      </c>
      <c r="E7474">
        <v>1</v>
      </c>
      <c r="F7474" t="s">
        <v>6408</v>
      </c>
    </row>
    <row r="7475" spans="1:6" x14ac:dyDescent="0.25">
      <c r="A7475" t="s">
        <v>6317</v>
      </c>
      <c r="B7475" t="s">
        <v>76</v>
      </c>
      <c r="C7475" t="s">
        <v>77</v>
      </c>
    </row>
    <row r="7476" spans="1:6" x14ac:dyDescent="0.25">
      <c r="A7476" t="s">
        <v>6317</v>
      </c>
      <c r="B7476" t="s">
        <v>83</v>
      </c>
      <c r="C7476" t="s">
        <v>84</v>
      </c>
      <c r="D7476" t="str">
        <f>HYPERLINK("http://service.sap.com/sap/support/notes/1660259","1660259")</f>
        <v>1660259</v>
      </c>
      <c r="E7476">
        <v>3</v>
      </c>
      <c r="F7476" t="s">
        <v>3837</v>
      </c>
    </row>
    <row r="7477" spans="1:6" x14ac:dyDescent="0.25">
      <c r="A7477" t="s">
        <v>6317</v>
      </c>
      <c r="B7477" t="s">
        <v>83</v>
      </c>
      <c r="C7477" t="s">
        <v>84</v>
      </c>
      <c r="D7477" t="str">
        <f>HYPERLINK("http://service.sap.com/sap/support/notes/1711384","1711384")</f>
        <v>1711384</v>
      </c>
      <c r="E7477">
        <v>1</v>
      </c>
      <c r="F7477" t="s">
        <v>6409</v>
      </c>
    </row>
    <row r="7478" spans="1:6" x14ac:dyDescent="0.25">
      <c r="A7478" t="s">
        <v>6317</v>
      </c>
      <c r="B7478" t="s">
        <v>83</v>
      </c>
      <c r="C7478" t="s">
        <v>84</v>
      </c>
      <c r="D7478" t="str">
        <f>HYPERLINK("http://service.sap.com/sap/support/notes/1714332","1714332")</f>
        <v>1714332</v>
      </c>
      <c r="E7478">
        <v>1</v>
      </c>
      <c r="F7478" t="s">
        <v>6410</v>
      </c>
    </row>
    <row r="7479" spans="1:6" x14ac:dyDescent="0.25">
      <c r="A7479" t="s">
        <v>6317</v>
      </c>
      <c r="B7479" t="s">
        <v>83</v>
      </c>
      <c r="C7479" t="s">
        <v>84</v>
      </c>
      <c r="D7479" t="str">
        <f>HYPERLINK("http://service.sap.com/sap/support/notes/1715446","1715446")</f>
        <v>1715446</v>
      </c>
      <c r="E7479">
        <v>1</v>
      </c>
      <c r="F7479" t="s">
        <v>3847</v>
      </c>
    </row>
    <row r="7480" spans="1:6" x14ac:dyDescent="0.25">
      <c r="A7480" t="s">
        <v>6317</v>
      </c>
      <c r="B7480" t="s">
        <v>83</v>
      </c>
      <c r="C7480" t="s">
        <v>84</v>
      </c>
      <c r="D7480" t="str">
        <f>HYPERLINK("http://service.sap.com/sap/support/notes/1719596","1719596")</f>
        <v>1719596</v>
      </c>
      <c r="E7480">
        <v>2</v>
      </c>
      <c r="F7480" t="s">
        <v>3850</v>
      </c>
    </row>
    <row r="7481" spans="1:6" x14ac:dyDescent="0.25">
      <c r="A7481" t="s">
        <v>6317</v>
      </c>
      <c r="B7481" t="s">
        <v>86</v>
      </c>
      <c r="C7481" t="s">
        <v>87</v>
      </c>
      <c r="D7481" t="str">
        <f>HYPERLINK("http://service.sap.com/sap/support/notes/1711175","1711175")</f>
        <v>1711175</v>
      </c>
      <c r="E7481">
        <v>1</v>
      </c>
      <c r="F7481" t="s">
        <v>6411</v>
      </c>
    </row>
    <row r="7482" spans="1:6" x14ac:dyDescent="0.25">
      <c r="A7482" t="s">
        <v>6317</v>
      </c>
      <c r="B7482" t="s">
        <v>86</v>
      </c>
      <c r="C7482" t="s">
        <v>87</v>
      </c>
      <c r="D7482" t="str">
        <f>HYPERLINK("http://service.sap.com/sap/support/notes/1711244","1711244")</f>
        <v>1711244</v>
      </c>
      <c r="E7482">
        <v>1</v>
      </c>
      <c r="F7482" t="s">
        <v>6412</v>
      </c>
    </row>
    <row r="7483" spans="1:6" x14ac:dyDescent="0.25">
      <c r="A7483" t="s">
        <v>6317</v>
      </c>
      <c r="B7483" t="s">
        <v>86</v>
      </c>
      <c r="C7483" t="s">
        <v>87</v>
      </c>
      <c r="D7483" t="str">
        <f>HYPERLINK("http://service.sap.com/sap/support/notes/1711963","1711963")</f>
        <v>1711963</v>
      </c>
      <c r="E7483">
        <v>1</v>
      </c>
      <c r="F7483" t="s">
        <v>6413</v>
      </c>
    </row>
    <row r="7484" spans="1:6" x14ac:dyDescent="0.25">
      <c r="A7484" t="s">
        <v>6317</v>
      </c>
      <c r="B7484" t="s">
        <v>86</v>
      </c>
      <c r="C7484" t="s">
        <v>87</v>
      </c>
      <c r="D7484" t="str">
        <f>HYPERLINK("http://service.sap.com/sap/support/notes/1712834","1712834")</f>
        <v>1712834</v>
      </c>
      <c r="E7484">
        <v>1</v>
      </c>
      <c r="F7484" t="s">
        <v>6414</v>
      </c>
    </row>
    <row r="7485" spans="1:6" x14ac:dyDescent="0.25">
      <c r="A7485" t="s">
        <v>6317</v>
      </c>
      <c r="B7485" t="s">
        <v>86</v>
      </c>
      <c r="C7485" t="s">
        <v>87</v>
      </c>
      <c r="D7485" t="str">
        <f>HYPERLINK("http://service.sap.com/sap/support/notes/1712886","1712886")</f>
        <v>1712886</v>
      </c>
      <c r="E7485">
        <v>1</v>
      </c>
      <c r="F7485" t="s">
        <v>6415</v>
      </c>
    </row>
    <row r="7486" spans="1:6" x14ac:dyDescent="0.25">
      <c r="A7486" t="s">
        <v>6317</v>
      </c>
      <c r="B7486" t="s">
        <v>86</v>
      </c>
      <c r="C7486" t="s">
        <v>87</v>
      </c>
      <c r="D7486" t="str">
        <f>HYPERLINK("http://service.sap.com/sap/support/notes/1713285","1713285")</f>
        <v>1713285</v>
      </c>
      <c r="E7486">
        <v>1</v>
      </c>
      <c r="F7486" t="s">
        <v>6416</v>
      </c>
    </row>
    <row r="7487" spans="1:6" x14ac:dyDescent="0.25">
      <c r="A7487" t="s">
        <v>6317</v>
      </c>
      <c r="B7487" t="s">
        <v>86</v>
      </c>
      <c r="C7487" t="s">
        <v>87</v>
      </c>
      <c r="D7487" t="str">
        <f>HYPERLINK("http://service.sap.com/sap/support/notes/1713299","1713299")</f>
        <v>1713299</v>
      </c>
      <c r="E7487">
        <v>1</v>
      </c>
      <c r="F7487" t="s">
        <v>6417</v>
      </c>
    </row>
    <row r="7488" spans="1:6" x14ac:dyDescent="0.25">
      <c r="A7488" t="s">
        <v>6317</v>
      </c>
      <c r="B7488" t="s">
        <v>86</v>
      </c>
      <c r="C7488" t="s">
        <v>87</v>
      </c>
      <c r="D7488" t="str">
        <f>HYPERLINK("http://service.sap.com/sap/support/notes/1713400","1713400")</f>
        <v>1713400</v>
      </c>
      <c r="E7488">
        <v>1</v>
      </c>
      <c r="F7488" t="s">
        <v>6418</v>
      </c>
    </row>
    <row r="7489" spans="1:6" x14ac:dyDescent="0.25">
      <c r="A7489" t="s">
        <v>6317</v>
      </c>
      <c r="B7489" t="s">
        <v>86</v>
      </c>
      <c r="C7489" t="s">
        <v>87</v>
      </c>
      <c r="D7489" t="str">
        <f>HYPERLINK("http://service.sap.com/sap/support/notes/1714308","1714308")</f>
        <v>1714308</v>
      </c>
      <c r="E7489">
        <v>1</v>
      </c>
      <c r="F7489" t="s">
        <v>6414</v>
      </c>
    </row>
    <row r="7490" spans="1:6" x14ac:dyDescent="0.25">
      <c r="A7490" t="s">
        <v>6317</v>
      </c>
      <c r="B7490" t="s">
        <v>86</v>
      </c>
      <c r="C7490" t="s">
        <v>87</v>
      </c>
      <c r="D7490" t="str">
        <f>HYPERLINK("http://service.sap.com/sap/support/notes/1714409","1714409")</f>
        <v>1714409</v>
      </c>
      <c r="E7490">
        <v>1</v>
      </c>
      <c r="F7490" t="s">
        <v>6419</v>
      </c>
    </row>
    <row r="7491" spans="1:6" x14ac:dyDescent="0.25">
      <c r="A7491" t="s">
        <v>6317</v>
      </c>
      <c r="B7491" t="s">
        <v>86</v>
      </c>
      <c r="C7491" t="s">
        <v>87</v>
      </c>
      <c r="D7491" t="str">
        <f>HYPERLINK("http://service.sap.com/sap/support/notes/1715447","1715447")</f>
        <v>1715447</v>
      </c>
      <c r="E7491">
        <v>1</v>
      </c>
      <c r="F7491" t="s">
        <v>6420</v>
      </c>
    </row>
    <row r="7492" spans="1:6" x14ac:dyDescent="0.25">
      <c r="A7492" t="s">
        <v>6317</v>
      </c>
      <c r="B7492" t="s">
        <v>86</v>
      </c>
      <c r="C7492" t="s">
        <v>87</v>
      </c>
      <c r="D7492" t="str">
        <f>HYPERLINK("http://service.sap.com/sap/support/notes/1716617","1716617")</f>
        <v>1716617</v>
      </c>
      <c r="E7492">
        <v>1</v>
      </c>
      <c r="F7492" t="s">
        <v>6421</v>
      </c>
    </row>
    <row r="7493" spans="1:6" x14ac:dyDescent="0.25">
      <c r="A7493" t="s">
        <v>6317</v>
      </c>
      <c r="B7493" t="s">
        <v>94</v>
      </c>
      <c r="C7493" t="s">
        <v>95</v>
      </c>
      <c r="D7493" t="str">
        <f>HYPERLINK("http://service.sap.com/sap/support/notes/1604276","1604276")</f>
        <v>1604276</v>
      </c>
      <c r="E7493">
        <v>2</v>
      </c>
      <c r="F7493" t="s">
        <v>6422</v>
      </c>
    </row>
    <row r="7494" spans="1:6" x14ac:dyDescent="0.25">
      <c r="A7494" t="s">
        <v>6317</v>
      </c>
      <c r="B7494" t="s">
        <v>94</v>
      </c>
      <c r="C7494" t="s">
        <v>95</v>
      </c>
      <c r="D7494" t="str">
        <f>HYPERLINK("http://service.sap.com/sap/support/notes/1674609","1674609")</f>
        <v>1674609</v>
      </c>
      <c r="E7494">
        <v>1</v>
      </c>
      <c r="F7494" t="s">
        <v>6423</v>
      </c>
    </row>
    <row r="7495" spans="1:6" x14ac:dyDescent="0.25">
      <c r="A7495" t="s">
        <v>6317</v>
      </c>
      <c r="B7495" t="s">
        <v>139</v>
      </c>
      <c r="C7495" t="s">
        <v>140</v>
      </c>
    </row>
    <row r="7496" spans="1:6" x14ac:dyDescent="0.25">
      <c r="A7496" t="s">
        <v>6317</v>
      </c>
      <c r="B7496" t="s">
        <v>322</v>
      </c>
      <c r="C7496" t="s">
        <v>115</v>
      </c>
    </row>
    <row r="7497" spans="1:6" x14ac:dyDescent="0.25">
      <c r="A7497" t="s">
        <v>6317</v>
      </c>
      <c r="B7497" t="s">
        <v>427</v>
      </c>
      <c r="C7497" t="s">
        <v>428</v>
      </c>
      <c r="D7497" t="str">
        <f>HYPERLINK("http://service.sap.com/sap/support/notes/1711774","1711774")</f>
        <v>1711774</v>
      </c>
      <c r="E7497">
        <v>1</v>
      </c>
      <c r="F7497" t="s">
        <v>6424</v>
      </c>
    </row>
    <row r="7498" spans="1:6" x14ac:dyDescent="0.25">
      <c r="A7498" t="s">
        <v>6317</v>
      </c>
      <c r="B7498" t="s">
        <v>179</v>
      </c>
      <c r="C7498" t="s">
        <v>180</v>
      </c>
      <c r="D7498" t="str">
        <f>HYPERLINK("http://service.sap.com/sap/support/notes/1710682","1710682")</f>
        <v>1710682</v>
      </c>
      <c r="E7498">
        <v>1</v>
      </c>
      <c r="F7498" t="s">
        <v>4088</v>
      </c>
    </row>
    <row r="7499" spans="1:6" x14ac:dyDescent="0.25">
      <c r="A7499" t="s">
        <v>6317</v>
      </c>
      <c r="B7499" t="s">
        <v>179</v>
      </c>
      <c r="C7499" t="s">
        <v>180</v>
      </c>
      <c r="D7499" t="str">
        <f>HYPERLINK("http://service.sap.com/sap/support/notes/1712619","1712619")</f>
        <v>1712619</v>
      </c>
      <c r="E7499">
        <v>1</v>
      </c>
      <c r="F7499" t="s">
        <v>4089</v>
      </c>
    </row>
    <row r="7500" spans="1:6" x14ac:dyDescent="0.25">
      <c r="A7500" t="s">
        <v>6317</v>
      </c>
      <c r="B7500" t="s">
        <v>179</v>
      </c>
      <c r="C7500" t="s">
        <v>180</v>
      </c>
      <c r="D7500" t="str">
        <f>HYPERLINK("http://service.sap.com/sap/support/notes/1713643","1713643")</f>
        <v>1713643</v>
      </c>
      <c r="E7500">
        <v>2</v>
      </c>
      <c r="F7500" t="s">
        <v>4090</v>
      </c>
    </row>
    <row r="7501" spans="1:6" x14ac:dyDescent="0.25">
      <c r="A7501" t="s">
        <v>6317</v>
      </c>
      <c r="B7501" t="s">
        <v>179</v>
      </c>
      <c r="C7501" t="s">
        <v>180</v>
      </c>
      <c r="D7501" t="str">
        <f>HYPERLINK("http://service.sap.com/sap/support/notes/1717513","1717513")</f>
        <v>1717513</v>
      </c>
      <c r="E7501">
        <v>3</v>
      </c>
      <c r="F7501" t="s">
        <v>4091</v>
      </c>
    </row>
    <row r="7502" spans="1:6" x14ac:dyDescent="0.25">
      <c r="A7502" t="s">
        <v>6317</v>
      </c>
      <c r="B7502" t="s">
        <v>179</v>
      </c>
      <c r="C7502" t="s">
        <v>180</v>
      </c>
      <c r="D7502" t="str">
        <f>HYPERLINK("http://service.sap.com/sap/support/notes/1718199","1718199")</f>
        <v>1718199</v>
      </c>
      <c r="E7502">
        <v>1</v>
      </c>
      <c r="F7502" t="s">
        <v>6425</v>
      </c>
    </row>
    <row r="7503" spans="1:6" x14ac:dyDescent="0.25">
      <c r="A7503" t="s">
        <v>6317</v>
      </c>
      <c r="B7503" t="s">
        <v>179</v>
      </c>
      <c r="C7503" t="s">
        <v>180</v>
      </c>
      <c r="D7503" t="str">
        <f>HYPERLINK("http://service.sap.com/sap/support/notes/1718325","1718325")</f>
        <v>1718325</v>
      </c>
      <c r="E7503">
        <v>1</v>
      </c>
      <c r="F7503" t="s">
        <v>6426</v>
      </c>
    </row>
    <row r="7504" spans="1:6" x14ac:dyDescent="0.25">
      <c r="A7504" t="s">
        <v>6317</v>
      </c>
      <c r="B7504" t="s">
        <v>181</v>
      </c>
      <c r="C7504" t="s">
        <v>182</v>
      </c>
    </row>
    <row r="7505" spans="1:6" x14ac:dyDescent="0.25">
      <c r="A7505" t="s">
        <v>6317</v>
      </c>
      <c r="B7505" t="s">
        <v>183</v>
      </c>
      <c r="C7505" t="s">
        <v>184</v>
      </c>
      <c r="D7505" t="str">
        <f>HYPERLINK("http://service.sap.com/sap/support/notes/1664900","1664900")</f>
        <v>1664900</v>
      </c>
      <c r="E7505">
        <v>4</v>
      </c>
      <c r="F7505" t="s">
        <v>6427</v>
      </c>
    </row>
    <row r="7506" spans="1:6" x14ac:dyDescent="0.25">
      <c r="A7506" t="s">
        <v>6317</v>
      </c>
      <c r="B7506" t="s">
        <v>183</v>
      </c>
      <c r="C7506" t="s">
        <v>184</v>
      </c>
      <c r="D7506" t="str">
        <f>HYPERLINK("http://service.sap.com/sap/support/notes/1671757","1671757")</f>
        <v>1671757</v>
      </c>
      <c r="E7506">
        <v>2</v>
      </c>
      <c r="F7506" t="s">
        <v>6428</v>
      </c>
    </row>
    <row r="7507" spans="1:6" x14ac:dyDescent="0.25">
      <c r="A7507" t="s">
        <v>6317</v>
      </c>
      <c r="B7507" t="s">
        <v>191</v>
      </c>
      <c r="C7507" t="s">
        <v>62</v>
      </c>
    </row>
    <row r="7508" spans="1:6" x14ac:dyDescent="0.25">
      <c r="A7508" t="s">
        <v>6317</v>
      </c>
      <c r="B7508" t="s">
        <v>478</v>
      </c>
      <c r="C7508" t="s">
        <v>479</v>
      </c>
      <c r="D7508" t="str">
        <f>HYPERLINK("http://service.sap.com/sap/support/notes/1623972","1623972")</f>
        <v>1623972</v>
      </c>
      <c r="E7508">
        <v>2</v>
      </c>
      <c r="F7508" t="s">
        <v>6429</v>
      </c>
    </row>
    <row r="7509" spans="1:6" x14ac:dyDescent="0.25">
      <c r="A7509" t="s">
        <v>6317</v>
      </c>
      <c r="B7509" t="s">
        <v>203</v>
      </c>
      <c r="C7509" t="s">
        <v>204</v>
      </c>
    </row>
    <row r="7510" spans="1:6" x14ac:dyDescent="0.25">
      <c r="A7510" t="s">
        <v>6317</v>
      </c>
      <c r="B7510" t="s">
        <v>337</v>
      </c>
      <c r="C7510" t="s">
        <v>634</v>
      </c>
      <c r="D7510" t="str">
        <f>HYPERLINK("http://service.sap.com/sap/support/notes/1700665","1700665")</f>
        <v>1700665</v>
      </c>
      <c r="E7510">
        <v>2</v>
      </c>
      <c r="F7510" t="s">
        <v>6430</v>
      </c>
    </row>
    <row r="7511" spans="1:6" x14ac:dyDescent="0.25">
      <c r="A7511" t="s">
        <v>6317</v>
      </c>
      <c r="B7511" t="s">
        <v>337</v>
      </c>
      <c r="C7511" t="s">
        <v>634</v>
      </c>
      <c r="D7511" t="str">
        <f>HYPERLINK("http://service.sap.com/sap/support/notes/1710991","1710991")</f>
        <v>1710991</v>
      </c>
      <c r="E7511">
        <v>2</v>
      </c>
      <c r="F7511" t="s">
        <v>6431</v>
      </c>
    </row>
    <row r="7512" spans="1:6" x14ac:dyDescent="0.25">
      <c r="A7512" t="s">
        <v>6317</v>
      </c>
      <c r="B7512" t="s">
        <v>337</v>
      </c>
      <c r="C7512" t="s">
        <v>634</v>
      </c>
      <c r="D7512" t="str">
        <f>HYPERLINK("http://service.sap.com/sap/support/notes/1711966","1711966")</f>
        <v>1711966</v>
      </c>
      <c r="E7512">
        <v>2</v>
      </c>
      <c r="F7512" t="s">
        <v>6432</v>
      </c>
    </row>
    <row r="7513" spans="1:6" x14ac:dyDescent="0.25">
      <c r="A7513" t="s">
        <v>6317</v>
      </c>
      <c r="B7513" t="s">
        <v>537</v>
      </c>
      <c r="C7513" t="s">
        <v>538</v>
      </c>
      <c r="D7513" t="str">
        <f>HYPERLINK("http://service.sap.com/sap/support/notes/1695761","1695761")</f>
        <v>1695761</v>
      </c>
      <c r="E7513">
        <v>2</v>
      </c>
      <c r="F7513" t="s">
        <v>6433</v>
      </c>
    </row>
    <row r="7514" spans="1:6" x14ac:dyDescent="0.25">
      <c r="A7514" t="s">
        <v>6317</v>
      </c>
      <c r="B7514" t="s">
        <v>537</v>
      </c>
      <c r="C7514" t="s">
        <v>538</v>
      </c>
      <c r="D7514" t="str">
        <f>HYPERLINK("http://service.sap.com/sap/support/notes/1707677","1707677")</f>
        <v>1707677</v>
      </c>
      <c r="E7514">
        <v>2</v>
      </c>
      <c r="F7514" t="s">
        <v>6434</v>
      </c>
    </row>
    <row r="7515" spans="1:6" x14ac:dyDescent="0.25">
      <c r="A7515" t="s">
        <v>6317</v>
      </c>
      <c r="B7515" t="s">
        <v>348</v>
      </c>
      <c r="C7515" t="s">
        <v>349</v>
      </c>
      <c r="D7515" t="str">
        <f>HYPERLINK("http://service.sap.com/sap/support/notes/1719069","1719069")</f>
        <v>1719069</v>
      </c>
      <c r="E7515">
        <v>1</v>
      </c>
      <c r="F7515" t="s">
        <v>6435</v>
      </c>
    </row>
    <row r="7516" spans="1:6" x14ac:dyDescent="0.25">
      <c r="A7516" t="s">
        <v>6317</v>
      </c>
      <c r="B7516" t="s">
        <v>205</v>
      </c>
      <c r="C7516" t="s">
        <v>206</v>
      </c>
      <c r="D7516" t="str">
        <f>HYPERLINK("http://service.sap.com/sap/support/notes/1600742","1600742")</f>
        <v>1600742</v>
      </c>
      <c r="E7516">
        <v>1</v>
      </c>
      <c r="F7516" t="s">
        <v>1801</v>
      </c>
    </row>
    <row r="7517" spans="1:6" x14ac:dyDescent="0.25">
      <c r="A7517" t="s">
        <v>6317</v>
      </c>
      <c r="B7517" t="s">
        <v>207</v>
      </c>
      <c r="C7517" t="s">
        <v>208</v>
      </c>
    </row>
    <row r="7518" spans="1:6" x14ac:dyDescent="0.25">
      <c r="A7518" t="s">
        <v>6317</v>
      </c>
      <c r="B7518" t="s">
        <v>209</v>
      </c>
      <c r="C7518" t="s">
        <v>210</v>
      </c>
    </row>
    <row r="7519" spans="1:6" x14ac:dyDescent="0.25">
      <c r="A7519" t="s">
        <v>6317</v>
      </c>
      <c r="B7519" t="s">
        <v>790</v>
      </c>
      <c r="C7519" t="s">
        <v>791</v>
      </c>
    </row>
    <row r="7520" spans="1:6" x14ac:dyDescent="0.25">
      <c r="A7520" t="s">
        <v>6317</v>
      </c>
      <c r="B7520" t="s">
        <v>792</v>
      </c>
      <c r="C7520" t="s">
        <v>655</v>
      </c>
      <c r="D7520" t="str">
        <f>HYPERLINK("http://service.sap.com/sap/support/notes/1709229","1709229")</f>
        <v>1709229</v>
      </c>
      <c r="E7520">
        <v>3</v>
      </c>
      <c r="F7520" t="s">
        <v>6436</v>
      </c>
    </row>
    <row r="7521" spans="1:6" x14ac:dyDescent="0.25">
      <c r="A7521" t="s">
        <v>6317</v>
      </c>
      <c r="B7521" t="s">
        <v>5247</v>
      </c>
      <c r="C7521" t="s">
        <v>5248</v>
      </c>
    </row>
    <row r="7522" spans="1:6" x14ac:dyDescent="0.25">
      <c r="A7522" t="s">
        <v>6317</v>
      </c>
      <c r="B7522" t="s">
        <v>5249</v>
      </c>
      <c r="C7522" t="s">
        <v>655</v>
      </c>
      <c r="D7522" t="str">
        <f>HYPERLINK("http://service.sap.com/sap/support/notes/1714625","1714625")</f>
        <v>1714625</v>
      </c>
      <c r="E7522">
        <v>1</v>
      </c>
      <c r="F7522" t="s">
        <v>6437</v>
      </c>
    </row>
    <row r="7523" spans="1:6" x14ac:dyDescent="0.25">
      <c r="A7523" t="s">
        <v>6317</v>
      </c>
      <c r="B7523" t="s">
        <v>652</v>
      </c>
      <c r="C7523" t="s">
        <v>653</v>
      </c>
    </row>
    <row r="7524" spans="1:6" x14ac:dyDescent="0.25">
      <c r="A7524" t="s">
        <v>6317</v>
      </c>
      <c r="B7524" t="s">
        <v>654</v>
      </c>
      <c r="C7524" t="s">
        <v>655</v>
      </c>
      <c r="D7524" t="str">
        <f>HYPERLINK("http://service.sap.com/sap/support/notes/1702510","1702510")</f>
        <v>1702510</v>
      </c>
      <c r="E7524">
        <v>3</v>
      </c>
      <c r="F7524" t="s">
        <v>6438</v>
      </c>
    </row>
    <row r="7525" spans="1:6" x14ac:dyDescent="0.25">
      <c r="A7525" t="s">
        <v>6317</v>
      </c>
      <c r="B7525" t="s">
        <v>654</v>
      </c>
      <c r="C7525" t="s">
        <v>655</v>
      </c>
      <c r="D7525" t="str">
        <f>HYPERLINK("http://service.sap.com/sap/support/notes/1711171","1711171")</f>
        <v>1711171</v>
      </c>
      <c r="E7525">
        <v>2</v>
      </c>
      <c r="F7525" t="s">
        <v>6439</v>
      </c>
    </row>
    <row r="7526" spans="1:6" x14ac:dyDescent="0.25">
      <c r="A7526" t="s">
        <v>6317</v>
      </c>
      <c r="B7526" t="s">
        <v>389</v>
      </c>
      <c r="C7526" t="s">
        <v>390</v>
      </c>
    </row>
    <row r="7527" spans="1:6" x14ac:dyDescent="0.25">
      <c r="A7527" t="s">
        <v>6317</v>
      </c>
      <c r="B7527" t="s">
        <v>433</v>
      </c>
      <c r="C7527" t="s">
        <v>593</v>
      </c>
      <c r="D7527" t="str">
        <f>HYPERLINK("http://service.sap.com/sap/support/notes/1685794","1685794")</f>
        <v>1685794</v>
      </c>
      <c r="E7527">
        <v>2</v>
      </c>
      <c r="F7527" t="s">
        <v>6440</v>
      </c>
    </row>
    <row r="7528" spans="1:6" x14ac:dyDescent="0.25">
      <c r="A7528" t="s">
        <v>6317</v>
      </c>
      <c r="B7528" t="s">
        <v>5716</v>
      </c>
      <c r="C7528" t="s">
        <v>5717</v>
      </c>
      <c r="D7528" t="str">
        <f>HYPERLINK("http://service.sap.com/sap/support/notes/1711991","1711991")</f>
        <v>1711991</v>
      </c>
      <c r="E7528">
        <v>4</v>
      </c>
      <c r="F7528" t="s">
        <v>6441</v>
      </c>
    </row>
    <row r="7529" spans="1:6" x14ac:dyDescent="0.25">
      <c r="A7529" t="s">
        <v>6442</v>
      </c>
      <c r="B7529" t="s">
        <v>220</v>
      </c>
      <c r="C7529" t="s">
        <v>435</v>
      </c>
    </row>
    <row r="7530" spans="1:6" x14ac:dyDescent="0.25">
      <c r="A7530" t="s">
        <v>6442</v>
      </c>
      <c r="B7530" t="s">
        <v>438</v>
      </c>
      <c r="C7530" t="s">
        <v>439</v>
      </c>
    </row>
    <row r="7531" spans="1:6" x14ac:dyDescent="0.25">
      <c r="A7531" t="s">
        <v>6442</v>
      </c>
      <c r="B7531" t="s">
        <v>440</v>
      </c>
      <c r="C7531" t="s">
        <v>441</v>
      </c>
    </row>
    <row r="7532" spans="1:6" x14ac:dyDescent="0.25">
      <c r="A7532" t="s">
        <v>6442</v>
      </c>
      <c r="B7532" t="s">
        <v>442</v>
      </c>
      <c r="C7532" t="s">
        <v>443</v>
      </c>
      <c r="D7532" t="str">
        <f>HYPERLINK("http://service.sap.com/sap/support/notes/1711889","1711889")</f>
        <v>1711889</v>
      </c>
      <c r="E7532">
        <v>1</v>
      </c>
      <c r="F7532" t="s">
        <v>6443</v>
      </c>
    </row>
    <row r="7533" spans="1:6" x14ac:dyDescent="0.25">
      <c r="A7533" t="s">
        <v>6442</v>
      </c>
      <c r="B7533" t="s">
        <v>15</v>
      </c>
      <c r="C7533" t="s">
        <v>16</v>
      </c>
    </row>
    <row r="7534" spans="1:6" x14ac:dyDescent="0.25">
      <c r="A7534" t="s">
        <v>6442</v>
      </c>
      <c r="B7534" t="s">
        <v>17</v>
      </c>
      <c r="C7534" t="s">
        <v>18</v>
      </c>
      <c r="D7534" t="str">
        <f>HYPERLINK("http://service.sap.com/sap/support/notes/1675632","1675632")</f>
        <v>1675632</v>
      </c>
      <c r="E7534">
        <v>7</v>
      </c>
      <c r="F7534" t="s">
        <v>6106</v>
      </c>
    </row>
    <row r="7535" spans="1:6" x14ac:dyDescent="0.25">
      <c r="A7535" t="s">
        <v>6442</v>
      </c>
      <c r="B7535" t="s">
        <v>17</v>
      </c>
      <c r="C7535" t="s">
        <v>18</v>
      </c>
      <c r="D7535" t="str">
        <f>HYPERLINK("http://service.sap.com/sap/support/notes/1713395","1713395")</f>
        <v>1713395</v>
      </c>
      <c r="E7535">
        <v>1</v>
      </c>
      <c r="F7535" t="s">
        <v>6444</v>
      </c>
    </row>
    <row r="7536" spans="1:6" x14ac:dyDescent="0.25">
      <c r="A7536" t="s">
        <v>6442</v>
      </c>
      <c r="B7536" t="s">
        <v>17</v>
      </c>
      <c r="C7536" t="s">
        <v>18</v>
      </c>
      <c r="D7536" t="str">
        <f>HYPERLINK("http://service.sap.com/sap/support/notes/1724134","1724134")</f>
        <v>1724134</v>
      </c>
      <c r="E7536">
        <v>1</v>
      </c>
      <c r="F7536" t="s">
        <v>6445</v>
      </c>
    </row>
    <row r="7537" spans="1:6" x14ac:dyDescent="0.25">
      <c r="A7537" t="s">
        <v>6442</v>
      </c>
      <c r="B7537" t="s">
        <v>17</v>
      </c>
      <c r="C7537" t="s">
        <v>18</v>
      </c>
      <c r="D7537" t="str">
        <f>HYPERLINK("http://service.sap.com/sap/support/notes/1725532","1725532")</f>
        <v>1725532</v>
      </c>
      <c r="E7537">
        <v>3</v>
      </c>
      <c r="F7537" t="s">
        <v>6446</v>
      </c>
    </row>
    <row r="7538" spans="1:6" x14ac:dyDescent="0.25">
      <c r="A7538" t="s">
        <v>6442</v>
      </c>
      <c r="B7538" t="s">
        <v>19</v>
      </c>
      <c r="C7538" t="s">
        <v>20</v>
      </c>
      <c r="D7538" t="str">
        <f>HYPERLINK("http://service.sap.com/sap/support/notes/1712154","1712154")</f>
        <v>1712154</v>
      </c>
      <c r="E7538">
        <v>4</v>
      </c>
      <c r="F7538" t="s">
        <v>6447</v>
      </c>
    </row>
    <row r="7539" spans="1:6" x14ac:dyDescent="0.25">
      <c r="A7539" t="s">
        <v>6442</v>
      </c>
      <c r="B7539" t="s">
        <v>19</v>
      </c>
      <c r="C7539" t="s">
        <v>20</v>
      </c>
      <c r="D7539" t="str">
        <f>HYPERLINK("http://service.sap.com/sap/support/notes/1712292","1712292")</f>
        <v>1712292</v>
      </c>
      <c r="E7539">
        <v>2</v>
      </c>
      <c r="F7539" t="s">
        <v>6327</v>
      </c>
    </row>
    <row r="7540" spans="1:6" x14ac:dyDescent="0.25">
      <c r="A7540" t="s">
        <v>6442</v>
      </c>
      <c r="B7540" t="s">
        <v>19</v>
      </c>
      <c r="C7540" t="s">
        <v>20</v>
      </c>
      <c r="D7540" t="str">
        <f>HYPERLINK("http://service.sap.com/sap/support/notes/1715741","1715741")</f>
        <v>1715741</v>
      </c>
      <c r="E7540">
        <v>1</v>
      </c>
      <c r="F7540" t="s">
        <v>6448</v>
      </c>
    </row>
    <row r="7541" spans="1:6" x14ac:dyDescent="0.25">
      <c r="A7541" t="s">
        <v>6442</v>
      </c>
      <c r="B7541" t="s">
        <v>19</v>
      </c>
      <c r="C7541" t="s">
        <v>20</v>
      </c>
      <c r="D7541" t="str">
        <f>HYPERLINK("http://service.sap.com/sap/support/notes/1721160","1721160")</f>
        <v>1721160</v>
      </c>
      <c r="E7541">
        <v>3</v>
      </c>
      <c r="F7541" t="s">
        <v>6449</v>
      </c>
    </row>
    <row r="7542" spans="1:6" x14ac:dyDescent="0.25">
      <c r="A7542" t="s">
        <v>6442</v>
      </c>
      <c r="B7542" t="s">
        <v>19</v>
      </c>
      <c r="C7542" t="s">
        <v>20</v>
      </c>
      <c r="D7542" t="str">
        <f>HYPERLINK("http://service.sap.com/sap/support/notes/1722093","1722093")</f>
        <v>1722093</v>
      </c>
      <c r="E7542">
        <v>2</v>
      </c>
      <c r="F7542" t="s">
        <v>6450</v>
      </c>
    </row>
    <row r="7543" spans="1:6" x14ac:dyDescent="0.25">
      <c r="A7543" t="s">
        <v>6442</v>
      </c>
      <c r="B7543" t="s">
        <v>19</v>
      </c>
      <c r="C7543" t="s">
        <v>20</v>
      </c>
      <c r="D7543" t="str">
        <f>HYPERLINK("http://service.sap.com/sap/support/notes/1724985","1724985")</f>
        <v>1724985</v>
      </c>
      <c r="E7543">
        <v>1</v>
      </c>
      <c r="F7543" t="s">
        <v>6451</v>
      </c>
    </row>
    <row r="7544" spans="1:6" x14ac:dyDescent="0.25">
      <c r="A7544" t="s">
        <v>6442</v>
      </c>
      <c r="B7544" t="s">
        <v>19</v>
      </c>
      <c r="C7544" t="s">
        <v>20</v>
      </c>
      <c r="D7544" t="str">
        <f>HYPERLINK("http://service.sap.com/sap/support/notes/1725117","1725117")</f>
        <v>1725117</v>
      </c>
      <c r="E7544">
        <v>1</v>
      </c>
      <c r="F7544" t="s">
        <v>6452</v>
      </c>
    </row>
    <row r="7545" spans="1:6" x14ac:dyDescent="0.25">
      <c r="A7545" t="s">
        <v>6442</v>
      </c>
      <c r="B7545" t="s">
        <v>19</v>
      </c>
      <c r="C7545" t="s">
        <v>20</v>
      </c>
      <c r="D7545" t="str">
        <f>HYPERLINK("http://service.sap.com/sap/support/notes/1725649","1725649")</f>
        <v>1725649</v>
      </c>
      <c r="E7545">
        <v>2</v>
      </c>
      <c r="F7545" t="s">
        <v>6453</v>
      </c>
    </row>
    <row r="7546" spans="1:6" x14ac:dyDescent="0.25">
      <c r="A7546" t="s">
        <v>6442</v>
      </c>
      <c r="B7546" t="s">
        <v>19</v>
      </c>
      <c r="C7546" t="s">
        <v>20</v>
      </c>
      <c r="D7546" t="str">
        <f>HYPERLINK("http://service.sap.com/sap/support/notes/1726117","1726117")</f>
        <v>1726117</v>
      </c>
      <c r="E7546">
        <v>1</v>
      </c>
      <c r="F7546" t="s">
        <v>6454</v>
      </c>
    </row>
    <row r="7547" spans="1:6" x14ac:dyDescent="0.25">
      <c r="A7547" t="s">
        <v>6442</v>
      </c>
      <c r="B7547" t="s">
        <v>19</v>
      </c>
      <c r="C7547" t="s">
        <v>20</v>
      </c>
      <c r="D7547" t="str">
        <f>HYPERLINK("http://service.sap.com/sap/support/notes/1726348","1726348")</f>
        <v>1726348</v>
      </c>
      <c r="E7547">
        <v>1</v>
      </c>
      <c r="F7547" t="s">
        <v>6455</v>
      </c>
    </row>
    <row r="7548" spans="1:6" x14ac:dyDescent="0.25">
      <c r="A7548" t="s">
        <v>6442</v>
      </c>
      <c r="B7548" t="s">
        <v>19</v>
      </c>
      <c r="C7548" t="s">
        <v>20</v>
      </c>
      <c r="D7548" t="str">
        <f>HYPERLINK("http://service.sap.com/sap/support/notes/1726550","1726550")</f>
        <v>1726550</v>
      </c>
      <c r="E7548">
        <v>1</v>
      </c>
      <c r="F7548" t="s">
        <v>6456</v>
      </c>
    </row>
    <row r="7549" spans="1:6" x14ac:dyDescent="0.25">
      <c r="A7549" t="s">
        <v>6442</v>
      </c>
      <c r="B7549" t="s">
        <v>19</v>
      </c>
      <c r="C7549" t="s">
        <v>20</v>
      </c>
      <c r="D7549" t="str">
        <f>HYPERLINK("http://service.sap.com/sap/support/notes/1726782","1726782")</f>
        <v>1726782</v>
      </c>
      <c r="E7549">
        <v>1</v>
      </c>
      <c r="F7549" t="s">
        <v>6457</v>
      </c>
    </row>
    <row r="7550" spans="1:6" x14ac:dyDescent="0.25">
      <c r="A7550" t="s">
        <v>6442</v>
      </c>
      <c r="B7550" t="s">
        <v>19</v>
      </c>
      <c r="C7550" t="s">
        <v>20</v>
      </c>
      <c r="D7550" t="str">
        <f>HYPERLINK("http://service.sap.com/sap/support/notes/1728566","1728566")</f>
        <v>1728566</v>
      </c>
      <c r="E7550">
        <v>1</v>
      </c>
      <c r="F7550" t="s">
        <v>6458</v>
      </c>
    </row>
    <row r="7551" spans="1:6" x14ac:dyDescent="0.25">
      <c r="A7551" t="s">
        <v>6442</v>
      </c>
      <c r="B7551" t="s">
        <v>19</v>
      </c>
      <c r="C7551" t="s">
        <v>20</v>
      </c>
      <c r="D7551" t="str">
        <f>HYPERLINK("http://service.sap.com/sap/support/notes/1728582","1728582")</f>
        <v>1728582</v>
      </c>
      <c r="E7551">
        <v>1</v>
      </c>
      <c r="F7551" t="s">
        <v>6459</v>
      </c>
    </row>
    <row r="7552" spans="1:6" x14ac:dyDescent="0.25">
      <c r="A7552" t="s">
        <v>6442</v>
      </c>
      <c r="B7552" t="s">
        <v>19</v>
      </c>
      <c r="C7552" t="s">
        <v>20</v>
      </c>
      <c r="D7552" t="str">
        <f>HYPERLINK("http://service.sap.com/sap/support/notes/1729515","1729515")</f>
        <v>1729515</v>
      </c>
      <c r="E7552">
        <v>2</v>
      </c>
      <c r="F7552" t="s">
        <v>6460</v>
      </c>
    </row>
    <row r="7553" spans="1:6" x14ac:dyDescent="0.25">
      <c r="A7553" t="s">
        <v>6442</v>
      </c>
      <c r="B7553" t="s">
        <v>19</v>
      </c>
      <c r="C7553" t="s">
        <v>20</v>
      </c>
      <c r="D7553" t="str">
        <f>HYPERLINK("http://service.sap.com/sap/support/notes/1733491","1733491")</f>
        <v>1733491</v>
      </c>
      <c r="E7553">
        <v>2</v>
      </c>
      <c r="F7553" t="s">
        <v>6461</v>
      </c>
    </row>
    <row r="7554" spans="1:6" x14ac:dyDescent="0.25">
      <c r="A7554" t="s">
        <v>6442</v>
      </c>
      <c r="B7554" t="s">
        <v>446</v>
      </c>
      <c r="C7554" t="s">
        <v>447</v>
      </c>
      <c r="D7554" t="str">
        <f>HYPERLINK("http://service.sap.com/sap/support/notes/1673014","1673014")</f>
        <v>1673014</v>
      </c>
      <c r="E7554">
        <v>2</v>
      </c>
      <c r="F7554" t="s">
        <v>6462</v>
      </c>
    </row>
    <row r="7555" spans="1:6" x14ac:dyDescent="0.25">
      <c r="A7555" t="s">
        <v>6442</v>
      </c>
      <c r="B7555" t="s">
        <v>446</v>
      </c>
      <c r="C7555" t="s">
        <v>447</v>
      </c>
      <c r="D7555" t="str">
        <f>HYPERLINK("http://service.sap.com/sap/support/notes/1709579","1709579")</f>
        <v>1709579</v>
      </c>
      <c r="E7555">
        <v>2</v>
      </c>
      <c r="F7555" t="s">
        <v>6463</v>
      </c>
    </row>
    <row r="7556" spans="1:6" x14ac:dyDescent="0.25">
      <c r="A7556" t="s">
        <v>6442</v>
      </c>
      <c r="B7556" t="s">
        <v>446</v>
      </c>
      <c r="C7556" t="s">
        <v>447</v>
      </c>
      <c r="D7556" t="str">
        <f>HYPERLINK("http://service.sap.com/sap/support/notes/1709752","1709752")</f>
        <v>1709752</v>
      </c>
      <c r="E7556">
        <v>3</v>
      </c>
      <c r="F7556" t="s">
        <v>6166</v>
      </c>
    </row>
    <row r="7557" spans="1:6" x14ac:dyDescent="0.25">
      <c r="A7557" t="s">
        <v>6442</v>
      </c>
      <c r="B7557" t="s">
        <v>446</v>
      </c>
      <c r="C7557" t="s">
        <v>447</v>
      </c>
      <c r="D7557" t="str">
        <f>HYPERLINK("http://service.sap.com/sap/support/notes/1715862","1715862")</f>
        <v>1715862</v>
      </c>
      <c r="E7557">
        <v>1</v>
      </c>
      <c r="F7557" t="s">
        <v>6464</v>
      </c>
    </row>
    <row r="7558" spans="1:6" x14ac:dyDescent="0.25">
      <c r="A7558" t="s">
        <v>6442</v>
      </c>
      <c r="B7558" t="s">
        <v>446</v>
      </c>
      <c r="C7558" t="s">
        <v>447</v>
      </c>
      <c r="D7558" t="str">
        <f>HYPERLINK("http://service.sap.com/sap/support/notes/1719123","1719123")</f>
        <v>1719123</v>
      </c>
      <c r="E7558">
        <v>1</v>
      </c>
      <c r="F7558" t="s">
        <v>6465</v>
      </c>
    </row>
    <row r="7559" spans="1:6" x14ac:dyDescent="0.25">
      <c r="A7559" t="s">
        <v>6442</v>
      </c>
      <c r="B7559" t="s">
        <v>446</v>
      </c>
      <c r="C7559" t="s">
        <v>447</v>
      </c>
      <c r="D7559" t="str">
        <f>HYPERLINK("http://service.sap.com/sap/support/notes/1719228","1719228")</f>
        <v>1719228</v>
      </c>
      <c r="E7559">
        <v>6</v>
      </c>
      <c r="F7559" t="s">
        <v>6355</v>
      </c>
    </row>
    <row r="7560" spans="1:6" x14ac:dyDescent="0.25">
      <c r="A7560" t="s">
        <v>6442</v>
      </c>
      <c r="B7560" t="s">
        <v>446</v>
      </c>
      <c r="C7560" t="s">
        <v>447</v>
      </c>
      <c r="D7560" t="str">
        <f>HYPERLINK("http://service.sap.com/sap/support/notes/1720453","1720453")</f>
        <v>1720453</v>
      </c>
      <c r="E7560">
        <v>1</v>
      </c>
      <c r="F7560" t="s">
        <v>6466</v>
      </c>
    </row>
    <row r="7561" spans="1:6" x14ac:dyDescent="0.25">
      <c r="A7561" t="s">
        <v>6442</v>
      </c>
      <c r="B7561" t="s">
        <v>446</v>
      </c>
      <c r="C7561" t="s">
        <v>447</v>
      </c>
      <c r="D7561" t="str">
        <f>HYPERLINK("http://service.sap.com/sap/support/notes/1721065","1721065")</f>
        <v>1721065</v>
      </c>
      <c r="E7561">
        <v>3</v>
      </c>
      <c r="F7561" t="s">
        <v>6467</v>
      </c>
    </row>
    <row r="7562" spans="1:6" x14ac:dyDescent="0.25">
      <c r="A7562" t="s">
        <v>6442</v>
      </c>
      <c r="B7562" t="s">
        <v>446</v>
      </c>
      <c r="C7562" t="s">
        <v>447</v>
      </c>
      <c r="D7562" t="str">
        <f>HYPERLINK("http://service.sap.com/sap/support/notes/1721196","1721196")</f>
        <v>1721196</v>
      </c>
      <c r="E7562">
        <v>1</v>
      </c>
      <c r="F7562" t="s">
        <v>6468</v>
      </c>
    </row>
    <row r="7563" spans="1:6" x14ac:dyDescent="0.25">
      <c r="A7563" t="s">
        <v>6442</v>
      </c>
      <c r="B7563" t="s">
        <v>446</v>
      </c>
      <c r="C7563" t="s">
        <v>447</v>
      </c>
      <c r="D7563" t="str">
        <f>HYPERLINK("http://service.sap.com/sap/support/notes/1721584","1721584")</f>
        <v>1721584</v>
      </c>
      <c r="E7563">
        <v>1</v>
      </c>
      <c r="F7563" t="s">
        <v>6469</v>
      </c>
    </row>
    <row r="7564" spans="1:6" x14ac:dyDescent="0.25">
      <c r="A7564" t="s">
        <v>6442</v>
      </c>
      <c r="B7564" t="s">
        <v>446</v>
      </c>
      <c r="C7564" t="s">
        <v>447</v>
      </c>
      <c r="D7564" t="str">
        <f>HYPERLINK("http://service.sap.com/sap/support/notes/1721760","1721760")</f>
        <v>1721760</v>
      </c>
      <c r="E7564">
        <v>3</v>
      </c>
      <c r="F7564" t="s">
        <v>6470</v>
      </c>
    </row>
    <row r="7565" spans="1:6" x14ac:dyDescent="0.25">
      <c r="A7565" t="s">
        <v>6442</v>
      </c>
      <c r="B7565" t="s">
        <v>446</v>
      </c>
      <c r="C7565" t="s">
        <v>447</v>
      </c>
      <c r="D7565" t="str">
        <f>HYPERLINK("http://service.sap.com/sap/support/notes/1722333","1722333")</f>
        <v>1722333</v>
      </c>
      <c r="E7565">
        <v>2</v>
      </c>
      <c r="F7565" t="s">
        <v>6471</v>
      </c>
    </row>
    <row r="7566" spans="1:6" x14ac:dyDescent="0.25">
      <c r="A7566" t="s">
        <v>6442</v>
      </c>
      <c r="B7566" t="s">
        <v>446</v>
      </c>
      <c r="C7566" t="s">
        <v>447</v>
      </c>
      <c r="D7566" t="str">
        <f>HYPERLINK("http://service.sap.com/sap/support/notes/1724549","1724549")</f>
        <v>1724549</v>
      </c>
      <c r="E7566">
        <v>1</v>
      </c>
      <c r="F7566" t="s">
        <v>6472</v>
      </c>
    </row>
    <row r="7567" spans="1:6" x14ac:dyDescent="0.25">
      <c r="A7567" t="s">
        <v>6442</v>
      </c>
      <c r="B7567" t="s">
        <v>446</v>
      </c>
      <c r="C7567" t="s">
        <v>447</v>
      </c>
      <c r="D7567" t="str">
        <f>HYPERLINK("http://service.sap.com/sap/support/notes/1724599","1724599")</f>
        <v>1724599</v>
      </c>
      <c r="E7567">
        <v>1</v>
      </c>
      <c r="F7567" t="s">
        <v>6473</v>
      </c>
    </row>
    <row r="7568" spans="1:6" x14ac:dyDescent="0.25">
      <c r="A7568" t="s">
        <v>6442</v>
      </c>
      <c r="B7568" t="s">
        <v>446</v>
      </c>
      <c r="C7568" t="s">
        <v>447</v>
      </c>
      <c r="D7568" t="str">
        <f>HYPERLINK("http://service.sap.com/sap/support/notes/1724640","1724640")</f>
        <v>1724640</v>
      </c>
      <c r="E7568">
        <v>1</v>
      </c>
      <c r="F7568" t="s">
        <v>6474</v>
      </c>
    </row>
    <row r="7569" spans="1:6" x14ac:dyDescent="0.25">
      <c r="A7569" t="s">
        <v>6442</v>
      </c>
      <c r="B7569" t="s">
        <v>446</v>
      </c>
      <c r="C7569" t="s">
        <v>447</v>
      </c>
      <c r="D7569" t="str">
        <f>HYPERLINK("http://service.sap.com/sap/support/notes/1725032","1725032")</f>
        <v>1725032</v>
      </c>
      <c r="E7569">
        <v>1</v>
      </c>
      <c r="F7569" t="s">
        <v>6475</v>
      </c>
    </row>
    <row r="7570" spans="1:6" x14ac:dyDescent="0.25">
      <c r="A7570" t="s">
        <v>6442</v>
      </c>
      <c r="B7570" t="s">
        <v>446</v>
      </c>
      <c r="C7570" t="s">
        <v>447</v>
      </c>
      <c r="D7570" t="str">
        <f>HYPERLINK("http://service.sap.com/sap/support/notes/1726155","1726155")</f>
        <v>1726155</v>
      </c>
      <c r="E7570">
        <v>1</v>
      </c>
      <c r="F7570" t="s">
        <v>6476</v>
      </c>
    </row>
    <row r="7571" spans="1:6" x14ac:dyDescent="0.25">
      <c r="A7571" t="s">
        <v>6442</v>
      </c>
      <c r="B7571" t="s">
        <v>446</v>
      </c>
      <c r="C7571" t="s">
        <v>447</v>
      </c>
      <c r="D7571" t="str">
        <f>HYPERLINK("http://service.sap.com/sap/support/notes/1726158","1726158")</f>
        <v>1726158</v>
      </c>
      <c r="E7571">
        <v>1</v>
      </c>
      <c r="F7571" t="s">
        <v>6477</v>
      </c>
    </row>
    <row r="7572" spans="1:6" x14ac:dyDescent="0.25">
      <c r="A7572" t="s">
        <v>6442</v>
      </c>
      <c r="B7572" t="s">
        <v>446</v>
      </c>
      <c r="C7572" t="s">
        <v>447</v>
      </c>
      <c r="D7572" t="str">
        <f>HYPERLINK("http://service.sap.com/sap/support/notes/1728434","1728434")</f>
        <v>1728434</v>
      </c>
      <c r="E7572">
        <v>1</v>
      </c>
      <c r="F7572" t="s">
        <v>6478</v>
      </c>
    </row>
    <row r="7573" spans="1:6" x14ac:dyDescent="0.25">
      <c r="A7573" t="s">
        <v>6442</v>
      </c>
      <c r="B7573" t="s">
        <v>446</v>
      </c>
      <c r="C7573" t="s">
        <v>447</v>
      </c>
      <c r="D7573" t="str">
        <f>HYPERLINK("http://service.sap.com/sap/support/notes/1730190","1730190")</f>
        <v>1730190</v>
      </c>
      <c r="E7573">
        <v>1</v>
      </c>
      <c r="F7573" t="s">
        <v>6479</v>
      </c>
    </row>
    <row r="7574" spans="1:6" x14ac:dyDescent="0.25">
      <c r="A7574" t="s">
        <v>6442</v>
      </c>
      <c r="B7574" t="s">
        <v>446</v>
      </c>
      <c r="C7574" t="s">
        <v>447</v>
      </c>
      <c r="D7574" t="str">
        <f>HYPERLINK("http://service.sap.com/sap/support/notes/1730366","1730366")</f>
        <v>1730366</v>
      </c>
      <c r="E7574">
        <v>2</v>
      </c>
      <c r="F7574" t="s">
        <v>6480</v>
      </c>
    </row>
    <row r="7575" spans="1:6" x14ac:dyDescent="0.25">
      <c r="A7575" t="s">
        <v>6442</v>
      </c>
      <c r="B7575" t="s">
        <v>448</v>
      </c>
      <c r="C7575" t="s">
        <v>449</v>
      </c>
      <c r="D7575" t="str">
        <f>HYPERLINK("http://service.sap.com/sap/support/notes/1723141","1723141")</f>
        <v>1723141</v>
      </c>
      <c r="E7575">
        <v>1</v>
      </c>
      <c r="F7575" t="s">
        <v>6481</v>
      </c>
    </row>
    <row r="7576" spans="1:6" x14ac:dyDescent="0.25">
      <c r="A7576" t="s">
        <v>6442</v>
      </c>
      <c r="B7576" t="s">
        <v>448</v>
      </c>
      <c r="C7576" t="s">
        <v>449</v>
      </c>
      <c r="D7576" t="str">
        <f>HYPERLINK("http://service.sap.com/sap/support/notes/1723990","1723990")</f>
        <v>1723990</v>
      </c>
      <c r="E7576">
        <v>2</v>
      </c>
      <c r="F7576" t="s">
        <v>6482</v>
      </c>
    </row>
    <row r="7577" spans="1:6" x14ac:dyDescent="0.25">
      <c r="A7577" t="s">
        <v>6442</v>
      </c>
      <c r="B7577" t="s">
        <v>21</v>
      </c>
      <c r="C7577" t="s">
        <v>12</v>
      </c>
    </row>
    <row r="7578" spans="1:6" x14ac:dyDescent="0.25">
      <c r="A7578" t="s">
        <v>6442</v>
      </c>
      <c r="B7578" t="s">
        <v>22</v>
      </c>
      <c r="C7578" t="s">
        <v>23</v>
      </c>
    </row>
    <row r="7579" spans="1:6" x14ac:dyDescent="0.25">
      <c r="A7579" t="s">
        <v>6442</v>
      </c>
      <c r="B7579" t="s">
        <v>641</v>
      </c>
      <c r="C7579" t="s">
        <v>642</v>
      </c>
    </row>
    <row r="7580" spans="1:6" x14ac:dyDescent="0.25">
      <c r="A7580" t="s">
        <v>6442</v>
      </c>
      <c r="B7580" t="s">
        <v>643</v>
      </c>
      <c r="C7580" t="s">
        <v>255</v>
      </c>
      <c r="D7580" t="str">
        <f>HYPERLINK("http://service.sap.com/sap/support/notes/1647222","1647222")</f>
        <v>1647222</v>
      </c>
      <c r="E7580">
        <v>1</v>
      </c>
      <c r="F7580" t="s">
        <v>6483</v>
      </c>
    </row>
    <row r="7581" spans="1:6" x14ac:dyDescent="0.25">
      <c r="A7581" t="s">
        <v>6442</v>
      </c>
      <c r="B7581" t="s">
        <v>378</v>
      </c>
      <c r="C7581" t="s">
        <v>379</v>
      </c>
      <c r="D7581" t="str">
        <f>HYPERLINK("http://service.sap.com/sap/support/notes/1667439","1667439")</f>
        <v>1667439</v>
      </c>
      <c r="E7581">
        <v>3</v>
      </c>
      <c r="F7581" t="s">
        <v>6484</v>
      </c>
    </row>
    <row r="7582" spans="1:6" x14ac:dyDescent="0.25">
      <c r="A7582" t="s">
        <v>6442</v>
      </c>
      <c r="B7582" t="s">
        <v>378</v>
      </c>
      <c r="C7582" t="s">
        <v>379</v>
      </c>
      <c r="D7582" t="str">
        <f>HYPERLINK("http://service.sap.com/sap/support/notes/1675426","1675426")</f>
        <v>1675426</v>
      </c>
      <c r="E7582">
        <v>2</v>
      </c>
      <c r="F7582" t="s">
        <v>6485</v>
      </c>
    </row>
    <row r="7583" spans="1:6" x14ac:dyDescent="0.25">
      <c r="A7583" t="s">
        <v>6442</v>
      </c>
      <c r="B7583" t="s">
        <v>378</v>
      </c>
      <c r="C7583" t="s">
        <v>379</v>
      </c>
      <c r="D7583" t="str">
        <f>HYPERLINK("http://service.sap.com/sap/support/notes/1695924","1695924")</f>
        <v>1695924</v>
      </c>
      <c r="E7583">
        <v>2</v>
      </c>
      <c r="F7583" t="s">
        <v>6486</v>
      </c>
    </row>
    <row r="7584" spans="1:6" x14ac:dyDescent="0.25">
      <c r="A7584" t="s">
        <v>6442</v>
      </c>
      <c r="B7584" t="s">
        <v>378</v>
      </c>
      <c r="C7584" t="s">
        <v>379</v>
      </c>
      <c r="D7584" t="str">
        <f>HYPERLINK("http://service.sap.com/sap/support/notes/1720952","1720952")</f>
        <v>1720952</v>
      </c>
      <c r="E7584">
        <v>2</v>
      </c>
      <c r="F7584" t="s">
        <v>6487</v>
      </c>
    </row>
    <row r="7585" spans="1:6" x14ac:dyDescent="0.25">
      <c r="A7585" t="s">
        <v>6442</v>
      </c>
      <c r="B7585" t="s">
        <v>378</v>
      </c>
      <c r="C7585" t="s">
        <v>379</v>
      </c>
      <c r="D7585" t="str">
        <f>HYPERLINK("http://service.sap.com/sap/support/notes/1722117","1722117")</f>
        <v>1722117</v>
      </c>
      <c r="E7585">
        <v>2</v>
      </c>
      <c r="F7585" t="s">
        <v>6488</v>
      </c>
    </row>
    <row r="7586" spans="1:6" x14ac:dyDescent="0.25">
      <c r="A7586" t="s">
        <v>6442</v>
      </c>
      <c r="B7586" t="s">
        <v>378</v>
      </c>
      <c r="C7586" t="s">
        <v>379</v>
      </c>
      <c r="D7586" t="str">
        <f>HYPERLINK("http://service.sap.com/sap/support/notes/1725513","1725513")</f>
        <v>1725513</v>
      </c>
      <c r="E7586">
        <v>1</v>
      </c>
      <c r="F7586" t="s">
        <v>6489</v>
      </c>
    </row>
    <row r="7587" spans="1:6" x14ac:dyDescent="0.25">
      <c r="A7587" t="s">
        <v>6442</v>
      </c>
      <c r="B7587" t="s">
        <v>378</v>
      </c>
      <c r="C7587" t="s">
        <v>379</v>
      </c>
      <c r="D7587" t="str">
        <f>HYPERLINK("http://service.sap.com/sap/support/notes/1727983","1727983")</f>
        <v>1727983</v>
      </c>
      <c r="E7587">
        <v>1</v>
      </c>
      <c r="F7587" t="s">
        <v>6490</v>
      </c>
    </row>
    <row r="7588" spans="1:6" x14ac:dyDescent="0.25">
      <c r="A7588" t="s">
        <v>6442</v>
      </c>
      <c r="B7588" t="s">
        <v>458</v>
      </c>
      <c r="C7588" t="s">
        <v>459</v>
      </c>
      <c r="D7588" t="str">
        <f>HYPERLINK("http://service.sap.com/sap/support/notes/1719873","1719873")</f>
        <v>1719873</v>
      </c>
      <c r="E7588">
        <v>2</v>
      </c>
      <c r="F7588" t="s">
        <v>6491</v>
      </c>
    </row>
    <row r="7589" spans="1:6" x14ac:dyDescent="0.25">
      <c r="A7589" t="s">
        <v>6442</v>
      </c>
      <c r="B7589" t="s">
        <v>458</v>
      </c>
      <c r="C7589" t="s">
        <v>459</v>
      </c>
      <c r="D7589" t="str">
        <f>HYPERLINK("http://service.sap.com/sap/support/notes/1721987","1721987")</f>
        <v>1721987</v>
      </c>
      <c r="E7589">
        <v>1</v>
      </c>
      <c r="F7589" t="s">
        <v>6492</v>
      </c>
    </row>
    <row r="7590" spans="1:6" x14ac:dyDescent="0.25">
      <c r="A7590" t="s">
        <v>6442</v>
      </c>
      <c r="B7590" t="s">
        <v>512</v>
      </c>
      <c r="C7590" t="s">
        <v>513</v>
      </c>
      <c r="D7590" t="str">
        <f>HYPERLINK("http://service.sap.com/sap/support/notes/1721020","1721020")</f>
        <v>1721020</v>
      </c>
      <c r="E7590">
        <v>1</v>
      </c>
      <c r="F7590" t="s">
        <v>6493</v>
      </c>
    </row>
    <row r="7591" spans="1:6" x14ac:dyDescent="0.25">
      <c r="A7591" t="s">
        <v>6442</v>
      </c>
      <c r="B7591" t="s">
        <v>512</v>
      </c>
      <c r="C7591" t="s">
        <v>513</v>
      </c>
      <c r="D7591" t="str">
        <f>HYPERLINK("http://service.sap.com/sap/support/notes/1722300","1722300")</f>
        <v>1722300</v>
      </c>
      <c r="E7591">
        <v>1</v>
      </c>
      <c r="F7591" t="s">
        <v>6494</v>
      </c>
    </row>
    <row r="7592" spans="1:6" x14ac:dyDescent="0.25">
      <c r="A7592" t="s">
        <v>6442</v>
      </c>
      <c r="B7592" t="s">
        <v>462</v>
      </c>
      <c r="C7592" t="s">
        <v>463</v>
      </c>
      <c r="D7592" t="str">
        <f>HYPERLINK("http://service.sap.com/sap/support/notes/1713229","1713229")</f>
        <v>1713229</v>
      </c>
      <c r="E7592">
        <v>4</v>
      </c>
      <c r="F7592" t="s">
        <v>6495</v>
      </c>
    </row>
    <row r="7593" spans="1:6" x14ac:dyDescent="0.25">
      <c r="A7593" t="s">
        <v>6442</v>
      </c>
      <c r="B7593" t="s">
        <v>623</v>
      </c>
      <c r="C7593" t="s">
        <v>624</v>
      </c>
    </row>
    <row r="7594" spans="1:6" x14ac:dyDescent="0.25">
      <c r="A7594" t="s">
        <v>6442</v>
      </c>
      <c r="B7594" t="s">
        <v>625</v>
      </c>
      <c r="C7594" t="s">
        <v>626</v>
      </c>
      <c r="D7594" t="str">
        <f>HYPERLINK("http://service.sap.com/sap/support/notes/1671704","1671704")</f>
        <v>1671704</v>
      </c>
      <c r="E7594">
        <v>2</v>
      </c>
      <c r="F7594" t="s">
        <v>5775</v>
      </c>
    </row>
    <row r="7595" spans="1:6" x14ac:dyDescent="0.25">
      <c r="A7595" t="s">
        <v>6442</v>
      </c>
      <c r="B7595" t="s">
        <v>627</v>
      </c>
      <c r="C7595" t="s">
        <v>628</v>
      </c>
      <c r="D7595" t="str">
        <f>HYPERLINK("http://service.sap.com/sap/support/notes/1715412","1715412")</f>
        <v>1715412</v>
      </c>
      <c r="E7595">
        <v>2</v>
      </c>
      <c r="F7595" t="s">
        <v>6366</v>
      </c>
    </row>
    <row r="7596" spans="1:6" x14ac:dyDescent="0.25">
      <c r="A7596" t="s">
        <v>6442</v>
      </c>
      <c r="B7596" t="s">
        <v>29</v>
      </c>
      <c r="C7596" t="s">
        <v>30</v>
      </c>
    </row>
    <row r="7597" spans="1:6" x14ac:dyDescent="0.25">
      <c r="A7597" t="s">
        <v>6442</v>
      </c>
      <c r="B7597" t="s">
        <v>674</v>
      </c>
      <c r="C7597" t="s">
        <v>92</v>
      </c>
      <c r="D7597" t="str">
        <f>HYPERLINK("http://service.sap.com/sap/support/notes/1675960","1675960")</f>
        <v>1675960</v>
      </c>
      <c r="E7597">
        <v>2</v>
      </c>
      <c r="F7597" t="s">
        <v>6496</v>
      </c>
    </row>
    <row r="7598" spans="1:6" x14ac:dyDescent="0.25">
      <c r="A7598" t="s">
        <v>6442</v>
      </c>
      <c r="B7598" t="s">
        <v>35</v>
      </c>
      <c r="C7598" t="s">
        <v>36</v>
      </c>
      <c r="D7598" t="str">
        <f>HYPERLINK("http://service.sap.com/sap/support/notes/1632904","1632904")</f>
        <v>1632904</v>
      </c>
      <c r="E7598">
        <v>1</v>
      </c>
      <c r="F7598" t="s">
        <v>5234</v>
      </c>
    </row>
    <row r="7599" spans="1:6" x14ac:dyDescent="0.25">
      <c r="A7599" t="s">
        <v>6442</v>
      </c>
      <c r="B7599" t="s">
        <v>41</v>
      </c>
      <c r="C7599" t="s">
        <v>42</v>
      </c>
      <c r="D7599" t="str">
        <f>HYPERLINK("http://service.sap.com/sap/support/notes/1689968","1689968")</f>
        <v>1689968</v>
      </c>
      <c r="E7599">
        <v>2</v>
      </c>
      <c r="F7599" t="s">
        <v>6042</v>
      </c>
    </row>
    <row r="7600" spans="1:6" x14ac:dyDescent="0.25">
      <c r="A7600" t="s">
        <v>6442</v>
      </c>
      <c r="B7600" t="s">
        <v>46</v>
      </c>
      <c r="C7600" t="s">
        <v>47</v>
      </c>
      <c r="D7600" t="str">
        <f>HYPERLINK("http://service.sap.com/sap/support/notes/1681384","1681384")</f>
        <v>1681384</v>
      </c>
      <c r="E7600">
        <v>6</v>
      </c>
      <c r="F7600" t="s">
        <v>6497</v>
      </c>
    </row>
    <row r="7601" spans="1:6" x14ac:dyDescent="0.25">
      <c r="A7601" t="s">
        <v>6442</v>
      </c>
      <c r="B7601" t="s">
        <v>46</v>
      </c>
      <c r="C7601" t="s">
        <v>47</v>
      </c>
      <c r="D7601" t="str">
        <f>HYPERLINK("http://service.sap.com/sap/support/notes/1692881","1692881")</f>
        <v>1692881</v>
      </c>
      <c r="E7601">
        <v>4</v>
      </c>
      <c r="F7601" t="s">
        <v>6498</v>
      </c>
    </row>
    <row r="7602" spans="1:6" x14ac:dyDescent="0.25">
      <c r="A7602" t="s">
        <v>6442</v>
      </c>
      <c r="B7602" t="s">
        <v>656</v>
      </c>
      <c r="C7602" t="s">
        <v>172</v>
      </c>
      <c r="D7602" t="str">
        <f>HYPERLINK("http://service.sap.com/sap/support/notes/1728811","1728811")</f>
        <v>1728811</v>
      </c>
      <c r="E7602">
        <v>1</v>
      </c>
      <c r="F7602" t="s">
        <v>6499</v>
      </c>
    </row>
    <row r="7603" spans="1:6" x14ac:dyDescent="0.25">
      <c r="A7603" t="s">
        <v>6442</v>
      </c>
      <c r="B7603" t="s">
        <v>57</v>
      </c>
      <c r="C7603" t="s">
        <v>58</v>
      </c>
      <c r="D7603" t="str">
        <f>HYPERLINK("http://service.sap.com/sap/support/notes/960754","960754")</f>
        <v>960754</v>
      </c>
      <c r="E7603">
        <v>9</v>
      </c>
      <c r="F7603" t="s">
        <v>1854</v>
      </c>
    </row>
    <row r="7604" spans="1:6" x14ac:dyDescent="0.25">
      <c r="A7604" t="s">
        <v>6442</v>
      </c>
      <c r="B7604" t="s">
        <v>57</v>
      </c>
      <c r="C7604" t="s">
        <v>58</v>
      </c>
      <c r="D7604" t="str">
        <f>HYPERLINK("http://service.sap.com/sap/support/notes/1498461","1498461")</f>
        <v>1498461</v>
      </c>
      <c r="E7604">
        <v>3</v>
      </c>
      <c r="F7604" t="s">
        <v>6500</v>
      </c>
    </row>
    <row r="7605" spans="1:6" x14ac:dyDescent="0.25">
      <c r="A7605" t="s">
        <v>6442</v>
      </c>
      <c r="B7605" t="s">
        <v>57</v>
      </c>
      <c r="C7605" t="s">
        <v>58</v>
      </c>
      <c r="D7605" t="str">
        <f>HYPERLINK("http://service.sap.com/sap/support/notes/1713831","1713831")</f>
        <v>1713831</v>
      </c>
      <c r="E7605">
        <v>1</v>
      </c>
      <c r="F7605" t="s">
        <v>6501</v>
      </c>
    </row>
    <row r="7606" spans="1:6" x14ac:dyDescent="0.25">
      <c r="A7606" t="s">
        <v>6442</v>
      </c>
      <c r="B7606" t="s">
        <v>57</v>
      </c>
      <c r="C7606" t="s">
        <v>58</v>
      </c>
      <c r="D7606" t="str">
        <f>HYPERLINK("http://service.sap.com/sap/support/notes/1715432","1715432")</f>
        <v>1715432</v>
      </c>
      <c r="E7606">
        <v>3</v>
      </c>
      <c r="F7606" t="s">
        <v>6502</v>
      </c>
    </row>
    <row r="7607" spans="1:6" x14ac:dyDescent="0.25">
      <c r="A7607" t="s">
        <v>6442</v>
      </c>
      <c r="B7607" t="s">
        <v>258</v>
      </c>
      <c r="C7607" t="s">
        <v>186</v>
      </c>
      <c r="D7607" t="str">
        <f>HYPERLINK("http://service.sap.com/sap/support/notes/1724296","1724296")</f>
        <v>1724296</v>
      </c>
      <c r="E7607">
        <v>1</v>
      </c>
      <c r="F7607" t="s">
        <v>6503</v>
      </c>
    </row>
    <row r="7608" spans="1:6" x14ac:dyDescent="0.25">
      <c r="A7608" t="s">
        <v>6442</v>
      </c>
      <c r="B7608" t="s">
        <v>61</v>
      </c>
      <c r="C7608" t="s">
        <v>62</v>
      </c>
    </row>
    <row r="7609" spans="1:6" x14ac:dyDescent="0.25">
      <c r="A7609" t="s">
        <v>6442</v>
      </c>
      <c r="B7609" t="s">
        <v>647</v>
      </c>
      <c r="C7609" t="s">
        <v>648</v>
      </c>
      <c r="D7609" t="str">
        <f>HYPERLINK("http://service.sap.com/sap/support/notes/1703008","1703008")</f>
        <v>1703008</v>
      </c>
      <c r="E7609">
        <v>2</v>
      </c>
      <c r="F7609" t="s">
        <v>6504</v>
      </c>
    </row>
    <row r="7610" spans="1:6" x14ac:dyDescent="0.25">
      <c r="A7610" t="s">
        <v>6442</v>
      </c>
      <c r="B7610" t="s">
        <v>261</v>
      </c>
      <c r="C7610" t="s">
        <v>262</v>
      </c>
      <c r="D7610" t="str">
        <f>HYPERLINK("http://service.sap.com/sap/support/notes/1336916","1336916")</f>
        <v>1336916</v>
      </c>
      <c r="E7610">
        <v>3</v>
      </c>
      <c r="F7610" t="s">
        <v>263</v>
      </c>
    </row>
    <row r="7611" spans="1:6" x14ac:dyDescent="0.25">
      <c r="A7611" t="s">
        <v>6442</v>
      </c>
      <c r="B7611" t="s">
        <v>267</v>
      </c>
      <c r="C7611" t="s">
        <v>466</v>
      </c>
    </row>
    <row r="7612" spans="1:6" x14ac:dyDescent="0.25">
      <c r="A7612" t="s">
        <v>6442</v>
      </c>
      <c r="B7612" t="s">
        <v>268</v>
      </c>
      <c r="C7612" t="s">
        <v>467</v>
      </c>
      <c r="D7612" t="str">
        <f>HYPERLINK("http://service.sap.com/sap/support/notes/1660380","1660380")</f>
        <v>1660380</v>
      </c>
      <c r="E7612">
        <v>6</v>
      </c>
      <c r="F7612" t="s">
        <v>6505</v>
      </c>
    </row>
    <row r="7613" spans="1:6" x14ac:dyDescent="0.25">
      <c r="A7613" t="s">
        <v>6442</v>
      </c>
      <c r="B7613" t="s">
        <v>268</v>
      </c>
      <c r="C7613" t="s">
        <v>467</v>
      </c>
      <c r="D7613" t="str">
        <f>HYPERLINK("http://service.sap.com/sap/support/notes/1683886","1683886")</f>
        <v>1683886</v>
      </c>
      <c r="E7613">
        <v>2</v>
      </c>
      <c r="F7613" t="s">
        <v>6506</v>
      </c>
    </row>
    <row r="7614" spans="1:6" x14ac:dyDescent="0.25">
      <c r="A7614" t="s">
        <v>6442</v>
      </c>
      <c r="B7614" t="s">
        <v>268</v>
      </c>
      <c r="C7614" t="s">
        <v>467</v>
      </c>
      <c r="D7614" t="str">
        <f>HYPERLINK("http://service.sap.com/sap/support/notes/1696195","1696195")</f>
        <v>1696195</v>
      </c>
      <c r="E7614">
        <v>4</v>
      </c>
      <c r="F7614" t="s">
        <v>6507</v>
      </c>
    </row>
    <row r="7615" spans="1:6" x14ac:dyDescent="0.25">
      <c r="A7615" t="s">
        <v>6442</v>
      </c>
      <c r="B7615" t="s">
        <v>268</v>
      </c>
      <c r="C7615" t="s">
        <v>467</v>
      </c>
      <c r="D7615" t="str">
        <f>HYPERLINK("http://service.sap.com/sap/support/notes/1699643","1699643")</f>
        <v>1699643</v>
      </c>
      <c r="E7615">
        <v>1</v>
      </c>
      <c r="F7615" t="s">
        <v>6508</v>
      </c>
    </row>
    <row r="7616" spans="1:6" x14ac:dyDescent="0.25">
      <c r="A7616" t="s">
        <v>6442</v>
      </c>
      <c r="B7616" t="s">
        <v>268</v>
      </c>
      <c r="C7616" t="s">
        <v>467</v>
      </c>
      <c r="D7616" t="str">
        <f>HYPERLINK("http://service.sap.com/sap/support/notes/1711624","1711624")</f>
        <v>1711624</v>
      </c>
      <c r="E7616">
        <v>1</v>
      </c>
      <c r="F7616" t="s">
        <v>6509</v>
      </c>
    </row>
    <row r="7617" spans="1:6" x14ac:dyDescent="0.25">
      <c r="A7617" t="s">
        <v>6442</v>
      </c>
      <c r="B7617" t="s">
        <v>268</v>
      </c>
      <c r="C7617" t="s">
        <v>467</v>
      </c>
      <c r="D7617" t="str">
        <f>HYPERLINK("http://service.sap.com/sap/support/notes/1718635","1718635")</f>
        <v>1718635</v>
      </c>
      <c r="E7617">
        <v>2</v>
      </c>
      <c r="F7617" t="s">
        <v>6510</v>
      </c>
    </row>
    <row r="7618" spans="1:6" x14ac:dyDescent="0.25">
      <c r="A7618" t="s">
        <v>6442</v>
      </c>
      <c r="B7618" t="s">
        <v>273</v>
      </c>
      <c r="C7618" t="s">
        <v>469</v>
      </c>
    </row>
    <row r="7619" spans="1:6" x14ac:dyDescent="0.25">
      <c r="A7619" t="s">
        <v>6442</v>
      </c>
      <c r="B7619" t="s">
        <v>274</v>
      </c>
      <c r="C7619" t="s">
        <v>470</v>
      </c>
      <c r="D7619" t="str">
        <f>HYPERLINK("http://service.sap.com/sap/support/notes/1682525","1682525")</f>
        <v>1682525</v>
      </c>
      <c r="E7619">
        <v>7</v>
      </c>
      <c r="F7619" t="s">
        <v>6511</v>
      </c>
    </row>
    <row r="7620" spans="1:6" x14ac:dyDescent="0.25">
      <c r="A7620" t="s">
        <v>6442</v>
      </c>
      <c r="B7620" t="s">
        <v>274</v>
      </c>
      <c r="C7620" t="s">
        <v>470</v>
      </c>
      <c r="D7620" t="str">
        <f>HYPERLINK("http://service.sap.com/sap/support/notes/1726373","1726373")</f>
        <v>1726373</v>
      </c>
      <c r="E7620">
        <v>1</v>
      </c>
      <c r="F7620" t="s">
        <v>6512</v>
      </c>
    </row>
    <row r="7621" spans="1:6" x14ac:dyDescent="0.25">
      <c r="A7621" t="s">
        <v>6442</v>
      </c>
      <c r="B7621" t="s">
        <v>471</v>
      </c>
      <c r="C7621" t="s">
        <v>472</v>
      </c>
      <c r="D7621" t="str">
        <f>HYPERLINK("http://service.sap.com/sap/support/notes/1684065","1684065")</f>
        <v>1684065</v>
      </c>
      <c r="E7621">
        <v>10</v>
      </c>
      <c r="F7621" t="s">
        <v>6513</v>
      </c>
    </row>
    <row r="7622" spans="1:6" x14ac:dyDescent="0.25">
      <c r="A7622" t="s">
        <v>6442</v>
      </c>
      <c r="B7622" t="s">
        <v>421</v>
      </c>
      <c r="C7622" t="s">
        <v>363</v>
      </c>
      <c r="D7622" t="str">
        <f>HYPERLINK("http://service.sap.com/sap/support/notes/1726754","1726754")</f>
        <v>1726754</v>
      </c>
      <c r="E7622">
        <v>4</v>
      </c>
      <c r="F7622" t="s">
        <v>6514</v>
      </c>
    </row>
    <row r="7623" spans="1:6" x14ac:dyDescent="0.25">
      <c r="A7623" t="s">
        <v>6442</v>
      </c>
      <c r="B7623" t="s">
        <v>474</v>
      </c>
      <c r="C7623" t="s">
        <v>475</v>
      </c>
      <c r="D7623" t="str">
        <f>HYPERLINK("http://service.sap.com/sap/support/notes/1718947","1718947")</f>
        <v>1718947</v>
      </c>
      <c r="E7623">
        <v>2</v>
      </c>
      <c r="F7623" t="s">
        <v>6515</v>
      </c>
    </row>
    <row r="7624" spans="1:6" x14ac:dyDescent="0.25">
      <c r="A7624" t="s">
        <v>6442</v>
      </c>
      <c r="B7624" t="s">
        <v>474</v>
      </c>
      <c r="C7624" t="s">
        <v>475</v>
      </c>
      <c r="D7624" t="str">
        <f>HYPERLINK("http://service.sap.com/sap/support/notes/1721011","1721011")</f>
        <v>1721011</v>
      </c>
      <c r="E7624">
        <v>1</v>
      </c>
      <c r="F7624" t="s">
        <v>6516</v>
      </c>
    </row>
    <row r="7625" spans="1:6" x14ac:dyDescent="0.25">
      <c r="A7625" t="s">
        <v>6442</v>
      </c>
      <c r="B7625" t="s">
        <v>474</v>
      </c>
      <c r="C7625" t="s">
        <v>475</v>
      </c>
      <c r="D7625" t="str">
        <f>HYPERLINK("http://service.sap.com/sap/support/notes/1722309","1722309")</f>
        <v>1722309</v>
      </c>
      <c r="E7625">
        <v>1</v>
      </c>
      <c r="F7625" t="s">
        <v>6517</v>
      </c>
    </row>
    <row r="7626" spans="1:6" x14ac:dyDescent="0.25">
      <c r="A7626" t="s">
        <v>6442</v>
      </c>
      <c r="B7626" t="s">
        <v>474</v>
      </c>
      <c r="C7626" t="s">
        <v>475</v>
      </c>
      <c r="D7626" t="str">
        <f>HYPERLINK("http://service.sap.com/sap/support/notes/1725057","1725057")</f>
        <v>1725057</v>
      </c>
      <c r="E7626">
        <v>3</v>
      </c>
      <c r="F7626" t="s">
        <v>6518</v>
      </c>
    </row>
    <row r="7627" spans="1:6" x14ac:dyDescent="0.25">
      <c r="A7627" t="s">
        <v>6442</v>
      </c>
      <c r="B7627" t="s">
        <v>72</v>
      </c>
      <c r="C7627" t="s">
        <v>73</v>
      </c>
    </row>
    <row r="7628" spans="1:6" x14ac:dyDescent="0.25">
      <c r="A7628" t="s">
        <v>6442</v>
      </c>
      <c r="B7628" t="s">
        <v>281</v>
      </c>
      <c r="C7628" t="s">
        <v>368</v>
      </c>
    </row>
    <row r="7629" spans="1:6" x14ac:dyDescent="0.25">
      <c r="A7629" t="s">
        <v>6442</v>
      </c>
      <c r="B7629" t="s">
        <v>282</v>
      </c>
      <c r="C7629" t="s">
        <v>369</v>
      </c>
      <c r="D7629" t="str">
        <f>HYPERLINK("http://service.sap.com/sap/support/notes/1706440","1706440")</f>
        <v>1706440</v>
      </c>
      <c r="E7629">
        <v>3</v>
      </c>
      <c r="F7629" t="s">
        <v>6519</v>
      </c>
    </row>
    <row r="7630" spans="1:6" x14ac:dyDescent="0.25">
      <c r="A7630" t="s">
        <v>6442</v>
      </c>
      <c r="B7630" t="s">
        <v>282</v>
      </c>
      <c r="C7630" t="s">
        <v>369</v>
      </c>
      <c r="D7630" t="str">
        <f>HYPERLINK("http://service.sap.com/sap/support/notes/1724038","1724038")</f>
        <v>1724038</v>
      </c>
      <c r="E7630">
        <v>1</v>
      </c>
      <c r="F7630" t="s">
        <v>6520</v>
      </c>
    </row>
    <row r="7631" spans="1:6" x14ac:dyDescent="0.25">
      <c r="A7631" t="s">
        <v>6442</v>
      </c>
      <c r="B7631" t="s">
        <v>76</v>
      </c>
      <c r="C7631" t="s">
        <v>77</v>
      </c>
    </row>
    <row r="7632" spans="1:6" x14ac:dyDescent="0.25">
      <c r="A7632" t="s">
        <v>6442</v>
      </c>
      <c r="B7632" t="s">
        <v>83</v>
      </c>
      <c r="C7632" t="s">
        <v>84</v>
      </c>
      <c r="D7632" t="str">
        <f>HYPERLINK("http://service.sap.com/sap/support/notes/1708738","1708738")</f>
        <v>1708738</v>
      </c>
      <c r="E7632">
        <v>2</v>
      </c>
      <c r="F7632" t="s">
        <v>3839</v>
      </c>
    </row>
    <row r="7633" spans="1:6" x14ac:dyDescent="0.25">
      <c r="A7633" t="s">
        <v>6442</v>
      </c>
      <c r="B7633" t="s">
        <v>83</v>
      </c>
      <c r="C7633" t="s">
        <v>84</v>
      </c>
      <c r="D7633" t="str">
        <f>HYPERLINK("http://service.sap.com/sap/support/notes/1719596","1719596")</f>
        <v>1719596</v>
      </c>
      <c r="E7633">
        <v>3</v>
      </c>
      <c r="F7633" t="s">
        <v>3850</v>
      </c>
    </row>
    <row r="7634" spans="1:6" x14ac:dyDescent="0.25">
      <c r="A7634" t="s">
        <v>6442</v>
      </c>
      <c r="B7634" t="s">
        <v>83</v>
      </c>
      <c r="C7634" t="s">
        <v>84</v>
      </c>
      <c r="D7634" t="str">
        <f>HYPERLINK("http://service.sap.com/sap/support/notes/1720117","1720117")</f>
        <v>1720117</v>
      </c>
      <c r="E7634">
        <v>3</v>
      </c>
      <c r="F7634" t="s">
        <v>4247</v>
      </c>
    </row>
    <row r="7635" spans="1:6" x14ac:dyDescent="0.25">
      <c r="A7635" t="s">
        <v>6442</v>
      </c>
      <c r="B7635" t="s">
        <v>83</v>
      </c>
      <c r="C7635" t="s">
        <v>84</v>
      </c>
      <c r="D7635" t="str">
        <f>HYPERLINK("http://service.sap.com/sap/support/notes/1720745","1720745")</f>
        <v>1720745</v>
      </c>
      <c r="E7635">
        <v>2</v>
      </c>
      <c r="F7635" t="s">
        <v>4248</v>
      </c>
    </row>
    <row r="7636" spans="1:6" x14ac:dyDescent="0.25">
      <c r="A7636" t="s">
        <v>6442</v>
      </c>
      <c r="B7636" t="s">
        <v>83</v>
      </c>
      <c r="C7636" t="s">
        <v>84</v>
      </c>
      <c r="D7636" t="str">
        <f>HYPERLINK("http://service.sap.com/sap/support/notes/1721534","1721534")</f>
        <v>1721534</v>
      </c>
      <c r="E7636">
        <v>1</v>
      </c>
      <c r="F7636" t="s">
        <v>4253</v>
      </c>
    </row>
    <row r="7637" spans="1:6" x14ac:dyDescent="0.25">
      <c r="A7637" t="s">
        <v>6442</v>
      </c>
      <c r="B7637" t="s">
        <v>83</v>
      </c>
      <c r="C7637" t="s">
        <v>84</v>
      </c>
      <c r="D7637" t="str">
        <f>HYPERLINK("http://service.sap.com/sap/support/notes/1724674","1724674")</f>
        <v>1724674</v>
      </c>
      <c r="E7637">
        <v>1</v>
      </c>
      <c r="F7637" t="s">
        <v>4258</v>
      </c>
    </row>
    <row r="7638" spans="1:6" x14ac:dyDescent="0.25">
      <c r="A7638" t="s">
        <v>6442</v>
      </c>
      <c r="B7638" t="s">
        <v>83</v>
      </c>
      <c r="C7638" t="s">
        <v>84</v>
      </c>
      <c r="D7638" t="str">
        <f>HYPERLINK("http://service.sap.com/sap/support/notes/1724996","1724996")</f>
        <v>1724996</v>
      </c>
      <c r="E7638">
        <v>4</v>
      </c>
      <c r="F7638" t="s">
        <v>4259</v>
      </c>
    </row>
    <row r="7639" spans="1:6" x14ac:dyDescent="0.25">
      <c r="A7639" t="s">
        <v>6442</v>
      </c>
      <c r="B7639" t="s">
        <v>86</v>
      </c>
      <c r="C7639" t="s">
        <v>87</v>
      </c>
      <c r="D7639" t="str">
        <f>HYPERLINK("http://service.sap.com/sap/support/notes/1720011","1720011")</f>
        <v>1720011</v>
      </c>
      <c r="E7639">
        <v>1</v>
      </c>
      <c r="F7639" t="s">
        <v>6521</v>
      </c>
    </row>
    <row r="7640" spans="1:6" x14ac:dyDescent="0.25">
      <c r="A7640" t="s">
        <v>6442</v>
      </c>
      <c r="B7640" t="s">
        <v>86</v>
      </c>
      <c r="C7640" t="s">
        <v>87</v>
      </c>
      <c r="D7640" t="str">
        <f>HYPERLINK("http://service.sap.com/sap/support/notes/1722462","1722462")</f>
        <v>1722462</v>
      </c>
      <c r="E7640">
        <v>1</v>
      </c>
      <c r="F7640" t="s">
        <v>6522</v>
      </c>
    </row>
    <row r="7641" spans="1:6" x14ac:dyDescent="0.25">
      <c r="A7641" t="s">
        <v>6442</v>
      </c>
      <c r="B7641" t="s">
        <v>86</v>
      </c>
      <c r="C7641" t="s">
        <v>87</v>
      </c>
      <c r="D7641" t="str">
        <f>HYPERLINK("http://service.sap.com/sap/support/notes/1724675","1724675")</f>
        <v>1724675</v>
      </c>
      <c r="E7641">
        <v>1</v>
      </c>
      <c r="F7641" t="s">
        <v>6523</v>
      </c>
    </row>
    <row r="7642" spans="1:6" x14ac:dyDescent="0.25">
      <c r="A7642" t="s">
        <v>6442</v>
      </c>
      <c r="B7642" t="s">
        <v>86</v>
      </c>
      <c r="C7642" t="s">
        <v>87</v>
      </c>
      <c r="D7642" t="str">
        <f>HYPERLINK("http://service.sap.com/sap/support/notes/1724904","1724904")</f>
        <v>1724904</v>
      </c>
      <c r="E7642">
        <v>1</v>
      </c>
      <c r="F7642" t="s">
        <v>4263</v>
      </c>
    </row>
    <row r="7643" spans="1:6" x14ac:dyDescent="0.25">
      <c r="A7643" t="s">
        <v>6442</v>
      </c>
      <c r="B7643" t="s">
        <v>86</v>
      </c>
      <c r="C7643" t="s">
        <v>87</v>
      </c>
      <c r="D7643" t="str">
        <f>HYPERLINK("http://service.sap.com/sap/support/notes/1725952","1725952")</f>
        <v>1725952</v>
      </c>
      <c r="E7643">
        <v>1</v>
      </c>
      <c r="F7643" t="s">
        <v>6524</v>
      </c>
    </row>
    <row r="7644" spans="1:6" x14ac:dyDescent="0.25">
      <c r="A7644" t="s">
        <v>6442</v>
      </c>
      <c r="B7644" t="s">
        <v>86</v>
      </c>
      <c r="C7644" t="s">
        <v>87</v>
      </c>
      <c r="D7644" t="str">
        <f>HYPERLINK("http://service.sap.com/sap/support/notes/1726938","1726938")</f>
        <v>1726938</v>
      </c>
      <c r="E7644">
        <v>1</v>
      </c>
      <c r="F7644" t="s">
        <v>6525</v>
      </c>
    </row>
    <row r="7645" spans="1:6" x14ac:dyDescent="0.25">
      <c r="A7645" t="s">
        <v>6442</v>
      </c>
      <c r="B7645" t="s">
        <v>86</v>
      </c>
      <c r="C7645" t="s">
        <v>87</v>
      </c>
      <c r="D7645" t="str">
        <f>HYPERLINK("http://service.sap.com/sap/support/notes/1726948","1726948")</f>
        <v>1726948</v>
      </c>
      <c r="E7645">
        <v>1</v>
      </c>
      <c r="F7645" t="s">
        <v>6526</v>
      </c>
    </row>
    <row r="7646" spans="1:6" x14ac:dyDescent="0.25">
      <c r="A7646" t="s">
        <v>6442</v>
      </c>
      <c r="B7646" t="s">
        <v>86</v>
      </c>
      <c r="C7646" t="s">
        <v>87</v>
      </c>
      <c r="D7646" t="str">
        <f>HYPERLINK("http://service.sap.com/sap/support/notes/1727546","1727546")</f>
        <v>1727546</v>
      </c>
      <c r="E7646">
        <v>1</v>
      </c>
      <c r="F7646" t="s">
        <v>6527</v>
      </c>
    </row>
    <row r="7647" spans="1:6" x14ac:dyDescent="0.25">
      <c r="A7647" t="s">
        <v>6442</v>
      </c>
      <c r="B7647" t="s">
        <v>86</v>
      </c>
      <c r="C7647" t="s">
        <v>87</v>
      </c>
      <c r="D7647" t="str">
        <f>HYPERLINK("http://service.sap.com/sap/support/notes/1729331","1729331")</f>
        <v>1729331</v>
      </c>
      <c r="E7647">
        <v>1</v>
      </c>
      <c r="F7647" t="s">
        <v>6528</v>
      </c>
    </row>
    <row r="7648" spans="1:6" x14ac:dyDescent="0.25">
      <c r="A7648" t="s">
        <v>6442</v>
      </c>
      <c r="B7648" t="s">
        <v>86</v>
      </c>
      <c r="C7648" t="s">
        <v>87</v>
      </c>
      <c r="D7648" t="str">
        <f>HYPERLINK("http://service.sap.com/sap/support/notes/1730573","1730573")</f>
        <v>1730573</v>
      </c>
      <c r="E7648">
        <v>1</v>
      </c>
      <c r="F7648" t="s">
        <v>6529</v>
      </c>
    </row>
    <row r="7649" spans="1:6" x14ac:dyDescent="0.25">
      <c r="A7649" t="s">
        <v>6442</v>
      </c>
      <c r="B7649" t="s">
        <v>152</v>
      </c>
      <c r="C7649" t="s">
        <v>47</v>
      </c>
      <c r="D7649" t="str">
        <f>HYPERLINK("http://service.sap.com/sap/support/notes/1682754","1682754")</f>
        <v>1682754</v>
      </c>
      <c r="E7649">
        <v>1</v>
      </c>
      <c r="F7649" t="s">
        <v>6530</v>
      </c>
    </row>
    <row r="7650" spans="1:6" x14ac:dyDescent="0.25">
      <c r="A7650" t="s">
        <v>6442</v>
      </c>
      <c r="B7650" t="s">
        <v>152</v>
      </c>
      <c r="C7650" t="s">
        <v>47</v>
      </c>
      <c r="D7650" t="str">
        <f>HYPERLINK("http://service.sap.com/sap/support/notes/1711466","1711466")</f>
        <v>1711466</v>
      </c>
      <c r="E7650">
        <v>3</v>
      </c>
      <c r="F7650" t="s">
        <v>6531</v>
      </c>
    </row>
    <row r="7651" spans="1:6" x14ac:dyDescent="0.25">
      <c r="A7651" t="s">
        <v>6442</v>
      </c>
      <c r="B7651" t="s">
        <v>153</v>
      </c>
      <c r="C7651" t="s">
        <v>154</v>
      </c>
      <c r="D7651" t="str">
        <f>HYPERLINK("http://service.sap.com/sap/support/notes/1378818","1378818")</f>
        <v>1378818</v>
      </c>
      <c r="E7651">
        <v>1</v>
      </c>
      <c r="F7651" t="s">
        <v>5537</v>
      </c>
    </row>
    <row r="7652" spans="1:6" x14ac:dyDescent="0.25">
      <c r="A7652" t="s">
        <v>6442</v>
      </c>
      <c r="B7652" t="s">
        <v>153</v>
      </c>
      <c r="C7652" t="s">
        <v>154</v>
      </c>
      <c r="D7652" t="str">
        <f>HYPERLINK("http://service.sap.com/sap/support/notes/1661842","1661842")</f>
        <v>1661842</v>
      </c>
      <c r="E7652">
        <v>7</v>
      </c>
      <c r="F7652" t="s">
        <v>6532</v>
      </c>
    </row>
    <row r="7653" spans="1:6" x14ac:dyDescent="0.25">
      <c r="A7653" t="s">
        <v>6442</v>
      </c>
      <c r="B7653" t="s">
        <v>153</v>
      </c>
      <c r="C7653" t="s">
        <v>154</v>
      </c>
      <c r="D7653" t="str">
        <f>HYPERLINK("http://service.sap.com/sap/support/notes/1697818","1697818")</f>
        <v>1697818</v>
      </c>
      <c r="E7653">
        <v>4</v>
      </c>
      <c r="F7653" t="s">
        <v>6533</v>
      </c>
    </row>
    <row r="7654" spans="1:6" x14ac:dyDescent="0.25">
      <c r="A7654" t="s">
        <v>6442</v>
      </c>
      <c r="B7654" t="s">
        <v>153</v>
      </c>
      <c r="C7654" t="s">
        <v>154</v>
      </c>
      <c r="D7654" t="str">
        <f>HYPERLINK("http://service.sap.com/sap/support/notes/1699389","1699389")</f>
        <v>1699389</v>
      </c>
      <c r="E7654">
        <v>2</v>
      </c>
      <c r="F7654" t="s">
        <v>4432</v>
      </c>
    </row>
    <row r="7655" spans="1:6" x14ac:dyDescent="0.25">
      <c r="A7655" t="s">
        <v>6442</v>
      </c>
      <c r="B7655" t="s">
        <v>153</v>
      </c>
      <c r="C7655" t="s">
        <v>154</v>
      </c>
      <c r="D7655" t="str">
        <f>HYPERLINK("http://service.sap.com/sap/support/notes/1701768","1701768")</f>
        <v>1701768</v>
      </c>
      <c r="E7655">
        <v>3</v>
      </c>
      <c r="F7655" t="s">
        <v>6534</v>
      </c>
    </row>
    <row r="7656" spans="1:6" x14ac:dyDescent="0.25">
      <c r="A7656" t="s">
        <v>6442</v>
      </c>
      <c r="B7656" t="s">
        <v>153</v>
      </c>
      <c r="C7656" t="s">
        <v>154</v>
      </c>
      <c r="D7656" t="str">
        <f>HYPERLINK("http://service.sap.com/sap/support/notes/1704286","1704286")</f>
        <v>1704286</v>
      </c>
      <c r="E7656">
        <v>5</v>
      </c>
      <c r="F7656" t="s">
        <v>6535</v>
      </c>
    </row>
    <row r="7657" spans="1:6" x14ac:dyDescent="0.25">
      <c r="A7657" t="s">
        <v>6442</v>
      </c>
      <c r="B7657" t="s">
        <v>153</v>
      </c>
      <c r="C7657" t="s">
        <v>154</v>
      </c>
      <c r="D7657" t="str">
        <f>HYPERLINK("http://service.sap.com/sap/support/notes/1709522","1709522")</f>
        <v>1709522</v>
      </c>
      <c r="E7657">
        <v>2</v>
      </c>
      <c r="F7657" t="s">
        <v>6536</v>
      </c>
    </row>
    <row r="7658" spans="1:6" x14ac:dyDescent="0.25">
      <c r="A7658" t="s">
        <v>6442</v>
      </c>
      <c r="B7658" t="s">
        <v>153</v>
      </c>
      <c r="C7658" t="s">
        <v>154</v>
      </c>
      <c r="D7658" t="str">
        <f>HYPERLINK("http://service.sap.com/sap/support/notes/1710537","1710537")</f>
        <v>1710537</v>
      </c>
      <c r="E7658">
        <v>2</v>
      </c>
      <c r="F7658" t="s">
        <v>6537</v>
      </c>
    </row>
    <row r="7659" spans="1:6" x14ac:dyDescent="0.25">
      <c r="A7659" t="s">
        <v>6442</v>
      </c>
      <c r="B7659" t="s">
        <v>153</v>
      </c>
      <c r="C7659" t="s">
        <v>154</v>
      </c>
      <c r="D7659" t="str">
        <f>HYPERLINK("http://service.sap.com/sap/support/notes/1730257","1730257")</f>
        <v>1730257</v>
      </c>
      <c r="E7659">
        <v>2</v>
      </c>
      <c r="F7659" t="s">
        <v>6538</v>
      </c>
    </row>
    <row r="7660" spans="1:6" x14ac:dyDescent="0.25">
      <c r="A7660" t="s">
        <v>6442</v>
      </c>
      <c r="B7660" t="s">
        <v>179</v>
      </c>
      <c r="C7660" t="s">
        <v>180</v>
      </c>
      <c r="D7660" t="str">
        <f>HYPERLINK("http://service.sap.com/sap/support/notes/1691551","1691551")</f>
        <v>1691551</v>
      </c>
      <c r="E7660">
        <v>2</v>
      </c>
      <c r="F7660" t="s">
        <v>3183</v>
      </c>
    </row>
    <row r="7661" spans="1:6" x14ac:dyDescent="0.25">
      <c r="A7661" t="s">
        <v>6442</v>
      </c>
      <c r="B7661" t="s">
        <v>179</v>
      </c>
      <c r="C7661" t="s">
        <v>180</v>
      </c>
      <c r="D7661" t="str">
        <f>HYPERLINK("http://service.sap.com/sap/support/notes/1720950","1720950")</f>
        <v>1720950</v>
      </c>
      <c r="E7661">
        <v>2</v>
      </c>
      <c r="F7661" t="s">
        <v>6539</v>
      </c>
    </row>
    <row r="7662" spans="1:6" x14ac:dyDescent="0.25">
      <c r="A7662" t="s">
        <v>6442</v>
      </c>
      <c r="B7662" t="s">
        <v>179</v>
      </c>
      <c r="C7662" t="s">
        <v>180</v>
      </c>
      <c r="D7662" t="str">
        <f>HYPERLINK("http://service.sap.com/sap/support/notes/1723584","1723584")</f>
        <v>1723584</v>
      </c>
      <c r="E7662">
        <v>3</v>
      </c>
      <c r="F7662" t="s">
        <v>4483</v>
      </c>
    </row>
    <row r="7663" spans="1:6" x14ac:dyDescent="0.25">
      <c r="A7663" t="s">
        <v>6442</v>
      </c>
      <c r="B7663" t="s">
        <v>179</v>
      </c>
      <c r="C7663" t="s">
        <v>180</v>
      </c>
      <c r="D7663" t="str">
        <f>HYPERLINK("http://service.sap.com/sap/support/notes/1727171","1727171")</f>
        <v>1727171</v>
      </c>
      <c r="E7663">
        <v>1</v>
      </c>
      <c r="F7663" t="s">
        <v>6540</v>
      </c>
    </row>
    <row r="7664" spans="1:6" x14ac:dyDescent="0.25">
      <c r="A7664" t="s">
        <v>6442</v>
      </c>
      <c r="B7664" t="s">
        <v>191</v>
      </c>
      <c r="C7664" t="s">
        <v>62</v>
      </c>
      <c r="D7664" t="str">
        <f>HYPERLINK("http://service.sap.com/sap/support/notes/1498792","1498792")</f>
        <v>1498792</v>
      </c>
      <c r="E7664">
        <v>7</v>
      </c>
      <c r="F7664" t="s">
        <v>4104</v>
      </c>
    </row>
    <row r="7665" spans="1:6" x14ac:dyDescent="0.25">
      <c r="A7665" t="s">
        <v>6442</v>
      </c>
      <c r="B7665" t="s">
        <v>191</v>
      </c>
      <c r="C7665" t="s">
        <v>62</v>
      </c>
      <c r="D7665" t="str">
        <f>HYPERLINK("http://service.sap.com/sap/support/notes/1503632","1503632")</f>
        <v>1503632</v>
      </c>
      <c r="E7665">
        <v>9</v>
      </c>
      <c r="F7665" t="s">
        <v>6541</v>
      </c>
    </row>
    <row r="7666" spans="1:6" x14ac:dyDescent="0.25">
      <c r="A7666" t="s">
        <v>6442</v>
      </c>
      <c r="B7666" t="s">
        <v>191</v>
      </c>
      <c r="C7666" t="s">
        <v>62</v>
      </c>
      <c r="D7666" t="str">
        <f>HYPERLINK("http://service.sap.com/sap/support/notes/1532137","1532137")</f>
        <v>1532137</v>
      </c>
      <c r="E7666">
        <v>2</v>
      </c>
      <c r="F7666" t="s">
        <v>6542</v>
      </c>
    </row>
    <row r="7667" spans="1:6" x14ac:dyDescent="0.25">
      <c r="A7667" t="s">
        <v>6442</v>
      </c>
      <c r="B7667" t="s">
        <v>478</v>
      </c>
      <c r="C7667" t="s">
        <v>479</v>
      </c>
      <c r="D7667" t="str">
        <f>HYPERLINK("http://service.sap.com/sap/support/notes/1535344","1535344")</f>
        <v>1535344</v>
      </c>
      <c r="E7667">
        <v>2</v>
      </c>
      <c r="F7667" t="s">
        <v>6543</v>
      </c>
    </row>
    <row r="7668" spans="1:6" x14ac:dyDescent="0.25">
      <c r="A7668" t="s">
        <v>6442</v>
      </c>
      <c r="B7668" t="s">
        <v>478</v>
      </c>
      <c r="C7668" t="s">
        <v>479</v>
      </c>
      <c r="D7668" t="str">
        <f>HYPERLINK("http://service.sap.com/sap/support/notes/1542811","1542811")</f>
        <v>1542811</v>
      </c>
      <c r="E7668">
        <v>4</v>
      </c>
      <c r="F7668" t="s">
        <v>6544</v>
      </c>
    </row>
    <row r="7669" spans="1:6" x14ac:dyDescent="0.25">
      <c r="A7669" t="s">
        <v>6442</v>
      </c>
      <c r="B7669" t="s">
        <v>478</v>
      </c>
      <c r="C7669" t="s">
        <v>479</v>
      </c>
      <c r="D7669" t="str">
        <f>HYPERLINK("http://service.sap.com/sap/support/notes/1544417","1544417")</f>
        <v>1544417</v>
      </c>
      <c r="E7669">
        <v>4</v>
      </c>
      <c r="F7669" t="s">
        <v>6545</v>
      </c>
    </row>
    <row r="7670" spans="1:6" x14ac:dyDescent="0.25">
      <c r="A7670" t="s">
        <v>6442</v>
      </c>
      <c r="B7670" t="s">
        <v>478</v>
      </c>
      <c r="C7670" t="s">
        <v>479</v>
      </c>
      <c r="D7670" t="str">
        <f>HYPERLINK("http://service.sap.com/sap/support/notes/1553892","1553892")</f>
        <v>1553892</v>
      </c>
      <c r="E7670">
        <v>2</v>
      </c>
      <c r="F7670" t="s">
        <v>6546</v>
      </c>
    </row>
    <row r="7671" spans="1:6" x14ac:dyDescent="0.25">
      <c r="A7671" t="s">
        <v>6442</v>
      </c>
      <c r="B7671" t="s">
        <v>478</v>
      </c>
      <c r="C7671" t="s">
        <v>479</v>
      </c>
      <c r="D7671" t="str">
        <f>HYPERLINK("http://service.sap.com/sap/support/notes/1554455","1554455")</f>
        <v>1554455</v>
      </c>
      <c r="E7671">
        <v>4</v>
      </c>
      <c r="F7671" t="s">
        <v>6547</v>
      </c>
    </row>
    <row r="7672" spans="1:6" x14ac:dyDescent="0.25">
      <c r="A7672" t="s">
        <v>6442</v>
      </c>
      <c r="B7672" t="s">
        <v>478</v>
      </c>
      <c r="C7672" t="s">
        <v>479</v>
      </c>
      <c r="D7672" t="str">
        <f>HYPERLINK("http://service.sap.com/sap/support/notes/1557057","1557057")</f>
        <v>1557057</v>
      </c>
      <c r="E7672">
        <v>2</v>
      </c>
      <c r="F7672" t="s">
        <v>6548</v>
      </c>
    </row>
    <row r="7673" spans="1:6" x14ac:dyDescent="0.25">
      <c r="A7673" t="s">
        <v>6442</v>
      </c>
      <c r="B7673" t="s">
        <v>478</v>
      </c>
      <c r="C7673" t="s">
        <v>479</v>
      </c>
      <c r="D7673" t="str">
        <f>HYPERLINK("http://service.sap.com/sap/support/notes/1557513","1557513")</f>
        <v>1557513</v>
      </c>
      <c r="E7673">
        <v>3</v>
      </c>
      <c r="F7673" t="s">
        <v>6549</v>
      </c>
    </row>
    <row r="7674" spans="1:6" x14ac:dyDescent="0.25">
      <c r="A7674" t="s">
        <v>6442</v>
      </c>
      <c r="B7674" t="s">
        <v>478</v>
      </c>
      <c r="C7674" t="s">
        <v>479</v>
      </c>
      <c r="D7674" t="str">
        <f>HYPERLINK("http://service.sap.com/sap/support/notes/1598929","1598929")</f>
        <v>1598929</v>
      </c>
      <c r="E7674">
        <v>4</v>
      </c>
      <c r="F7674" t="s">
        <v>6550</v>
      </c>
    </row>
    <row r="7675" spans="1:6" x14ac:dyDescent="0.25">
      <c r="A7675" t="s">
        <v>6442</v>
      </c>
      <c r="B7675" t="s">
        <v>478</v>
      </c>
      <c r="C7675" t="s">
        <v>479</v>
      </c>
      <c r="D7675" t="str">
        <f>HYPERLINK("http://service.sap.com/sap/support/notes/1623972","1623972")</f>
        <v>1623972</v>
      </c>
      <c r="E7675">
        <v>3</v>
      </c>
      <c r="F7675" t="s">
        <v>6429</v>
      </c>
    </row>
    <row r="7676" spans="1:6" x14ac:dyDescent="0.25">
      <c r="A7676" t="s">
        <v>6442</v>
      </c>
      <c r="B7676" t="s">
        <v>478</v>
      </c>
      <c r="C7676" t="s">
        <v>479</v>
      </c>
      <c r="D7676" t="str">
        <f>HYPERLINK("http://service.sap.com/sap/support/notes/1682090","1682090")</f>
        <v>1682090</v>
      </c>
      <c r="E7676">
        <v>3</v>
      </c>
      <c r="F7676" t="s">
        <v>6551</v>
      </c>
    </row>
    <row r="7677" spans="1:6" x14ac:dyDescent="0.25">
      <c r="A7677" t="s">
        <v>6442</v>
      </c>
      <c r="B7677" t="s">
        <v>478</v>
      </c>
      <c r="C7677" t="s">
        <v>479</v>
      </c>
      <c r="D7677" t="str">
        <f>HYPERLINK("http://service.sap.com/sap/support/notes/1714301","1714301")</f>
        <v>1714301</v>
      </c>
      <c r="E7677">
        <v>1</v>
      </c>
      <c r="F7677" t="s">
        <v>6552</v>
      </c>
    </row>
    <row r="7678" spans="1:6" x14ac:dyDescent="0.25">
      <c r="A7678" t="s">
        <v>6442</v>
      </c>
      <c r="B7678" t="s">
        <v>203</v>
      </c>
      <c r="C7678" t="s">
        <v>204</v>
      </c>
    </row>
    <row r="7679" spans="1:6" x14ac:dyDescent="0.25">
      <c r="A7679" t="s">
        <v>6442</v>
      </c>
      <c r="B7679" t="s">
        <v>339</v>
      </c>
      <c r="C7679" t="s">
        <v>340</v>
      </c>
      <c r="D7679" t="str">
        <f>HYPERLINK("http://service.sap.com/sap/support/notes/1724396","1724396")</f>
        <v>1724396</v>
      </c>
      <c r="E7679">
        <v>1</v>
      </c>
      <c r="F7679" t="s">
        <v>4506</v>
      </c>
    </row>
    <row r="7680" spans="1:6" x14ac:dyDescent="0.25">
      <c r="A7680" t="s">
        <v>6442</v>
      </c>
      <c r="B7680" t="s">
        <v>207</v>
      </c>
      <c r="C7680" t="s">
        <v>208</v>
      </c>
    </row>
    <row r="7681" spans="1:6" x14ac:dyDescent="0.25">
      <c r="A7681" t="s">
        <v>6442</v>
      </c>
      <c r="B7681" t="s">
        <v>209</v>
      </c>
      <c r="C7681" t="s">
        <v>210</v>
      </c>
    </row>
    <row r="7682" spans="1:6" x14ac:dyDescent="0.25">
      <c r="A7682" t="s">
        <v>6442</v>
      </c>
      <c r="B7682" t="s">
        <v>790</v>
      </c>
      <c r="C7682" t="s">
        <v>791</v>
      </c>
    </row>
    <row r="7683" spans="1:6" x14ac:dyDescent="0.25">
      <c r="A7683" t="s">
        <v>6442</v>
      </c>
      <c r="B7683" t="s">
        <v>792</v>
      </c>
      <c r="C7683" t="s">
        <v>655</v>
      </c>
      <c r="D7683" t="str">
        <f>HYPERLINK("http://service.sap.com/sap/support/notes/1726696","1726696")</f>
        <v>1726696</v>
      </c>
      <c r="E7683">
        <v>1</v>
      </c>
      <c r="F7683" t="s">
        <v>6553</v>
      </c>
    </row>
    <row r="7684" spans="1:6" x14ac:dyDescent="0.25">
      <c r="A7684" t="s">
        <v>6442</v>
      </c>
      <c r="B7684" t="s">
        <v>5247</v>
      </c>
      <c r="C7684" t="s">
        <v>5248</v>
      </c>
    </row>
    <row r="7685" spans="1:6" x14ac:dyDescent="0.25">
      <c r="A7685" t="s">
        <v>6442</v>
      </c>
      <c r="B7685" t="s">
        <v>5249</v>
      </c>
      <c r="C7685" t="s">
        <v>655</v>
      </c>
      <c r="D7685" t="str">
        <f>HYPERLINK("http://service.sap.com/sap/support/notes/1721941","1721941")</f>
        <v>1721941</v>
      </c>
      <c r="E7685">
        <v>2</v>
      </c>
      <c r="F7685" t="s">
        <v>6554</v>
      </c>
    </row>
    <row r="7686" spans="1:6" x14ac:dyDescent="0.25">
      <c r="A7686" t="s">
        <v>6442</v>
      </c>
      <c r="B7686" t="s">
        <v>389</v>
      </c>
      <c r="C7686" t="s">
        <v>390</v>
      </c>
    </row>
    <row r="7687" spans="1:6" x14ac:dyDescent="0.25">
      <c r="A7687" t="s">
        <v>6442</v>
      </c>
      <c r="B7687" t="s">
        <v>6555</v>
      </c>
      <c r="C7687" t="s">
        <v>6556</v>
      </c>
      <c r="D7687" t="str">
        <f>HYPERLINK("http://service.sap.com/sap/support/notes/1720476","1720476")</f>
        <v>1720476</v>
      </c>
      <c r="E7687">
        <v>1</v>
      </c>
      <c r="F7687" t="s">
        <v>6557</v>
      </c>
    </row>
    <row r="7688" spans="1:6" x14ac:dyDescent="0.25">
      <c r="A7688" t="s">
        <v>6442</v>
      </c>
      <c r="B7688" t="s">
        <v>540</v>
      </c>
      <c r="C7688" t="s">
        <v>541</v>
      </c>
      <c r="D7688" t="str">
        <f>HYPERLINK("http://service.sap.com/sap/support/notes/1703358","1703358")</f>
        <v>1703358</v>
      </c>
      <c r="E7688">
        <v>1</v>
      </c>
      <c r="F7688" t="s">
        <v>6558</v>
      </c>
    </row>
    <row r="7689" spans="1:6" x14ac:dyDescent="0.25">
      <c r="A7689" t="s">
        <v>6559</v>
      </c>
      <c r="B7689" t="s">
        <v>5</v>
      </c>
      <c r="C7689" t="s">
        <v>6</v>
      </c>
    </row>
    <row r="7690" spans="1:6" x14ac:dyDescent="0.25">
      <c r="A7690" t="s">
        <v>6559</v>
      </c>
      <c r="B7690" t="s">
        <v>7</v>
      </c>
      <c r="C7690" t="s">
        <v>8</v>
      </c>
    </row>
    <row r="7691" spans="1:6" x14ac:dyDescent="0.25">
      <c r="A7691" t="s">
        <v>6559</v>
      </c>
      <c r="B7691" t="s">
        <v>11</v>
      </c>
      <c r="C7691" t="s">
        <v>12</v>
      </c>
      <c r="D7691" t="str">
        <f>HYPERLINK("http://service.sap.com/sap/support/notes/1737296","1737296")</f>
        <v>1737296</v>
      </c>
      <c r="E7691">
        <v>1</v>
      </c>
      <c r="F7691" t="s">
        <v>6560</v>
      </c>
    </row>
    <row r="7692" spans="1:6" x14ac:dyDescent="0.25">
      <c r="A7692" t="s">
        <v>6559</v>
      </c>
      <c r="B7692" t="s">
        <v>220</v>
      </c>
      <c r="C7692" t="s">
        <v>435</v>
      </c>
    </row>
    <row r="7693" spans="1:6" x14ac:dyDescent="0.25">
      <c r="A7693" t="s">
        <v>6559</v>
      </c>
      <c r="B7693" t="s">
        <v>438</v>
      </c>
      <c r="C7693" t="s">
        <v>439</v>
      </c>
      <c r="D7693" t="str">
        <f>HYPERLINK("http://service.sap.com/sap/support/notes/1696687","1696687")</f>
        <v>1696687</v>
      </c>
      <c r="E7693">
        <v>2</v>
      </c>
      <c r="F7693" t="s">
        <v>6561</v>
      </c>
    </row>
    <row r="7694" spans="1:6" x14ac:dyDescent="0.25">
      <c r="A7694" t="s">
        <v>6559</v>
      </c>
      <c r="B7694" t="s">
        <v>438</v>
      </c>
      <c r="C7694" t="s">
        <v>439</v>
      </c>
      <c r="D7694" t="str">
        <f>HYPERLINK("http://service.sap.com/sap/support/notes/1698987","1698987")</f>
        <v>1698987</v>
      </c>
      <c r="E7694">
        <v>1</v>
      </c>
      <c r="F7694" t="s">
        <v>6562</v>
      </c>
    </row>
    <row r="7695" spans="1:6" x14ac:dyDescent="0.25">
      <c r="A7695" t="s">
        <v>6559</v>
      </c>
      <c r="B7695" t="s">
        <v>440</v>
      </c>
      <c r="C7695" t="s">
        <v>441</v>
      </c>
    </row>
    <row r="7696" spans="1:6" x14ac:dyDescent="0.25">
      <c r="A7696" t="s">
        <v>6559</v>
      </c>
      <c r="B7696" t="s">
        <v>442</v>
      </c>
      <c r="C7696" t="s">
        <v>443</v>
      </c>
      <c r="D7696" t="str">
        <f>HYPERLINK("http://service.sap.com/sap/support/notes/1696255","1696255")</f>
        <v>1696255</v>
      </c>
      <c r="E7696">
        <v>4</v>
      </c>
      <c r="F7696" t="s">
        <v>6563</v>
      </c>
    </row>
    <row r="7697" spans="1:6" x14ac:dyDescent="0.25">
      <c r="A7697" t="s">
        <v>6559</v>
      </c>
      <c r="B7697" t="s">
        <v>15</v>
      </c>
      <c r="C7697" t="s">
        <v>16</v>
      </c>
    </row>
    <row r="7698" spans="1:6" x14ac:dyDescent="0.25">
      <c r="A7698" t="s">
        <v>6559</v>
      </c>
      <c r="B7698" t="s">
        <v>17</v>
      </c>
      <c r="C7698" t="s">
        <v>18</v>
      </c>
      <c r="D7698" t="str">
        <f>HYPERLINK("http://service.sap.com/sap/support/notes/1731843","1731843")</f>
        <v>1731843</v>
      </c>
      <c r="E7698">
        <v>1</v>
      </c>
      <c r="F7698" t="s">
        <v>6564</v>
      </c>
    </row>
    <row r="7699" spans="1:6" x14ac:dyDescent="0.25">
      <c r="A7699" t="s">
        <v>6559</v>
      </c>
      <c r="B7699" t="s">
        <v>17</v>
      </c>
      <c r="C7699" t="s">
        <v>18</v>
      </c>
      <c r="D7699" t="str">
        <f>HYPERLINK("http://service.sap.com/sap/support/notes/1737368","1737368")</f>
        <v>1737368</v>
      </c>
      <c r="E7699">
        <v>2</v>
      </c>
      <c r="F7699" t="s">
        <v>6565</v>
      </c>
    </row>
    <row r="7700" spans="1:6" x14ac:dyDescent="0.25">
      <c r="A7700" t="s">
        <v>6559</v>
      </c>
      <c r="B7700" t="s">
        <v>17</v>
      </c>
      <c r="C7700" t="s">
        <v>18</v>
      </c>
      <c r="D7700" t="str">
        <f>HYPERLINK("http://service.sap.com/sap/support/notes/1739652","1739652")</f>
        <v>1739652</v>
      </c>
      <c r="E7700">
        <v>2</v>
      </c>
      <c r="F7700" t="s">
        <v>6566</v>
      </c>
    </row>
    <row r="7701" spans="1:6" x14ac:dyDescent="0.25">
      <c r="A7701" t="s">
        <v>6559</v>
      </c>
      <c r="B7701" t="s">
        <v>19</v>
      </c>
      <c r="C7701" t="s">
        <v>20</v>
      </c>
      <c r="D7701" t="str">
        <f>HYPERLINK("http://service.sap.com/sap/support/notes/1705003","1705003")</f>
        <v>1705003</v>
      </c>
      <c r="E7701">
        <v>1</v>
      </c>
      <c r="F7701" t="s">
        <v>6567</v>
      </c>
    </row>
    <row r="7702" spans="1:6" x14ac:dyDescent="0.25">
      <c r="A7702" t="s">
        <v>6559</v>
      </c>
      <c r="B7702" t="s">
        <v>19</v>
      </c>
      <c r="C7702" t="s">
        <v>20</v>
      </c>
      <c r="D7702" t="str">
        <f>HYPERLINK("http://service.sap.com/sap/support/notes/1718733","1718733")</f>
        <v>1718733</v>
      </c>
      <c r="E7702">
        <v>3</v>
      </c>
      <c r="F7702" t="s">
        <v>6568</v>
      </c>
    </row>
    <row r="7703" spans="1:6" x14ac:dyDescent="0.25">
      <c r="A7703" t="s">
        <v>6559</v>
      </c>
      <c r="B7703" t="s">
        <v>19</v>
      </c>
      <c r="C7703" t="s">
        <v>20</v>
      </c>
      <c r="D7703" t="str">
        <f>HYPERLINK("http://service.sap.com/sap/support/notes/1722306","1722306")</f>
        <v>1722306</v>
      </c>
      <c r="E7703">
        <v>2</v>
      </c>
      <c r="F7703" t="s">
        <v>6569</v>
      </c>
    </row>
    <row r="7704" spans="1:6" x14ac:dyDescent="0.25">
      <c r="A7704" t="s">
        <v>6559</v>
      </c>
      <c r="B7704" t="s">
        <v>19</v>
      </c>
      <c r="C7704" t="s">
        <v>20</v>
      </c>
      <c r="D7704" t="str">
        <f>HYPERLINK("http://service.sap.com/sap/support/notes/1726295","1726295")</f>
        <v>1726295</v>
      </c>
      <c r="E7704">
        <v>2</v>
      </c>
      <c r="F7704" t="s">
        <v>6570</v>
      </c>
    </row>
    <row r="7705" spans="1:6" x14ac:dyDescent="0.25">
      <c r="A7705" t="s">
        <v>6559</v>
      </c>
      <c r="B7705" t="s">
        <v>19</v>
      </c>
      <c r="C7705" t="s">
        <v>20</v>
      </c>
      <c r="D7705" t="str">
        <f>HYPERLINK("http://service.sap.com/sap/support/notes/1731544","1731544")</f>
        <v>1731544</v>
      </c>
      <c r="E7705">
        <v>3</v>
      </c>
      <c r="F7705" t="s">
        <v>6571</v>
      </c>
    </row>
    <row r="7706" spans="1:6" x14ac:dyDescent="0.25">
      <c r="A7706" t="s">
        <v>6559</v>
      </c>
      <c r="B7706" t="s">
        <v>19</v>
      </c>
      <c r="C7706" t="s">
        <v>20</v>
      </c>
      <c r="D7706" t="str">
        <f>HYPERLINK("http://service.sap.com/sap/support/notes/1731810","1731810")</f>
        <v>1731810</v>
      </c>
      <c r="E7706">
        <v>1</v>
      </c>
      <c r="F7706" t="s">
        <v>6572</v>
      </c>
    </row>
    <row r="7707" spans="1:6" x14ac:dyDescent="0.25">
      <c r="A7707" t="s">
        <v>6559</v>
      </c>
      <c r="B7707" t="s">
        <v>19</v>
      </c>
      <c r="C7707" t="s">
        <v>20</v>
      </c>
      <c r="D7707" t="str">
        <f>HYPERLINK("http://service.sap.com/sap/support/notes/1731821","1731821")</f>
        <v>1731821</v>
      </c>
      <c r="E7707">
        <v>3</v>
      </c>
      <c r="F7707" t="s">
        <v>6573</v>
      </c>
    </row>
    <row r="7708" spans="1:6" x14ac:dyDescent="0.25">
      <c r="A7708" t="s">
        <v>6559</v>
      </c>
      <c r="B7708" t="s">
        <v>19</v>
      </c>
      <c r="C7708" t="s">
        <v>20</v>
      </c>
      <c r="D7708" t="str">
        <f>HYPERLINK("http://service.sap.com/sap/support/notes/1731907","1731907")</f>
        <v>1731907</v>
      </c>
      <c r="E7708">
        <v>1</v>
      </c>
      <c r="F7708" t="s">
        <v>6574</v>
      </c>
    </row>
    <row r="7709" spans="1:6" x14ac:dyDescent="0.25">
      <c r="A7709" t="s">
        <v>6559</v>
      </c>
      <c r="B7709" t="s">
        <v>19</v>
      </c>
      <c r="C7709" t="s">
        <v>20</v>
      </c>
      <c r="D7709" t="str">
        <f>HYPERLINK("http://service.sap.com/sap/support/notes/1732023","1732023")</f>
        <v>1732023</v>
      </c>
      <c r="E7709">
        <v>2</v>
      </c>
      <c r="F7709" t="s">
        <v>6575</v>
      </c>
    </row>
    <row r="7710" spans="1:6" x14ac:dyDescent="0.25">
      <c r="A7710" t="s">
        <v>6559</v>
      </c>
      <c r="B7710" t="s">
        <v>19</v>
      </c>
      <c r="C7710" t="s">
        <v>20</v>
      </c>
      <c r="D7710" t="str">
        <f>HYPERLINK("http://service.sap.com/sap/support/notes/1732029","1732029")</f>
        <v>1732029</v>
      </c>
      <c r="E7710">
        <v>2</v>
      </c>
      <c r="F7710" t="s">
        <v>6576</v>
      </c>
    </row>
    <row r="7711" spans="1:6" x14ac:dyDescent="0.25">
      <c r="A7711" t="s">
        <v>6559</v>
      </c>
      <c r="B7711" t="s">
        <v>19</v>
      </c>
      <c r="C7711" t="s">
        <v>20</v>
      </c>
      <c r="D7711" t="str">
        <f>HYPERLINK("http://service.sap.com/sap/support/notes/1733187","1733187")</f>
        <v>1733187</v>
      </c>
      <c r="E7711">
        <v>1</v>
      </c>
      <c r="F7711" t="s">
        <v>6577</v>
      </c>
    </row>
    <row r="7712" spans="1:6" x14ac:dyDescent="0.25">
      <c r="A7712" t="s">
        <v>6559</v>
      </c>
      <c r="B7712" t="s">
        <v>19</v>
      </c>
      <c r="C7712" t="s">
        <v>20</v>
      </c>
      <c r="D7712" t="str">
        <f>HYPERLINK("http://service.sap.com/sap/support/notes/1733491","1733491")</f>
        <v>1733491</v>
      </c>
      <c r="E7712">
        <v>2</v>
      </c>
      <c r="F7712" t="s">
        <v>6461</v>
      </c>
    </row>
    <row r="7713" spans="1:6" x14ac:dyDescent="0.25">
      <c r="A7713" t="s">
        <v>6559</v>
      </c>
      <c r="B7713" t="s">
        <v>19</v>
      </c>
      <c r="C7713" t="s">
        <v>20</v>
      </c>
      <c r="D7713" t="str">
        <f>HYPERLINK("http://service.sap.com/sap/support/notes/1733602","1733602")</f>
        <v>1733602</v>
      </c>
      <c r="E7713">
        <v>1</v>
      </c>
      <c r="F7713" t="s">
        <v>6578</v>
      </c>
    </row>
    <row r="7714" spans="1:6" x14ac:dyDescent="0.25">
      <c r="A7714" t="s">
        <v>6559</v>
      </c>
      <c r="B7714" t="s">
        <v>19</v>
      </c>
      <c r="C7714" t="s">
        <v>20</v>
      </c>
      <c r="D7714" t="str">
        <f>HYPERLINK("http://service.sap.com/sap/support/notes/1734719","1734719")</f>
        <v>1734719</v>
      </c>
      <c r="E7714">
        <v>1</v>
      </c>
      <c r="F7714" t="s">
        <v>6579</v>
      </c>
    </row>
    <row r="7715" spans="1:6" x14ac:dyDescent="0.25">
      <c r="A7715" t="s">
        <v>6559</v>
      </c>
      <c r="B7715" t="s">
        <v>19</v>
      </c>
      <c r="C7715" t="s">
        <v>20</v>
      </c>
      <c r="D7715" t="str">
        <f>HYPERLINK("http://service.sap.com/sap/support/notes/1734825","1734825")</f>
        <v>1734825</v>
      </c>
      <c r="E7715">
        <v>1</v>
      </c>
      <c r="F7715" t="s">
        <v>6580</v>
      </c>
    </row>
    <row r="7716" spans="1:6" x14ac:dyDescent="0.25">
      <c r="A7716" t="s">
        <v>6559</v>
      </c>
      <c r="B7716" t="s">
        <v>19</v>
      </c>
      <c r="C7716" t="s">
        <v>20</v>
      </c>
      <c r="D7716" t="str">
        <f>HYPERLINK("http://service.sap.com/sap/support/notes/1736080","1736080")</f>
        <v>1736080</v>
      </c>
      <c r="E7716">
        <v>1</v>
      </c>
      <c r="F7716" t="s">
        <v>6581</v>
      </c>
    </row>
    <row r="7717" spans="1:6" x14ac:dyDescent="0.25">
      <c r="A7717" t="s">
        <v>6559</v>
      </c>
      <c r="B7717" t="s">
        <v>19</v>
      </c>
      <c r="C7717" t="s">
        <v>20</v>
      </c>
      <c r="D7717" t="str">
        <f>HYPERLINK("http://service.sap.com/sap/support/notes/1736378","1736378")</f>
        <v>1736378</v>
      </c>
      <c r="E7717">
        <v>1</v>
      </c>
      <c r="F7717" t="s">
        <v>6582</v>
      </c>
    </row>
    <row r="7718" spans="1:6" x14ac:dyDescent="0.25">
      <c r="A7718" t="s">
        <v>6559</v>
      </c>
      <c r="B7718" t="s">
        <v>19</v>
      </c>
      <c r="C7718" t="s">
        <v>20</v>
      </c>
      <c r="D7718" t="str">
        <f>HYPERLINK("http://service.sap.com/sap/support/notes/1737031","1737031")</f>
        <v>1737031</v>
      </c>
      <c r="E7718">
        <v>1</v>
      </c>
      <c r="F7718" t="s">
        <v>6583</v>
      </c>
    </row>
    <row r="7719" spans="1:6" x14ac:dyDescent="0.25">
      <c r="A7719" t="s">
        <v>6559</v>
      </c>
      <c r="B7719" t="s">
        <v>19</v>
      </c>
      <c r="C7719" t="s">
        <v>20</v>
      </c>
      <c r="D7719" t="str">
        <f>HYPERLINK("http://service.sap.com/sap/support/notes/1737056","1737056")</f>
        <v>1737056</v>
      </c>
      <c r="E7719">
        <v>1</v>
      </c>
      <c r="F7719" t="s">
        <v>6584</v>
      </c>
    </row>
    <row r="7720" spans="1:6" x14ac:dyDescent="0.25">
      <c r="A7720" t="s">
        <v>6559</v>
      </c>
      <c r="B7720" t="s">
        <v>19</v>
      </c>
      <c r="C7720" t="s">
        <v>20</v>
      </c>
      <c r="D7720" t="str">
        <f>HYPERLINK("http://service.sap.com/sap/support/notes/1737502","1737502")</f>
        <v>1737502</v>
      </c>
      <c r="E7720">
        <v>1</v>
      </c>
      <c r="F7720" t="s">
        <v>6585</v>
      </c>
    </row>
    <row r="7721" spans="1:6" x14ac:dyDescent="0.25">
      <c r="A7721" t="s">
        <v>6559</v>
      </c>
      <c r="B7721" t="s">
        <v>19</v>
      </c>
      <c r="C7721" t="s">
        <v>20</v>
      </c>
      <c r="D7721" t="str">
        <f>HYPERLINK("http://service.sap.com/sap/support/notes/1737548","1737548")</f>
        <v>1737548</v>
      </c>
      <c r="E7721">
        <v>1</v>
      </c>
      <c r="F7721" t="s">
        <v>6586</v>
      </c>
    </row>
    <row r="7722" spans="1:6" x14ac:dyDescent="0.25">
      <c r="A7722" t="s">
        <v>6559</v>
      </c>
      <c r="B7722" t="s">
        <v>19</v>
      </c>
      <c r="C7722" t="s">
        <v>20</v>
      </c>
      <c r="D7722" t="str">
        <f>HYPERLINK("http://service.sap.com/sap/support/notes/1737646","1737646")</f>
        <v>1737646</v>
      </c>
      <c r="E7722">
        <v>2</v>
      </c>
      <c r="F7722" t="s">
        <v>6587</v>
      </c>
    </row>
    <row r="7723" spans="1:6" x14ac:dyDescent="0.25">
      <c r="A7723" t="s">
        <v>6559</v>
      </c>
      <c r="B7723" t="s">
        <v>19</v>
      </c>
      <c r="C7723" t="s">
        <v>20</v>
      </c>
      <c r="D7723" t="str">
        <f>HYPERLINK("http://service.sap.com/sap/support/notes/1738131","1738131")</f>
        <v>1738131</v>
      </c>
      <c r="E7723">
        <v>1</v>
      </c>
      <c r="F7723" t="s">
        <v>6588</v>
      </c>
    </row>
    <row r="7724" spans="1:6" x14ac:dyDescent="0.25">
      <c r="A7724" t="s">
        <v>6559</v>
      </c>
      <c r="B7724" t="s">
        <v>19</v>
      </c>
      <c r="C7724" t="s">
        <v>20</v>
      </c>
      <c r="D7724" t="str">
        <f>HYPERLINK("http://service.sap.com/sap/support/notes/1738508","1738508")</f>
        <v>1738508</v>
      </c>
      <c r="E7724">
        <v>1</v>
      </c>
      <c r="F7724" t="s">
        <v>6589</v>
      </c>
    </row>
    <row r="7725" spans="1:6" x14ac:dyDescent="0.25">
      <c r="A7725" t="s">
        <v>6559</v>
      </c>
      <c r="B7725" t="s">
        <v>19</v>
      </c>
      <c r="C7725" t="s">
        <v>20</v>
      </c>
      <c r="D7725" t="str">
        <f>HYPERLINK("http://service.sap.com/sap/support/notes/1740898","1740898")</f>
        <v>1740898</v>
      </c>
      <c r="E7725">
        <v>1</v>
      </c>
      <c r="F7725" t="s">
        <v>6590</v>
      </c>
    </row>
    <row r="7726" spans="1:6" x14ac:dyDescent="0.25">
      <c r="A7726" t="s">
        <v>6559</v>
      </c>
      <c r="B7726" t="s">
        <v>19</v>
      </c>
      <c r="C7726" t="s">
        <v>20</v>
      </c>
      <c r="D7726" t="str">
        <f>HYPERLINK("http://service.sap.com/sap/support/notes/1740899","1740899")</f>
        <v>1740899</v>
      </c>
      <c r="E7726">
        <v>1</v>
      </c>
      <c r="F7726" t="s">
        <v>6591</v>
      </c>
    </row>
    <row r="7727" spans="1:6" x14ac:dyDescent="0.25">
      <c r="A7727" t="s">
        <v>6559</v>
      </c>
      <c r="B7727" t="s">
        <v>19</v>
      </c>
      <c r="C7727" t="s">
        <v>20</v>
      </c>
      <c r="D7727" t="str">
        <f>HYPERLINK("http://service.sap.com/sap/support/notes/1741502","1741502")</f>
        <v>1741502</v>
      </c>
      <c r="E7727">
        <v>1</v>
      </c>
      <c r="F7727" t="s">
        <v>6592</v>
      </c>
    </row>
    <row r="7728" spans="1:6" x14ac:dyDescent="0.25">
      <c r="A7728" t="s">
        <v>6559</v>
      </c>
      <c r="B7728" t="s">
        <v>19</v>
      </c>
      <c r="C7728" t="s">
        <v>20</v>
      </c>
      <c r="D7728" t="str">
        <f>HYPERLINK("http://service.sap.com/sap/support/notes/1742098","1742098")</f>
        <v>1742098</v>
      </c>
      <c r="E7728">
        <v>1</v>
      </c>
      <c r="F7728" t="s">
        <v>6593</v>
      </c>
    </row>
    <row r="7729" spans="1:6" x14ac:dyDescent="0.25">
      <c r="A7729" t="s">
        <v>6559</v>
      </c>
      <c r="B7729" t="s">
        <v>19</v>
      </c>
      <c r="C7729" t="s">
        <v>20</v>
      </c>
      <c r="D7729" t="str">
        <f>HYPERLINK("http://service.sap.com/sap/support/notes/1742374","1742374")</f>
        <v>1742374</v>
      </c>
      <c r="E7729">
        <v>1</v>
      </c>
      <c r="F7729" t="s">
        <v>6594</v>
      </c>
    </row>
    <row r="7730" spans="1:6" x14ac:dyDescent="0.25">
      <c r="A7730" t="s">
        <v>6559</v>
      </c>
      <c r="B7730" t="s">
        <v>19</v>
      </c>
      <c r="C7730" t="s">
        <v>20</v>
      </c>
      <c r="D7730" t="str">
        <f>HYPERLINK("http://service.sap.com/sap/support/notes/1743590","1743590")</f>
        <v>1743590</v>
      </c>
      <c r="E7730">
        <v>1</v>
      </c>
      <c r="F7730" t="s">
        <v>6595</v>
      </c>
    </row>
    <row r="7731" spans="1:6" x14ac:dyDescent="0.25">
      <c r="A7731" t="s">
        <v>6559</v>
      </c>
      <c r="B7731" t="s">
        <v>446</v>
      </c>
      <c r="C7731" t="s">
        <v>447</v>
      </c>
      <c r="D7731" t="str">
        <f>HYPERLINK("http://service.sap.com/sap/support/notes/1728048","1728048")</f>
        <v>1728048</v>
      </c>
      <c r="E7731">
        <v>1</v>
      </c>
      <c r="F7731" t="s">
        <v>6596</v>
      </c>
    </row>
    <row r="7732" spans="1:6" x14ac:dyDescent="0.25">
      <c r="A7732" t="s">
        <v>6559</v>
      </c>
      <c r="B7732" t="s">
        <v>446</v>
      </c>
      <c r="C7732" t="s">
        <v>447</v>
      </c>
      <c r="D7732" t="str">
        <f>HYPERLINK("http://service.sap.com/sap/support/notes/1729277","1729277")</f>
        <v>1729277</v>
      </c>
      <c r="E7732">
        <v>1</v>
      </c>
      <c r="F7732" t="s">
        <v>6597</v>
      </c>
    </row>
    <row r="7733" spans="1:6" x14ac:dyDescent="0.25">
      <c r="A7733" t="s">
        <v>6559</v>
      </c>
      <c r="B7733" t="s">
        <v>446</v>
      </c>
      <c r="C7733" t="s">
        <v>447</v>
      </c>
      <c r="D7733" t="str">
        <f>HYPERLINK("http://service.sap.com/sap/support/notes/1730366","1730366")</f>
        <v>1730366</v>
      </c>
      <c r="E7733">
        <v>2</v>
      </c>
      <c r="F7733" t="s">
        <v>6480</v>
      </c>
    </row>
    <row r="7734" spans="1:6" x14ac:dyDescent="0.25">
      <c r="A7734" t="s">
        <v>6559</v>
      </c>
      <c r="B7734" t="s">
        <v>446</v>
      </c>
      <c r="C7734" t="s">
        <v>447</v>
      </c>
      <c r="D7734" t="str">
        <f>HYPERLINK("http://service.sap.com/sap/support/notes/1730879","1730879")</f>
        <v>1730879</v>
      </c>
      <c r="E7734">
        <v>2</v>
      </c>
      <c r="F7734" t="s">
        <v>6598</v>
      </c>
    </row>
    <row r="7735" spans="1:6" x14ac:dyDescent="0.25">
      <c r="A7735" t="s">
        <v>6559</v>
      </c>
      <c r="B7735" t="s">
        <v>446</v>
      </c>
      <c r="C7735" t="s">
        <v>447</v>
      </c>
      <c r="D7735" t="str">
        <f>HYPERLINK("http://service.sap.com/sap/support/notes/1731793","1731793")</f>
        <v>1731793</v>
      </c>
      <c r="E7735">
        <v>1</v>
      </c>
      <c r="F7735" t="s">
        <v>6599</v>
      </c>
    </row>
    <row r="7736" spans="1:6" x14ac:dyDescent="0.25">
      <c r="A7736" t="s">
        <v>6559</v>
      </c>
      <c r="B7736" t="s">
        <v>446</v>
      </c>
      <c r="C7736" t="s">
        <v>447</v>
      </c>
      <c r="D7736" t="str">
        <f>HYPERLINK("http://service.sap.com/sap/support/notes/1732027","1732027")</f>
        <v>1732027</v>
      </c>
      <c r="E7736">
        <v>2</v>
      </c>
      <c r="F7736" t="s">
        <v>6600</v>
      </c>
    </row>
    <row r="7737" spans="1:6" x14ac:dyDescent="0.25">
      <c r="A7737" t="s">
        <v>6559</v>
      </c>
      <c r="B7737" t="s">
        <v>446</v>
      </c>
      <c r="C7737" t="s">
        <v>447</v>
      </c>
      <c r="D7737" t="str">
        <f>HYPERLINK("http://service.sap.com/sap/support/notes/1732146","1732146")</f>
        <v>1732146</v>
      </c>
      <c r="E7737">
        <v>4</v>
      </c>
      <c r="F7737" t="s">
        <v>6601</v>
      </c>
    </row>
    <row r="7738" spans="1:6" x14ac:dyDescent="0.25">
      <c r="A7738" t="s">
        <v>6559</v>
      </c>
      <c r="B7738" t="s">
        <v>446</v>
      </c>
      <c r="C7738" t="s">
        <v>447</v>
      </c>
      <c r="D7738" t="str">
        <f>HYPERLINK("http://service.sap.com/sap/support/notes/1732306","1732306")</f>
        <v>1732306</v>
      </c>
      <c r="E7738">
        <v>1</v>
      </c>
      <c r="F7738" t="s">
        <v>6602</v>
      </c>
    </row>
    <row r="7739" spans="1:6" x14ac:dyDescent="0.25">
      <c r="A7739" t="s">
        <v>6559</v>
      </c>
      <c r="B7739" t="s">
        <v>446</v>
      </c>
      <c r="C7739" t="s">
        <v>447</v>
      </c>
      <c r="D7739" t="str">
        <f>HYPERLINK("http://service.sap.com/sap/support/notes/1732985","1732985")</f>
        <v>1732985</v>
      </c>
      <c r="E7739">
        <v>1</v>
      </c>
      <c r="F7739" t="s">
        <v>6603</v>
      </c>
    </row>
    <row r="7740" spans="1:6" x14ac:dyDescent="0.25">
      <c r="A7740" t="s">
        <v>6559</v>
      </c>
      <c r="B7740" t="s">
        <v>446</v>
      </c>
      <c r="C7740" t="s">
        <v>447</v>
      </c>
      <c r="D7740" t="str">
        <f>HYPERLINK("http://service.sap.com/sap/support/notes/1733174","1733174")</f>
        <v>1733174</v>
      </c>
      <c r="E7740">
        <v>1</v>
      </c>
      <c r="F7740" t="s">
        <v>6604</v>
      </c>
    </row>
    <row r="7741" spans="1:6" x14ac:dyDescent="0.25">
      <c r="A7741" t="s">
        <v>6559</v>
      </c>
      <c r="B7741" t="s">
        <v>446</v>
      </c>
      <c r="C7741" t="s">
        <v>447</v>
      </c>
      <c r="D7741" t="str">
        <f>HYPERLINK("http://service.sap.com/sap/support/notes/1733705","1733705")</f>
        <v>1733705</v>
      </c>
      <c r="E7741">
        <v>1</v>
      </c>
      <c r="F7741" t="s">
        <v>6605</v>
      </c>
    </row>
    <row r="7742" spans="1:6" x14ac:dyDescent="0.25">
      <c r="A7742" t="s">
        <v>6559</v>
      </c>
      <c r="B7742" t="s">
        <v>446</v>
      </c>
      <c r="C7742" t="s">
        <v>447</v>
      </c>
      <c r="D7742" t="str">
        <f>HYPERLINK("http://service.sap.com/sap/support/notes/1734834","1734834")</f>
        <v>1734834</v>
      </c>
      <c r="E7742">
        <v>1</v>
      </c>
      <c r="F7742" t="s">
        <v>6606</v>
      </c>
    </row>
    <row r="7743" spans="1:6" x14ac:dyDescent="0.25">
      <c r="A7743" t="s">
        <v>6559</v>
      </c>
      <c r="B7743" t="s">
        <v>446</v>
      </c>
      <c r="C7743" t="s">
        <v>447</v>
      </c>
      <c r="D7743" t="str">
        <f>HYPERLINK("http://service.sap.com/sap/support/notes/1735266","1735266")</f>
        <v>1735266</v>
      </c>
      <c r="E7743">
        <v>1</v>
      </c>
      <c r="F7743" t="s">
        <v>6607</v>
      </c>
    </row>
    <row r="7744" spans="1:6" x14ac:dyDescent="0.25">
      <c r="A7744" t="s">
        <v>6559</v>
      </c>
      <c r="B7744" t="s">
        <v>446</v>
      </c>
      <c r="C7744" t="s">
        <v>447</v>
      </c>
      <c r="D7744" t="str">
        <f>HYPERLINK("http://service.sap.com/sap/support/notes/1736646","1736646")</f>
        <v>1736646</v>
      </c>
      <c r="E7744">
        <v>1</v>
      </c>
      <c r="F7744" t="s">
        <v>6608</v>
      </c>
    </row>
    <row r="7745" spans="1:6" x14ac:dyDescent="0.25">
      <c r="A7745" t="s">
        <v>6559</v>
      </c>
      <c r="B7745" t="s">
        <v>446</v>
      </c>
      <c r="C7745" t="s">
        <v>447</v>
      </c>
      <c r="D7745" t="str">
        <f>HYPERLINK("http://service.sap.com/sap/support/notes/1737068","1737068")</f>
        <v>1737068</v>
      </c>
      <c r="E7745">
        <v>1</v>
      </c>
      <c r="F7745" t="s">
        <v>6609</v>
      </c>
    </row>
    <row r="7746" spans="1:6" x14ac:dyDescent="0.25">
      <c r="A7746" t="s">
        <v>6559</v>
      </c>
      <c r="B7746" t="s">
        <v>446</v>
      </c>
      <c r="C7746" t="s">
        <v>447</v>
      </c>
      <c r="D7746" t="str">
        <f>HYPERLINK("http://service.sap.com/sap/support/notes/1737562","1737562")</f>
        <v>1737562</v>
      </c>
      <c r="E7746">
        <v>1</v>
      </c>
      <c r="F7746" t="s">
        <v>6610</v>
      </c>
    </row>
    <row r="7747" spans="1:6" x14ac:dyDescent="0.25">
      <c r="A7747" t="s">
        <v>6559</v>
      </c>
      <c r="B7747" t="s">
        <v>446</v>
      </c>
      <c r="C7747" t="s">
        <v>447</v>
      </c>
      <c r="D7747" t="str">
        <f>HYPERLINK("http://service.sap.com/sap/support/notes/1739750","1739750")</f>
        <v>1739750</v>
      </c>
      <c r="E7747">
        <v>1</v>
      </c>
      <c r="F7747" t="s">
        <v>6611</v>
      </c>
    </row>
    <row r="7748" spans="1:6" x14ac:dyDescent="0.25">
      <c r="A7748" t="s">
        <v>6559</v>
      </c>
      <c r="B7748" t="s">
        <v>446</v>
      </c>
      <c r="C7748" t="s">
        <v>447</v>
      </c>
      <c r="D7748" t="str">
        <f>HYPERLINK("http://service.sap.com/sap/support/notes/1740086","1740086")</f>
        <v>1740086</v>
      </c>
      <c r="E7748">
        <v>1</v>
      </c>
      <c r="F7748" t="s">
        <v>6612</v>
      </c>
    </row>
    <row r="7749" spans="1:6" x14ac:dyDescent="0.25">
      <c r="A7749" t="s">
        <v>6559</v>
      </c>
      <c r="B7749" t="s">
        <v>446</v>
      </c>
      <c r="C7749" t="s">
        <v>447</v>
      </c>
      <c r="D7749" t="str">
        <f>HYPERLINK("http://service.sap.com/sap/support/notes/1740241","1740241")</f>
        <v>1740241</v>
      </c>
      <c r="E7749">
        <v>1</v>
      </c>
      <c r="F7749" t="s">
        <v>6613</v>
      </c>
    </row>
    <row r="7750" spans="1:6" x14ac:dyDescent="0.25">
      <c r="A7750" t="s">
        <v>6559</v>
      </c>
      <c r="B7750" t="s">
        <v>446</v>
      </c>
      <c r="C7750" t="s">
        <v>447</v>
      </c>
      <c r="D7750" t="str">
        <f>HYPERLINK("http://service.sap.com/sap/support/notes/1740308","1740308")</f>
        <v>1740308</v>
      </c>
      <c r="E7750">
        <v>1</v>
      </c>
      <c r="F7750" t="s">
        <v>6614</v>
      </c>
    </row>
    <row r="7751" spans="1:6" x14ac:dyDescent="0.25">
      <c r="A7751" t="s">
        <v>6559</v>
      </c>
      <c r="B7751" t="s">
        <v>446</v>
      </c>
      <c r="C7751" t="s">
        <v>447</v>
      </c>
      <c r="D7751" t="str">
        <f>HYPERLINK("http://service.sap.com/sap/support/notes/1740897","1740897")</f>
        <v>1740897</v>
      </c>
      <c r="E7751">
        <v>1</v>
      </c>
      <c r="F7751" t="s">
        <v>6615</v>
      </c>
    </row>
    <row r="7752" spans="1:6" x14ac:dyDescent="0.25">
      <c r="A7752" t="s">
        <v>6559</v>
      </c>
      <c r="B7752" t="s">
        <v>446</v>
      </c>
      <c r="C7752" t="s">
        <v>447</v>
      </c>
      <c r="D7752" t="str">
        <f>HYPERLINK("http://service.sap.com/sap/support/notes/1741851","1741851")</f>
        <v>1741851</v>
      </c>
      <c r="E7752">
        <v>1</v>
      </c>
      <c r="F7752" t="s">
        <v>6616</v>
      </c>
    </row>
    <row r="7753" spans="1:6" x14ac:dyDescent="0.25">
      <c r="A7753" t="s">
        <v>6559</v>
      </c>
      <c r="B7753" t="s">
        <v>446</v>
      </c>
      <c r="C7753" t="s">
        <v>447</v>
      </c>
      <c r="D7753" t="str">
        <f>HYPERLINK("http://service.sap.com/sap/support/notes/1743095","1743095")</f>
        <v>1743095</v>
      </c>
      <c r="E7753">
        <v>1</v>
      </c>
      <c r="F7753" t="s">
        <v>6617</v>
      </c>
    </row>
    <row r="7754" spans="1:6" x14ac:dyDescent="0.25">
      <c r="A7754" t="s">
        <v>6559</v>
      </c>
      <c r="B7754" t="s">
        <v>446</v>
      </c>
      <c r="C7754" t="s">
        <v>447</v>
      </c>
      <c r="D7754" t="str">
        <f>HYPERLINK("http://service.sap.com/sap/support/notes/1743353","1743353")</f>
        <v>1743353</v>
      </c>
      <c r="E7754">
        <v>1</v>
      </c>
      <c r="F7754" t="s">
        <v>6618</v>
      </c>
    </row>
    <row r="7755" spans="1:6" x14ac:dyDescent="0.25">
      <c r="A7755" t="s">
        <v>6559</v>
      </c>
      <c r="B7755" t="s">
        <v>446</v>
      </c>
      <c r="C7755" t="s">
        <v>447</v>
      </c>
      <c r="D7755" t="str">
        <f>HYPERLINK("http://service.sap.com/sap/support/notes/1744269","1744269")</f>
        <v>1744269</v>
      </c>
      <c r="E7755">
        <v>1</v>
      </c>
      <c r="F7755" t="s">
        <v>6619</v>
      </c>
    </row>
    <row r="7756" spans="1:6" x14ac:dyDescent="0.25">
      <c r="A7756" t="s">
        <v>6559</v>
      </c>
      <c r="B7756" t="s">
        <v>448</v>
      </c>
      <c r="C7756" t="s">
        <v>449</v>
      </c>
      <c r="D7756" t="str">
        <f>HYPERLINK("http://service.sap.com/sap/support/notes/1732058","1732058")</f>
        <v>1732058</v>
      </c>
      <c r="E7756">
        <v>2</v>
      </c>
      <c r="F7756" t="s">
        <v>6620</v>
      </c>
    </row>
    <row r="7757" spans="1:6" x14ac:dyDescent="0.25">
      <c r="A7757" t="s">
        <v>6559</v>
      </c>
      <c r="B7757" t="s">
        <v>448</v>
      </c>
      <c r="C7757" t="s">
        <v>449</v>
      </c>
      <c r="D7757" t="str">
        <f>HYPERLINK("http://service.sap.com/sap/support/notes/1743000","1743000")</f>
        <v>1743000</v>
      </c>
      <c r="E7757">
        <v>4</v>
      </c>
      <c r="F7757" t="s">
        <v>6621</v>
      </c>
    </row>
    <row r="7758" spans="1:6" x14ac:dyDescent="0.25">
      <c r="A7758" t="s">
        <v>6559</v>
      </c>
      <c r="B7758" t="s">
        <v>450</v>
      </c>
      <c r="C7758" t="s">
        <v>451</v>
      </c>
      <c r="D7758" t="str">
        <f>HYPERLINK("http://service.sap.com/sap/support/notes/1695902","1695902")</f>
        <v>1695902</v>
      </c>
      <c r="E7758">
        <v>3</v>
      </c>
      <c r="F7758" t="s">
        <v>6168</v>
      </c>
    </row>
    <row r="7759" spans="1:6" x14ac:dyDescent="0.25">
      <c r="A7759" t="s">
        <v>6559</v>
      </c>
      <c r="B7759" t="s">
        <v>453</v>
      </c>
      <c r="C7759" t="s">
        <v>454</v>
      </c>
      <c r="D7759" t="str">
        <f>HYPERLINK("http://service.sap.com/sap/support/notes/1741734","1741734")</f>
        <v>1741734</v>
      </c>
      <c r="E7759">
        <v>4</v>
      </c>
      <c r="F7759" t="s">
        <v>6622</v>
      </c>
    </row>
    <row r="7760" spans="1:6" x14ac:dyDescent="0.25">
      <c r="A7760" t="s">
        <v>6559</v>
      </c>
      <c r="B7760" t="s">
        <v>453</v>
      </c>
      <c r="C7760" t="s">
        <v>454</v>
      </c>
      <c r="D7760" t="str">
        <f>HYPERLINK("http://service.sap.com/sap/support/notes/1742474","1742474")</f>
        <v>1742474</v>
      </c>
      <c r="E7760">
        <v>2</v>
      </c>
      <c r="F7760" t="s">
        <v>6623</v>
      </c>
    </row>
    <row r="7761" spans="1:6" x14ac:dyDescent="0.25">
      <c r="A7761" t="s">
        <v>6559</v>
      </c>
      <c r="B7761" t="s">
        <v>453</v>
      </c>
      <c r="C7761" t="s">
        <v>454</v>
      </c>
      <c r="D7761" t="str">
        <f>HYPERLINK("http://service.sap.com/sap/support/notes/1743575","1743575")</f>
        <v>1743575</v>
      </c>
      <c r="E7761">
        <v>1</v>
      </c>
      <c r="F7761" t="s">
        <v>6624</v>
      </c>
    </row>
    <row r="7762" spans="1:6" x14ac:dyDescent="0.25">
      <c r="A7762" t="s">
        <v>6559</v>
      </c>
      <c r="B7762" t="s">
        <v>21</v>
      </c>
      <c r="C7762" t="s">
        <v>12</v>
      </c>
    </row>
    <row r="7763" spans="1:6" x14ac:dyDescent="0.25">
      <c r="A7763" t="s">
        <v>6559</v>
      </c>
      <c r="B7763" t="s">
        <v>455</v>
      </c>
      <c r="C7763" t="s">
        <v>456</v>
      </c>
      <c r="D7763" t="str">
        <f>HYPERLINK("http://service.sap.com/sap/support/notes/1741107","1741107")</f>
        <v>1741107</v>
      </c>
      <c r="E7763">
        <v>1</v>
      </c>
      <c r="F7763" t="s">
        <v>6625</v>
      </c>
    </row>
    <row r="7764" spans="1:6" x14ac:dyDescent="0.25">
      <c r="A7764" t="s">
        <v>6559</v>
      </c>
      <c r="B7764" t="s">
        <v>378</v>
      </c>
      <c r="C7764" t="s">
        <v>379</v>
      </c>
      <c r="D7764" t="str">
        <f>HYPERLINK("http://service.sap.com/sap/support/notes/1734274","1734274")</f>
        <v>1734274</v>
      </c>
      <c r="E7764">
        <v>2</v>
      </c>
      <c r="F7764" t="s">
        <v>6626</v>
      </c>
    </row>
    <row r="7765" spans="1:6" x14ac:dyDescent="0.25">
      <c r="A7765" t="s">
        <v>6559</v>
      </c>
      <c r="B7765" t="s">
        <v>378</v>
      </c>
      <c r="C7765" t="s">
        <v>379</v>
      </c>
      <c r="D7765" t="str">
        <f>HYPERLINK("http://service.sap.com/sap/support/notes/1736038","1736038")</f>
        <v>1736038</v>
      </c>
      <c r="E7765">
        <v>5</v>
      </c>
      <c r="F7765" t="s">
        <v>6627</v>
      </c>
    </row>
    <row r="7766" spans="1:6" x14ac:dyDescent="0.25">
      <c r="A7766" t="s">
        <v>6559</v>
      </c>
      <c r="B7766" t="s">
        <v>378</v>
      </c>
      <c r="C7766" t="s">
        <v>379</v>
      </c>
      <c r="D7766" t="str">
        <f>HYPERLINK("http://service.sap.com/sap/support/notes/1738652","1738652")</f>
        <v>1738652</v>
      </c>
      <c r="E7766">
        <v>2</v>
      </c>
      <c r="F7766" t="s">
        <v>6628</v>
      </c>
    </row>
    <row r="7767" spans="1:6" x14ac:dyDescent="0.25">
      <c r="A7767" t="s">
        <v>6559</v>
      </c>
      <c r="B7767" t="s">
        <v>378</v>
      </c>
      <c r="C7767" t="s">
        <v>379</v>
      </c>
      <c r="D7767" t="str">
        <f>HYPERLINK("http://service.sap.com/sap/support/notes/1742896","1742896")</f>
        <v>1742896</v>
      </c>
      <c r="E7767">
        <v>1</v>
      </c>
      <c r="F7767" t="s">
        <v>6629</v>
      </c>
    </row>
    <row r="7768" spans="1:6" x14ac:dyDescent="0.25">
      <c r="A7768" t="s">
        <v>6559</v>
      </c>
      <c r="B7768" t="s">
        <v>378</v>
      </c>
      <c r="C7768" t="s">
        <v>379</v>
      </c>
      <c r="D7768" t="str">
        <f>HYPERLINK("http://service.sap.com/sap/support/notes/1744243","1744243")</f>
        <v>1744243</v>
      </c>
      <c r="E7768">
        <v>2</v>
      </c>
      <c r="F7768" t="s">
        <v>6630</v>
      </c>
    </row>
    <row r="7769" spans="1:6" x14ac:dyDescent="0.25">
      <c r="A7769" t="s">
        <v>6559</v>
      </c>
      <c r="B7769" t="s">
        <v>458</v>
      </c>
      <c r="C7769" t="s">
        <v>459</v>
      </c>
      <c r="D7769" t="str">
        <f>HYPERLINK("http://service.sap.com/sap/support/notes/1729607","1729607")</f>
        <v>1729607</v>
      </c>
      <c r="E7769">
        <v>1</v>
      </c>
      <c r="F7769" t="s">
        <v>6631</v>
      </c>
    </row>
    <row r="7770" spans="1:6" x14ac:dyDescent="0.25">
      <c r="A7770" t="s">
        <v>6559</v>
      </c>
      <c r="B7770" t="s">
        <v>458</v>
      </c>
      <c r="C7770" t="s">
        <v>459</v>
      </c>
      <c r="D7770" t="str">
        <f>HYPERLINK("http://service.sap.com/sap/support/notes/1734259","1734259")</f>
        <v>1734259</v>
      </c>
      <c r="E7770">
        <v>2</v>
      </c>
      <c r="F7770" t="s">
        <v>6632</v>
      </c>
    </row>
    <row r="7771" spans="1:6" x14ac:dyDescent="0.25">
      <c r="A7771" t="s">
        <v>6559</v>
      </c>
      <c r="B7771" t="s">
        <v>245</v>
      </c>
      <c r="C7771" t="s">
        <v>5215</v>
      </c>
      <c r="D7771" t="str">
        <f>HYPERLINK("http://service.sap.com/sap/support/notes/1710957","1710957")</f>
        <v>1710957</v>
      </c>
      <c r="E7771">
        <v>1</v>
      </c>
      <c r="F7771" t="s">
        <v>6633</v>
      </c>
    </row>
    <row r="7772" spans="1:6" x14ac:dyDescent="0.25">
      <c r="A7772" t="s">
        <v>6559</v>
      </c>
      <c r="B7772" t="s">
        <v>245</v>
      </c>
      <c r="C7772" t="s">
        <v>5215</v>
      </c>
      <c r="D7772" t="str">
        <f>HYPERLINK("http://service.sap.com/sap/support/notes/1735123","1735123")</f>
        <v>1735123</v>
      </c>
      <c r="E7772">
        <v>1</v>
      </c>
      <c r="F7772" t="s">
        <v>6634</v>
      </c>
    </row>
    <row r="7773" spans="1:6" x14ac:dyDescent="0.25">
      <c r="A7773" t="s">
        <v>6559</v>
      </c>
      <c r="B7773" t="s">
        <v>29</v>
      </c>
      <c r="C7773" t="s">
        <v>30</v>
      </c>
    </row>
    <row r="7774" spans="1:6" x14ac:dyDescent="0.25">
      <c r="A7774" t="s">
        <v>6559</v>
      </c>
      <c r="B7774" t="s">
        <v>250</v>
      </c>
      <c r="C7774" t="s">
        <v>79</v>
      </c>
      <c r="D7774" t="str">
        <f>HYPERLINK("http://service.sap.com/sap/support/notes/1551410","1551410")</f>
        <v>1551410</v>
      </c>
      <c r="E7774">
        <v>11</v>
      </c>
      <c r="F7774" t="s">
        <v>4511</v>
      </c>
    </row>
    <row r="7775" spans="1:6" x14ac:dyDescent="0.25">
      <c r="A7775" t="s">
        <v>6559</v>
      </c>
      <c r="B7775" t="s">
        <v>33</v>
      </c>
      <c r="C7775" t="s">
        <v>34</v>
      </c>
      <c r="D7775" t="str">
        <f>HYPERLINK("http://service.sap.com/sap/support/notes/1743940","1743940")</f>
        <v>1743940</v>
      </c>
      <c r="E7775">
        <v>1</v>
      </c>
      <c r="F7775" t="s">
        <v>6635</v>
      </c>
    </row>
    <row r="7776" spans="1:6" x14ac:dyDescent="0.25">
      <c r="A7776" t="s">
        <v>6559</v>
      </c>
      <c r="B7776" t="s">
        <v>674</v>
      </c>
      <c r="C7776" t="s">
        <v>92</v>
      </c>
      <c r="D7776" t="str">
        <f>HYPERLINK("http://service.sap.com/sap/support/notes/1647950","1647950")</f>
        <v>1647950</v>
      </c>
      <c r="E7776">
        <v>1</v>
      </c>
      <c r="F7776" t="s">
        <v>6636</v>
      </c>
    </row>
    <row r="7777" spans="1:6" x14ac:dyDescent="0.25">
      <c r="A7777" t="s">
        <v>6559</v>
      </c>
      <c r="B7777" t="s">
        <v>674</v>
      </c>
      <c r="C7777" t="s">
        <v>92</v>
      </c>
      <c r="D7777" t="str">
        <f>HYPERLINK("http://service.sap.com/sap/support/notes/1716035","1716035")</f>
        <v>1716035</v>
      </c>
      <c r="E7777">
        <v>1</v>
      </c>
      <c r="F7777" t="s">
        <v>6637</v>
      </c>
    </row>
    <row r="7778" spans="1:6" x14ac:dyDescent="0.25">
      <c r="A7778" t="s">
        <v>6559</v>
      </c>
      <c r="B7778" t="s">
        <v>674</v>
      </c>
      <c r="C7778" t="s">
        <v>92</v>
      </c>
      <c r="D7778" t="str">
        <f>HYPERLINK("http://service.sap.com/sap/support/notes/1734329","1734329")</f>
        <v>1734329</v>
      </c>
      <c r="E7778">
        <v>1</v>
      </c>
      <c r="F7778" t="s">
        <v>6638</v>
      </c>
    </row>
    <row r="7779" spans="1:6" x14ac:dyDescent="0.25">
      <c r="A7779" t="s">
        <v>6559</v>
      </c>
      <c r="B7779" t="s">
        <v>674</v>
      </c>
      <c r="C7779" t="s">
        <v>92</v>
      </c>
      <c r="D7779" t="str">
        <f>HYPERLINK("http://service.sap.com/sap/support/notes/1734463","1734463")</f>
        <v>1734463</v>
      </c>
      <c r="E7779">
        <v>3</v>
      </c>
      <c r="F7779" t="s">
        <v>6639</v>
      </c>
    </row>
    <row r="7780" spans="1:6" x14ac:dyDescent="0.25">
      <c r="A7780" t="s">
        <v>6559</v>
      </c>
      <c r="B7780" t="s">
        <v>674</v>
      </c>
      <c r="C7780" t="s">
        <v>92</v>
      </c>
      <c r="D7780" t="str">
        <f>HYPERLINK("http://service.sap.com/sap/support/notes/1744714","1744714")</f>
        <v>1744714</v>
      </c>
      <c r="E7780">
        <v>1</v>
      </c>
      <c r="F7780" t="s">
        <v>4515</v>
      </c>
    </row>
    <row r="7781" spans="1:6" x14ac:dyDescent="0.25">
      <c r="A7781" t="s">
        <v>6559</v>
      </c>
      <c r="B7781" t="s">
        <v>41</v>
      </c>
      <c r="C7781" t="s">
        <v>42</v>
      </c>
    </row>
    <row r="7782" spans="1:6" x14ac:dyDescent="0.25">
      <c r="A7782" t="s">
        <v>6559</v>
      </c>
      <c r="B7782" t="s">
        <v>43</v>
      </c>
      <c r="C7782" t="s">
        <v>44</v>
      </c>
      <c r="D7782" t="str">
        <f>HYPERLINK("http://service.sap.com/sap/support/notes/1739932","1739932")</f>
        <v>1739932</v>
      </c>
      <c r="E7782">
        <v>3</v>
      </c>
      <c r="F7782" t="s">
        <v>6640</v>
      </c>
    </row>
    <row r="7783" spans="1:6" x14ac:dyDescent="0.25">
      <c r="A7783" t="s">
        <v>6559</v>
      </c>
      <c r="B7783" t="s">
        <v>51</v>
      </c>
      <c r="C7783" t="s">
        <v>52</v>
      </c>
      <c r="D7783" t="str">
        <f>HYPERLINK("http://service.sap.com/sap/support/notes/1735658","1735658")</f>
        <v>1735658</v>
      </c>
      <c r="E7783">
        <v>1</v>
      </c>
      <c r="F7783" t="s">
        <v>6641</v>
      </c>
    </row>
    <row r="7784" spans="1:6" x14ac:dyDescent="0.25">
      <c r="A7784" t="s">
        <v>6559</v>
      </c>
      <c r="B7784" t="s">
        <v>53</v>
      </c>
      <c r="C7784" t="s">
        <v>54</v>
      </c>
      <c r="D7784" t="str">
        <f>HYPERLINK("http://service.sap.com/sap/support/notes/1736286","1736286")</f>
        <v>1736286</v>
      </c>
      <c r="E7784">
        <v>5</v>
      </c>
      <c r="F7784" t="s">
        <v>4536</v>
      </c>
    </row>
    <row r="7785" spans="1:6" x14ac:dyDescent="0.25">
      <c r="A7785" t="s">
        <v>6559</v>
      </c>
      <c r="B7785" t="s">
        <v>53</v>
      </c>
      <c r="C7785" t="s">
        <v>54</v>
      </c>
      <c r="D7785" t="str">
        <f>HYPERLINK("http://service.sap.com/sap/support/notes/1744519","1744519")</f>
        <v>1744519</v>
      </c>
      <c r="E7785">
        <v>2</v>
      </c>
      <c r="F7785" t="s">
        <v>6642</v>
      </c>
    </row>
    <row r="7786" spans="1:6" x14ac:dyDescent="0.25">
      <c r="A7786" t="s">
        <v>6559</v>
      </c>
      <c r="B7786" t="s">
        <v>256</v>
      </c>
      <c r="C7786" t="s">
        <v>165</v>
      </c>
      <c r="D7786" t="str">
        <f>HYPERLINK("http://service.sap.com/sap/support/notes/1552735","1552735")</f>
        <v>1552735</v>
      </c>
      <c r="E7786">
        <v>1</v>
      </c>
      <c r="F7786" t="s">
        <v>4539</v>
      </c>
    </row>
    <row r="7787" spans="1:6" x14ac:dyDescent="0.25">
      <c r="A7787" t="s">
        <v>6559</v>
      </c>
      <c r="B7787" t="s">
        <v>415</v>
      </c>
      <c r="C7787" t="s">
        <v>167</v>
      </c>
      <c r="D7787" t="str">
        <f>HYPERLINK("http://service.sap.com/sap/support/notes/1723961","1723961")</f>
        <v>1723961</v>
      </c>
      <c r="E7787">
        <v>4</v>
      </c>
      <c r="F7787" t="s">
        <v>6643</v>
      </c>
    </row>
    <row r="7788" spans="1:6" x14ac:dyDescent="0.25">
      <c r="A7788" t="s">
        <v>6559</v>
      </c>
      <c r="B7788" t="s">
        <v>57</v>
      </c>
      <c r="C7788" t="s">
        <v>58</v>
      </c>
      <c r="D7788" t="str">
        <f>HYPERLINK("http://service.sap.com/sap/support/notes/1712470","1712470")</f>
        <v>1712470</v>
      </c>
      <c r="E7788">
        <v>3</v>
      </c>
      <c r="F7788" t="s">
        <v>3686</v>
      </c>
    </row>
    <row r="7789" spans="1:6" x14ac:dyDescent="0.25">
      <c r="A7789" t="s">
        <v>6559</v>
      </c>
      <c r="B7789" t="s">
        <v>57</v>
      </c>
      <c r="C7789" t="s">
        <v>58</v>
      </c>
      <c r="D7789" t="str">
        <f>HYPERLINK("http://service.sap.com/sap/support/notes/1739453","1739453")</f>
        <v>1739453</v>
      </c>
      <c r="E7789">
        <v>2</v>
      </c>
      <c r="F7789" t="s">
        <v>6644</v>
      </c>
    </row>
    <row r="7790" spans="1:6" x14ac:dyDescent="0.25">
      <c r="A7790" t="s">
        <v>6559</v>
      </c>
      <c r="B7790" t="s">
        <v>57</v>
      </c>
      <c r="C7790" t="s">
        <v>58</v>
      </c>
      <c r="D7790" t="str">
        <f>HYPERLINK("http://service.sap.com/sap/support/notes/1742926","1742926")</f>
        <v>1742926</v>
      </c>
      <c r="E7790">
        <v>1</v>
      </c>
      <c r="F7790" t="s">
        <v>4547</v>
      </c>
    </row>
    <row r="7791" spans="1:6" x14ac:dyDescent="0.25">
      <c r="A7791" t="s">
        <v>6559</v>
      </c>
      <c r="B7791" t="s">
        <v>57</v>
      </c>
      <c r="C7791" t="s">
        <v>58</v>
      </c>
      <c r="D7791" t="str">
        <f>HYPERLINK("http://service.sap.com/sap/support/notes/1743247","1743247")</f>
        <v>1743247</v>
      </c>
      <c r="E7791">
        <v>1</v>
      </c>
      <c r="F7791" t="s">
        <v>6645</v>
      </c>
    </row>
    <row r="7792" spans="1:6" x14ac:dyDescent="0.25">
      <c r="A7792" t="s">
        <v>6559</v>
      </c>
      <c r="B7792" t="s">
        <v>57</v>
      </c>
      <c r="C7792" t="s">
        <v>58</v>
      </c>
      <c r="D7792" t="str">
        <f>HYPERLINK("http://service.sap.com/sap/support/notes/1743862","1743862")</f>
        <v>1743862</v>
      </c>
      <c r="E7792">
        <v>3</v>
      </c>
      <c r="F7792" t="s">
        <v>6646</v>
      </c>
    </row>
    <row r="7793" spans="1:6" x14ac:dyDescent="0.25">
      <c r="A7793" t="s">
        <v>6559</v>
      </c>
      <c r="B7793" t="s">
        <v>57</v>
      </c>
      <c r="C7793" t="s">
        <v>58</v>
      </c>
      <c r="D7793" t="str">
        <f>HYPERLINK("http://service.sap.com/sap/support/notes/1744215","1744215")</f>
        <v>1744215</v>
      </c>
      <c r="E7793">
        <v>1</v>
      </c>
      <c r="F7793" t="s">
        <v>4548</v>
      </c>
    </row>
    <row r="7794" spans="1:6" x14ac:dyDescent="0.25">
      <c r="A7794" t="s">
        <v>6559</v>
      </c>
      <c r="B7794" t="s">
        <v>258</v>
      </c>
      <c r="C7794" t="s">
        <v>186</v>
      </c>
      <c r="D7794" t="str">
        <f>HYPERLINK("http://service.sap.com/sap/support/notes/1736809","1736809")</f>
        <v>1736809</v>
      </c>
      <c r="E7794">
        <v>1</v>
      </c>
      <c r="F7794" t="s">
        <v>6647</v>
      </c>
    </row>
    <row r="7795" spans="1:6" x14ac:dyDescent="0.25">
      <c r="A7795" t="s">
        <v>6559</v>
      </c>
      <c r="B7795" t="s">
        <v>59</v>
      </c>
      <c r="C7795" t="s">
        <v>60</v>
      </c>
      <c r="D7795" t="str">
        <f>HYPERLINK("http://service.sap.com/sap/support/notes/1742363","1742363")</f>
        <v>1742363</v>
      </c>
      <c r="E7795">
        <v>1</v>
      </c>
      <c r="F7795" t="s">
        <v>6648</v>
      </c>
    </row>
    <row r="7796" spans="1:6" x14ac:dyDescent="0.25">
      <c r="A7796" t="s">
        <v>6559</v>
      </c>
      <c r="B7796" t="s">
        <v>61</v>
      </c>
      <c r="C7796" t="s">
        <v>62</v>
      </c>
      <c r="D7796" t="str">
        <f>HYPERLINK("http://service.sap.com/sap/support/notes/1734456","1734456")</f>
        <v>1734456</v>
      </c>
      <c r="E7796">
        <v>1</v>
      </c>
      <c r="F7796" t="s">
        <v>4553</v>
      </c>
    </row>
    <row r="7797" spans="1:6" x14ac:dyDescent="0.25">
      <c r="A7797" t="s">
        <v>6559</v>
      </c>
      <c r="B7797" t="s">
        <v>647</v>
      </c>
      <c r="C7797" t="s">
        <v>648</v>
      </c>
      <c r="D7797" t="str">
        <f>HYPERLINK("http://service.sap.com/sap/support/notes/1731701","1731701")</f>
        <v>1731701</v>
      </c>
      <c r="E7797">
        <v>1</v>
      </c>
      <c r="F7797" t="s">
        <v>6649</v>
      </c>
    </row>
    <row r="7798" spans="1:6" x14ac:dyDescent="0.25">
      <c r="A7798" t="s">
        <v>6559</v>
      </c>
      <c r="B7798" t="s">
        <v>267</v>
      </c>
      <c r="C7798" t="s">
        <v>466</v>
      </c>
    </row>
    <row r="7799" spans="1:6" x14ac:dyDescent="0.25">
      <c r="A7799" t="s">
        <v>6559</v>
      </c>
      <c r="B7799" t="s">
        <v>268</v>
      </c>
      <c r="C7799" t="s">
        <v>467</v>
      </c>
      <c r="D7799" t="str">
        <f>HYPERLINK("http://service.sap.com/sap/support/notes/1611890","1611890")</f>
        <v>1611890</v>
      </c>
      <c r="E7799">
        <v>3</v>
      </c>
      <c r="F7799" t="s">
        <v>6650</v>
      </c>
    </row>
    <row r="7800" spans="1:6" x14ac:dyDescent="0.25">
      <c r="A7800" t="s">
        <v>6559</v>
      </c>
      <c r="B7800" t="s">
        <v>268</v>
      </c>
      <c r="C7800" t="s">
        <v>467</v>
      </c>
      <c r="D7800" t="str">
        <f>HYPERLINK("http://service.sap.com/sap/support/notes/1688674","1688674")</f>
        <v>1688674</v>
      </c>
      <c r="E7800">
        <v>2</v>
      </c>
      <c r="F7800" t="s">
        <v>6651</v>
      </c>
    </row>
    <row r="7801" spans="1:6" x14ac:dyDescent="0.25">
      <c r="A7801" t="s">
        <v>6559</v>
      </c>
      <c r="B7801" t="s">
        <v>268</v>
      </c>
      <c r="C7801" t="s">
        <v>467</v>
      </c>
      <c r="D7801" t="str">
        <f>HYPERLINK("http://service.sap.com/sap/support/notes/1709563","1709563")</f>
        <v>1709563</v>
      </c>
      <c r="E7801">
        <v>3</v>
      </c>
      <c r="F7801" t="s">
        <v>6381</v>
      </c>
    </row>
    <row r="7802" spans="1:6" x14ac:dyDescent="0.25">
      <c r="A7802" t="s">
        <v>6559</v>
      </c>
      <c r="B7802" t="s">
        <v>268</v>
      </c>
      <c r="C7802" t="s">
        <v>467</v>
      </c>
      <c r="D7802" t="str">
        <f>HYPERLINK("http://service.sap.com/sap/support/notes/1728882","1728882")</f>
        <v>1728882</v>
      </c>
      <c r="E7802">
        <v>2</v>
      </c>
      <c r="F7802" t="s">
        <v>6652</v>
      </c>
    </row>
    <row r="7803" spans="1:6" x14ac:dyDescent="0.25">
      <c r="A7803" t="s">
        <v>6559</v>
      </c>
      <c r="B7803" t="s">
        <v>268</v>
      </c>
      <c r="C7803" t="s">
        <v>467</v>
      </c>
      <c r="D7803" t="str">
        <f>HYPERLINK("http://service.sap.com/sap/support/notes/1738241","1738241")</f>
        <v>1738241</v>
      </c>
      <c r="E7803">
        <v>5</v>
      </c>
      <c r="F7803" t="s">
        <v>6653</v>
      </c>
    </row>
    <row r="7804" spans="1:6" x14ac:dyDescent="0.25">
      <c r="A7804" t="s">
        <v>6559</v>
      </c>
      <c r="B7804" t="s">
        <v>268</v>
      </c>
      <c r="C7804" t="s">
        <v>467</v>
      </c>
      <c r="D7804" t="str">
        <f>HYPERLINK("http://service.sap.com/sap/support/notes/1739557","1739557")</f>
        <v>1739557</v>
      </c>
      <c r="E7804">
        <v>1</v>
      </c>
      <c r="F7804" t="s">
        <v>6654</v>
      </c>
    </row>
    <row r="7805" spans="1:6" x14ac:dyDescent="0.25">
      <c r="A7805" t="s">
        <v>6559</v>
      </c>
      <c r="B7805" t="s">
        <v>273</v>
      </c>
      <c r="C7805" t="s">
        <v>469</v>
      </c>
    </row>
    <row r="7806" spans="1:6" x14ac:dyDescent="0.25">
      <c r="A7806" t="s">
        <v>6559</v>
      </c>
      <c r="B7806" t="s">
        <v>274</v>
      </c>
      <c r="C7806" t="s">
        <v>470</v>
      </c>
      <c r="D7806" t="str">
        <f>HYPERLINK("http://service.sap.com/sap/support/notes/1686320","1686320")</f>
        <v>1686320</v>
      </c>
      <c r="E7806">
        <v>4</v>
      </c>
      <c r="F7806" t="s">
        <v>6655</v>
      </c>
    </row>
    <row r="7807" spans="1:6" x14ac:dyDescent="0.25">
      <c r="A7807" t="s">
        <v>6559</v>
      </c>
      <c r="B7807" t="s">
        <v>274</v>
      </c>
      <c r="C7807" t="s">
        <v>470</v>
      </c>
      <c r="D7807" t="str">
        <f>HYPERLINK("http://service.sap.com/sap/support/notes/1697493","1697493")</f>
        <v>1697493</v>
      </c>
      <c r="E7807">
        <v>2</v>
      </c>
      <c r="F7807" t="s">
        <v>6656</v>
      </c>
    </row>
    <row r="7808" spans="1:6" x14ac:dyDescent="0.25">
      <c r="A7808" t="s">
        <v>6559</v>
      </c>
      <c r="B7808" t="s">
        <v>274</v>
      </c>
      <c r="C7808" t="s">
        <v>470</v>
      </c>
      <c r="D7808" t="str">
        <f>HYPERLINK("http://service.sap.com/sap/support/notes/1699470","1699470")</f>
        <v>1699470</v>
      </c>
      <c r="E7808">
        <v>2</v>
      </c>
      <c r="F7808" t="s">
        <v>6657</v>
      </c>
    </row>
    <row r="7809" spans="1:6" x14ac:dyDescent="0.25">
      <c r="A7809" t="s">
        <v>6559</v>
      </c>
      <c r="B7809" t="s">
        <v>274</v>
      </c>
      <c r="C7809" t="s">
        <v>470</v>
      </c>
      <c r="D7809" t="str">
        <f>HYPERLINK("http://service.sap.com/sap/support/notes/1717519","1717519")</f>
        <v>1717519</v>
      </c>
      <c r="E7809">
        <v>5</v>
      </c>
      <c r="F7809" t="s">
        <v>6386</v>
      </c>
    </row>
    <row r="7810" spans="1:6" x14ac:dyDescent="0.25">
      <c r="A7810" t="s">
        <v>6559</v>
      </c>
      <c r="B7810" t="s">
        <v>471</v>
      </c>
      <c r="C7810" t="s">
        <v>472</v>
      </c>
      <c r="D7810" t="str">
        <f>HYPERLINK("http://service.sap.com/sap/support/notes/1688353","1688353")</f>
        <v>1688353</v>
      </c>
      <c r="E7810">
        <v>4</v>
      </c>
      <c r="F7810" t="s">
        <v>6658</v>
      </c>
    </row>
    <row r="7811" spans="1:6" x14ac:dyDescent="0.25">
      <c r="A7811" t="s">
        <v>6559</v>
      </c>
      <c r="B7811" t="s">
        <v>471</v>
      </c>
      <c r="C7811" t="s">
        <v>472</v>
      </c>
      <c r="D7811" t="str">
        <f>HYPERLINK("http://service.sap.com/sap/support/notes/1699117","1699117")</f>
        <v>1699117</v>
      </c>
      <c r="E7811">
        <v>8</v>
      </c>
      <c r="F7811" t="s">
        <v>6659</v>
      </c>
    </row>
    <row r="7812" spans="1:6" x14ac:dyDescent="0.25">
      <c r="A7812" t="s">
        <v>6559</v>
      </c>
      <c r="B7812" t="s">
        <v>471</v>
      </c>
      <c r="C7812" t="s">
        <v>472</v>
      </c>
      <c r="D7812" t="str">
        <f>HYPERLINK("http://service.sap.com/sap/support/notes/1710514","1710514")</f>
        <v>1710514</v>
      </c>
      <c r="E7812">
        <v>9</v>
      </c>
      <c r="F7812" t="s">
        <v>6660</v>
      </c>
    </row>
    <row r="7813" spans="1:6" x14ac:dyDescent="0.25">
      <c r="A7813" t="s">
        <v>6559</v>
      </c>
      <c r="B7813" t="s">
        <v>471</v>
      </c>
      <c r="C7813" t="s">
        <v>472</v>
      </c>
      <c r="D7813" t="str">
        <f>HYPERLINK("http://service.sap.com/sap/support/notes/1727428","1727428")</f>
        <v>1727428</v>
      </c>
      <c r="E7813">
        <v>9</v>
      </c>
      <c r="F7813" t="s">
        <v>6661</v>
      </c>
    </row>
    <row r="7814" spans="1:6" x14ac:dyDescent="0.25">
      <c r="A7814" t="s">
        <v>6559</v>
      </c>
      <c r="B7814" t="s">
        <v>474</v>
      </c>
      <c r="C7814" t="s">
        <v>475</v>
      </c>
      <c r="D7814" t="str">
        <f>HYPERLINK("http://service.sap.com/sap/support/notes/1619235","1619235")</f>
        <v>1619235</v>
      </c>
      <c r="E7814">
        <v>2</v>
      </c>
      <c r="F7814" t="s">
        <v>6662</v>
      </c>
    </row>
    <row r="7815" spans="1:6" x14ac:dyDescent="0.25">
      <c r="A7815" t="s">
        <v>6559</v>
      </c>
      <c r="B7815" t="s">
        <v>474</v>
      </c>
      <c r="C7815" t="s">
        <v>475</v>
      </c>
      <c r="D7815" t="str">
        <f>HYPERLINK("http://service.sap.com/sap/support/notes/1718375","1718375")</f>
        <v>1718375</v>
      </c>
      <c r="E7815">
        <v>1</v>
      </c>
      <c r="F7815" t="s">
        <v>6663</v>
      </c>
    </row>
    <row r="7816" spans="1:6" x14ac:dyDescent="0.25">
      <c r="A7816" t="s">
        <v>6559</v>
      </c>
      <c r="B7816" t="s">
        <v>474</v>
      </c>
      <c r="C7816" t="s">
        <v>475</v>
      </c>
      <c r="D7816" t="str">
        <f>HYPERLINK("http://service.sap.com/sap/support/notes/1721011","1721011")</f>
        <v>1721011</v>
      </c>
      <c r="E7816">
        <v>1</v>
      </c>
      <c r="F7816" t="s">
        <v>6516</v>
      </c>
    </row>
    <row r="7817" spans="1:6" x14ac:dyDescent="0.25">
      <c r="A7817" t="s">
        <v>6559</v>
      </c>
      <c r="B7817" t="s">
        <v>474</v>
      </c>
      <c r="C7817" t="s">
        <v>475</v>
      </c>
      <c r="D7817" t="str">
        <f>HYPERLINK("http://service.sap.com/sap/support/notes/1723175","1723175")</f>
        <v>1723175</v>
      </c>
      <c r="E7817">
        <v>2</v>
      </c>
      <c r="F7817" t="s">
        <v>6664</v>
      </c>
    </row>
    <row r="7818" spans="1:6" x14ac:dyDescent="0.25">
      <c r="A7818" t="s">
        <v>6559</v>
      </c>
      <c r="B7818" t="s">
        <v>474</v>
      </c>
      <c r="C7818" t="s">
        <v>475</v>
      </c>
      <c r="D7818" t="str">
        <f>HYPERLINK("http://service.sap.com/sap/support/notes/1725057","1725057")</f>
        <v>1725057</v>
      </c>
      <c r="E7818">
        <v>3</v>
      </c>
      <c r="F7818" t="s">
        <v>6518</v>
      </c>
    </row>
    <row r="7819" spans="1:6" x14ac:dyDescent="0.25">
      <c r="A7819" t="s">
        <v>6559</v>
      </c>
      <c r="B7819" t="s">
        <v>474</v>
      </c>
      <c r="C7819" t="s">
        <v>475</v>
      </c>
      <c r="D7819" t="str">
        <f>HYPERLINK("http://service.sap.com/sap/support/notes/1732718","1732718")</f>
        <v>1732718</v>
      </c>
      <c r="E7819">
        <v>1</v>
      </c>
      <c r="F7819" t="s">
        <v>6665</v>
      </c>
    </row>
    <row r="7820" spans="1:6" x14ac:dyDescent="0.25">
      <c r="A7820" t="s">
        <v>6559</v>
      </c>
      <c r="B7820" t="s">
        <v>474</v>
      </c>
      <c r="C7820" t="s">
        <v>475</v>
      </c>
      <c r="D7820" t="str">
        <f>HYPERLINK("http://service.sap.com/sap/support/notes/1733527","1733527")</f>
        <v>1733527</v>
      </c>
      <c r="E7820">
        <v>1</v>
      </c>
      <c r="F7820" t="s">
        <v>6666</v>
      </c>
    </row>
    <row r="7821" spans="1:6" x14ac:dyDescent="0.25">
      <c r="A7821" t="s">
        <v>6559</v>
      </c>
      <c r="B7821" t="s">
        <v>474</v>
      </c>
      <c r="C7821" t="s">
        <v>475</v>
      </c>
      <c r="D7821" t="str">
        <f>HYPERLINK("http://service.sap.com/sap/support/notes/1736393","1736393")</f>
        <v>1736393</v>
      </c>
      <c r="E7821">
        <v>1</v>
      </c>
      <c r="F7821" t="s">
        <v>5795</v>
      </c>
    </row>
    <row r="7822" spans="1:6" x14ac:dyDescent="0.25">
      <c r="A7822" t="s">
        <v>6559</v>
      </c>
      <c r="B7822" t="s">
        <v>474</v>
      </c>
      <c r="C7822" t="s">
        <v>475</v>
      </c>
      <c r="D7822" t="str">
        <f>HYPERLINK("http://service.sap.com/sap/support/notes/1736427","1736427")</f>
        <v>1736427</v>
      </c>
      <c r="E7822">
        <v>3</v>
      </c>
      <c r="F7822" t="s">
        <v>6667</v>
      </c>
    </row>
    <row r="7823" spans="1:6" x14ac:dyDescent="0.25">
      <c r="A7823" t="s">
        <v>6559</v>
      </c>
      <c r="B7823" t="s">
        <v>474</v>
      </c>
      <c r="C7823" t="s">
        <v>475</v>
      </c>
      <c r="D7823" t="str">
        <f>HYPERLINK("http://service.sap.com/sap/support/notes/1738813","1738813")</f>
        <v>1738813</v>
      </c>
      <c r="E7823">
        <v>2</v>
      </c>
      <c r="F7823" t="s">
        <v>6668</v>
      </c>
    </row>
    <row r="7824" spans="1:6" x14ac:dyDescent="0.25">
      <c r="A7824" t="s">
        <v>6559</v>
      </c>
      <c r="B7824" t="s">
        <v>474</v>
      </c>
      <c r="C7824" t="s">
        <v>475</v>
      </c>
      <c r="D7824" t="str">
        <f>HYPERLINK("http://service.sap.com/sap/support/notes/1741699","1741699")</f>
        <v>1741699</v>
      </c>
      <c r="E7824">
        <v>2</v>
      </c>
      <c r="F7824" t="s">
        <v>6669</v>
      </c>
    </row>
    <row r="7825" spans="1:6" x14ac:dyDescent="0.25">
      <c r="A7825" t="s">
        <v>6559</v>
      </c>
      <c r="B7825" t="s">
        <v>474</v>
      </c>
      <c r="C7825" t="s">
        <v>475</v>
      </c>
      <c r="D7825" t="str">
        <f>HYPERLINK("http://service.sap.com/sap/support/notes/1744187","1744187")</f>
        <v>1744187</v>
      </c>
      <c r="E7825">
        <v>1</v>
      </c>
      <c r="F7825" t="s">
        <v>6670</v>
      </c>
    </row>
    <row r="7826" spans="1:6" x14ac:dyDescent="0.25">
      <c r="A7826" t="s">
        <v>6559</v>
      </c>
      <c r="B7826" t="s">
        <v>72</v>
      </c>
      <c r="C7826" t="s">
        <v>73</v>
      </c>
    </row>
    <row r="7827" spans="1:6" x14ac:dyDescent="0.25">
      <c r="A7827" t="s">
        <v>6559</v>
      </c>
      <c r="B7827" t="s">
        <v>281</v>
      </c>
      <c r="C7827" t="s">
        <v>368</v>
      </c>
    </row>
    <row r="7828" spans="1:6" x14ac:dyDescent="0.25">
      <c r="A7828" t="s">
        <v>6559</v>
      </c>
      <c r="B7828" t="s">
        <v>564</v>
      </c>
      <c r="C7828" t="s">
        <v>565</v>
      </c>
      <c r="D7828" t="str">
        <f>HYPERLINK("http://service.sap.com/sap/support/notes/1715112","1715112")</f>
        <v>1715112</v>
      </c>
      <c r="E7828">
        <v>1</v>
      </c>
      <c r="F7828" t="s">
        <v>6671</v>
      </c>
    </row>
    <row r="7829" spans="1:6" x14ac:dyDescent="0.25">
      <c r="A7829" t="s">
        <v>6559</v>
      </c>
      <c r="B7829" t="s">
        <v>476</v>
      </c>
      <c r="C7829" t="s">
        <v>477</v>
      </c>
      <c r="D7829" t="str">
        <f>HYPERLINK("http://service.sap.com/sap/support/notes/1657596","1657596")</f>
        <v>1657596</v>
      </c>
      <c r="E7829">
        <v>2</v>
      </c>
      <c r="F7829" t="s">
        <v>6672</v>
      </c>
    </row>
    <row r="7830" spans="1:6" x14ac:dyDescent="0.25">
      <c r="A7830" t="s">
        <v>6559</v>
      </c>
      <c r="B7830" t="s">
        <v>282</v>
      </c>
      <c r="C7830" t="s">
        <v>369</v>
      </c>
      <c r="D7830" t="str">
        <f>HYPERLINK("http://service.sap.com/sap/support/notes/1724038","1724038")</f>
        <v>1724038</v>
      </c>
      <c r="E7830">
        <v>1</v>
      </c>
      <c r="F7830" t="s">
        <v>6520</v>
      </c>
    </row>
    <row r="7831" spans="1:6" x14ac:dyDescent="0.25">
      <c r="A7831" t="s">
        <v>6559</v>
      </c>
      <c r="B7831" t="s">
        <v>282</v>
      </c>
      <c r="C7831" t="s">
        <v>369</v>
      </c>
      <c r="D7831" t="str">
        <f>HYPERLINK("http://service.sap.com/sap/support/notes/1728508","1728508")</f>
        <v>1728508</v>
      </c>
      <c r="E7831">
        <v>1</v>
      </c>
      <c r="F7831" t="s">
        <v>6673</v>
      </c>
    </row>
    <row r="7832" spans="1:6" x14ac:dyDescent="0.25">
      <c r="A7832" t="s">
        <v>6559</v>
      </c>
      <c r="B7832" t="s">
        <v>282</v>
      </c>
      <c r="C7832" t="s">
        <v>369</v>
      </c>
      <c r="D7832" t="str">
        <f>HYPERLINK("http://service.sap.com/sap/support/notes/1731704","1731704")</f>
        <v>1731704</v>
      </c>
      <c r="E7832">
        <v>1</v>
      </c>
      <c r="F7832" t="s">
        <v>6674</v>
      </c>
    </row>
    <row r="7833" spans="1:6" x14ac:dyDescent="0.25">
      <c r="A7833" t="s">
        <v>6559</v>
      </c>
      <c r="B7833" t="s">
        <v>76</v>
      </c>
      <c r="C7833" t="s">
        <v>77</v>
      </c>
    </row>
    <row r="7834" spans="1:6" x14ac:dyDescent="0.25">
      <c r="A7834" t="s">
        <v>6559</v>
      </c>
      <c r="B7834" t="s">
        <v>83</v>
      </c>
      <c r="C7834" t="s">
        <v>84</v>
      </c>
      <c r="D7834" t="str">
        <f>HYPERLINK("http://service.sap.com/sap/support/notes/1731123","1731123")</f>
        <v>1731123</v>
      </c>
      <c r="E7834">
        <v>1</v>
      </c>
      <c r="F7834" t="s">
        <v>4585</v>
      </c>
    </row>
    <row r="7835" spans="1:6" x14ac:dyDescent="0.25">
      <c r="A7835" t="s">
        <v>6559</v>
      </c>
      <c r="B7835" t="s">
        <v>83</v>
      </c>
      <c r="C7835" t="s">
        <v>84</v>
      </c>
      <c r="D7835" t="str">
        <f>HYPERLINK("http://service.sap.com/sap/support/notes/1733847","1733847")</f>
        <v>1733847</v>
      </c>
      <c r="E7835">
        <v>1</v>
      </c>
      <c r="F7835" t="s">
        <v>4592</v>
      </c>
    </row>
    <row r="7836" spans="1:6" x14ac:dyDescent="0.25">
      <c r="A7836" t="s">
        <v>6559</v>
      </c>
      <c r="B7836" t="s">
        <v>83</v>
      </c>
      <c r="C7836" t="s">
        <v>84</v>
      </c>
      <c r="D7836" t="str">
        <f>HYPERLINK("http://service.sap.com/sap/support/notes/1733851","1733851")</f>
        <v>1733851</v>
      </c>
      <c r="E7836">
        <v>1</v>
      </c>
      <c r="F7836" t="s">
        <v>4593</v>
      </c>
    </row>
    <row r="7837" spans="1:6" x14ac:dyDescent="0.25">
      <c r="A7837" t="s">
        <v>6559</v>
      </c>
      <c r="B7837" t="s">
        <v>83</v>
      </c>
      <c r="C7837" t="s">
        <v>84</v>
      </c>
      <c r="D7837" t="str">
        <f>HYPERLINK("http://service.sap.com/sap/support/notes/1736296","1736296")</f>
        <v>1736296</v>
      </c>
      <c r="E7837">
        <v>1</v>
      </c>
      <c r="F7837" t="s">
        <v>4600</v>
      </c>
    </row>
    <row r="7838" spans="1:6" x14ac:dyDescent="0.25">
      <c r="A7838" t="s">
        <v>6559</v>
      </c>
      <c r="B7838" t="s">
        <v>83</v>
      </c>
      <c r="C7838" t="s">
        <v>84</v>
      </c>
      <c r="D7838" t="str">
        <f>HYPERLINK("http://service.sap.com/sap/support/notes/1736456","1736456")</f>
        <v>1736456</v>
      </c>
      <c r="E7838">
        <v>1</v>
      </c>
      <c r="F7838" t="s">
        <v>4601</v>
      </c>
    </row>
    <row r="7839" spans="1:6" x14ac:dyDescent="0.25">
      <c r="A7839" t="s">
        <v>6559</v>
      </c>
      <c r="B7839" t="s">
        <v>83</v>
      </c>
      <c r="C7839" t="s">
        <v>84</v>
      </c>
      <c r="D7839" t="str">
        <f>HYPERLINK("http://service.sap.com/sap/support/notes/1736463","1736463")</f>
        <v>1736463</v>
      </c>
      <c r="E7839">
        <v>1</v>
      </c>
      <c r="F7839" t="s">
        <v>4602</v>
      </c>
    </row>
    <row r="7840" spans="1:6" x14ac:dyDescent="0.25">
      <c r="A7840" t="s">
        <v>6559</v>
      </c>
      <c r="B7840" t="s">
        <v>86</v>
      </c>
      <c r="C7840" t="s">
        <v>87</v>
      </c>
      <c r="D7840" t="str">
        <f>HYPERLINK("http://service.sap.com/sap/support/notes/1692274","1692274")</f>
        <v>1692274</v>
      </c>
      <c r="E7840">
        <v>3</v>
      </c>
      <c r="F7840" t="s">
        <v>6675</v>
      </c>
    </row>
    <row r="7841" spans="1:6" x14ac:dyDescent="0.25">
      <c r="A7841" t="s">
        <v>6559</v>
      </c>
      <c r="B7841" t="s">
        <v>86</v>
      </c>
      <c r="C7841" t="s">
        <v>87</v>
      </c>
      <c r="D7841" t="str">
        <f>HYPERLINK("http://service.sap.com/sap/support/notes/1724619","1724619")</f>
        <v>1724619</v>
      </c>
      <c r="E7841">
        <v>4</v>
      </c>
      <c r="F7841" t="s">
        <v>6676</v>
      </c>
    </row>
    <row r="7842" spans="1:6" x14ac:dyDescent="0.25">
      <c r="A7842" t="s">
        <v>6559</v>
      </c>
      <c r="B7842" t="s">
        <v>86</v>
      </c>
      <c r="C7842" t="s">
        <v>87</v>
      </c>
      <c r="D7842" t="str">
        <f>HYPERLINK("http://service.sap.com/sap/support/notes/1727932","1727932")</f>
        <v>1727932</v>
      </c>
      <c r="E7842">
        <v>3</v>
      </c>
      <c r="F7842" t="s">
        <v>6677</v>
      </c>
    </row>
    <row r="7843" spans="1:6" x14ac:dyDescent="0.25">
      <c r="A7843" t="s">
        <v>6559</v>
      </c>
      <c r="B7843" t="s">
        <v>86</v>
      </c>
      <c r="C7843" t="s">
        <v>87</v>
      </c>
      <c r="D7843" t="str">
        <f>HYPERLINK("http://service.sap.com/sap/support/notes/1732915","1732915")</f>
        <v>1732915</v>
      </c>
      <c r="E7843">
        <v>1</v>
      </c>
      <c r="F7843" t="s">
        <v>6678</v>
      </c>
    </row>
    <row r="7844" spans="1:6" x14ac:dyDescent="0.25">
      <c r="A7844" t="s">
        <v>6559</v>
      </c>
      <c r="B7844" t="s">
        <v>86</v>
      </c>
      <c r="C7844" t="s">
        <v>87</v>
      </c>
      <c r="D7844" t="str">
        <f>HYPERLINK("http://service.sap.com/sap/support/notes/1734675","1734675")</f>
        <v>1734675</v>
      </c>
      <c r="E7844">
        <v>1</v>
      </c>
      <c r="F7844" t="s">
        <v>6679</v>
      </c>
    </row>
    <row r="7845" spans="1:6" x14ac:dyDescent="0.25">
      <c r="A7845" t="s">
        <v>6559</v>
      </c>
      <c r="B7845" t="s">
        <v>86</v>
      </c>
      <c r="C7845" t="s">
        <v>87</v>
      </c>
      <c r="D7845" t="str">
        <f>HYPERLINK("http://service.sap.com/sap/support/notes/1735000","1735000")</f>
        <v>1735000</v>
      </c>
      <c r="E7845">
        <v>2</v>
      </c>
      <c r="F7845" t="s">
        <v>4612</v>
      </c>
    </row>
    <row r="7846" spans="1:6" x14ac:dyDescent="0.25">
      <c r="A7846" t="s">
        <v>6559</v>
      </c>
      <c r="B7846" t="s">
        <v>86</v>
      </c>
      <c r="C7846" t="s">
        <v>87</v>
      </c>
      <c r="D7846" t="str">
        <f>HYPERLINK("http://service.sap.com/sap/support/notes/1735854","1735854")</f>
        <v>1735854</v>
      </c>
      <c r="E7846">
        <v>1</v>
      </c>
      <c r="F7846" t="s">
        <v>6680</v>
      </c>
    </row>
    <row r="7847" spans="1:6" x14ac:dyDescent="0.25">
      <c r="A7847" t="s">
        <v>6559</v>
      </c>
      <c r="B7847" t="s">
        <v>86</v>
      </c>
      <c r="C7847" t="s">
        <v>87</v>
      </c>
      <c r="D7847" t="str">
        <f>HYPERLINK("http://service.sap.com/sap/support/notes/1735954","1735954")</f>
        <v>1735954</v>
      </c>
      <c r="E7847">
        <v>1</v>
      </c>
      <c r="F7847" t="s">
        <v>6681</v>
      </c>
    </row>
    <row r="7848" spans="1:6" x14ac:dyDescent="0.25">
      <c r="A7848" t="s">
        <v>6559</v>
      </c>
      <c r="B7848" t="s">
        <v>86</v>
      </c>
      <c r="C7848" t="s">
        <v>87</v>
      </c>
      <c r="D7848" t="str">
        <f>HYPERLINK("http://service.sap.com/sap/support/notes/1738055","1738055")</f>
        <v>1738055</v>
      </c>
      <c r="E7848">
        <v>1</v>
      </c>
      <c r="F7848" t="s">
        <v>6682</v>
      </c>
    </row>
    <row r="7849" spans="1:6" x14ac:dyDescent="0.25">
      <c r="A7849" t="s">
        <v>6559</v>
      </c>
      <c r="B7849" t="s">
        <v>86</v>
      </c>
      <c r="C7849" t="s">
        <v>87</v>
      </c>
      <c r="D7849" t="str">
        <f>HYPERLINK("http://service.sap.com/sap/support/notes/1739973","1739973")</f>
        <v>1739973</v>
      </c>
      <c r="E7849">
        <v>1</v>
      </c>
      <c r="F7849" t="s">
        <v>6683</v>
      </c>
    </row>
    <row r="7850" spans="1:6" x14ac:dyDescent="0.25">
      <c r="A7850" t="s">
        <v>6559</v>
      </c>
      <c r="B7850" t="s">
        <v>86</v>
      </c>
      <c r="C7850" t="s">
        <v>87</v>
      </c>
      <c r="D7850" t="str">
        <f>HYPERLINK("http://service.sap.com/sap/support/notes/1741229","1741229")</f>
        <v>1741229</v>
      </c>
      <c r="E7850">
        <v>1</v>
      </c>
      <c r="F7850" t="s">
        <v>6684</v>
      </c>
    </row>
    <row r="7851" spans="1:6" x14ac:dyDescent="0.25">
      <c r="A7851" t="s">
        <v>6559</v>
      </c>
      <c r="B7851" t="s">
        <v>101</v>
      </c>
      <c r="C7851" t="s">
        <v>38</v>
      </c>
    </row>
    <row r="7852" spans="1:6" x14ac:dyDescent="0.25">
      <c r="A7852" t="s">
        <v>6559</v>
      </c>
      <c r="B7852" t="s">
        <v>131</v>
      </c>
      <c r="C7852" t="s">
        <v>132</v>
      </c>
    </row>
    <row r="7853" spans="1:6" x14ac:dyDescent="0.25">
      <c r="A7853" t="s">
        <v>6559</v>
      </c>
      <c r="B7853" t="s">
        <v>320</v>
      </c>
      <c r="C7853" t="s">
        <v>359</v>
      </c>
      <c r="D7853" t="str">
        <f>HYPERLINK("http://service.sap.com/sap/support/notes/1692614","1692614")</f>
        <v>1692614</v>
      </c>
      <c r="E7853">
        <v>4</v>
      </c>
      <c r="F7853" t="s">
        <v>4697</v>
      </c>
    </row>
    <row r="7854" spans="1:6" x14ac:dyDescent="0.25">
      <c r="A7854" t="s">
        <v>6559</v>
      </c>
      <c r="B7854" t="s">
        <v>135</v>
      </c>
      <c r="C7854" t="s">
        <v>136</v>
      </c>
      <c r="D7854" t="str">
        <f>HYPERLINK("http://service.sap.com/sap/support/notes/1732617","1732617")</f>
        <v>1732617</v>
      </c>
      <c r="E7854">
        <v>3</v>
      </c>
      <c r="F7854" t="s">
        <v>4721</v>
      </c>
    </row>
    <row r="7855" spans="1:6" x14ac:dyDescent="0.25">
      <c r="A7855" t="s">
        <v>6559</v>
      </c>
      <c r="B7855" t="s">
        <v>152</v>
      </c>
      <c r="C7855" t="s">
        <v>47</v>
      </c>
    </row>
    <row r="7856" spans="1:6" x14ac:dyDescent="0.25">
      <c r="A7856" t="s">
        <v>6559</v>
      </c>
      <c r="B7856" t="s">
        <v>153</v>
      </c>
      <c r="C7856" t="s">
        <v>154</v>
      </c>
      <c r="D7856" t="str">
        <f>HYPERLINK("http://service.sap.com/sap/support/notes/1700464","1700464")</f>
        <v>1700464</v>
      </c>
      <c r="E7856">
        <v>2</v>
      </c>
      <c r="F7856" t="s">
        <v>6685</v>
      </c>
    </row>
    <row r="7857" spans="1:6" x14ac:dyDescent="0.25">
      <c r="A7857" t="s">
        <v>6559</v>
      </c>
      <c r="B7857" t="s">
        <v>153</v>
      </c>
      <c r="C7857" t="s">
        <v>154</v>
      </c>
      <c r="D7857" t="str">
        <f>HYPERLINK("http://service.sap.com/sap/support/notes/1727170","1727170")</f>
        <v>1727170</v>
      </c>
      <c r="E7857">
        <v>2</v>
      </c>
      <c r="F7857" t="s">
        <v>6686</v>
      </c>
    </row>
    <row r="7858" spans="1:6" x14ac:dyDescent="0.25">
      <c r="A7858" t="s">
        <v>6559</v>
      </c>
      <c r="B7858" t="s">
        <v>153</v>
      </c>
      <c r="C7858" t="s">
        <v>154</v>
      </c>
      <c r="D7858" t="str">
        <f>HYPERLINK("http://service.sap.com/sap/support/notes/1727586","1727586")</f>
        <v>1727586</v>
      </c>
      <c r="E7858">
        <v>3</v>
      </c>
      <c r="F7858" t="s">
        <v>6687</v>
      </c>
    </row>
    <row r="7859" spans="1:6" x14ac:dyDescent="0.25">
      <c r="A7859" t="s">
        <v>6559</v>
      </c>
      <c r="B7859" t="s">
        <v>179</v>
      </c>
      <c r="C7859" t="s">
        <v>180</v>
      </c>
      <c r="D7859" t="str">
        <f>HYPERLINK("http://service.sap.com/sap/support/notes/1728096","1728096")</f>
        <v>1728096</v>
      </c>
      <c r="E7859">
        <v>1</v>
      </c>
      <c r="F7859" t="s">
        <v>6688</v>
      </c>
    </row>
    <row r="7860" spans="1:6" x14ac:dyDescent="0.25">
      <c r="A7860" t="s">
        <v>6559</v>
      </c>
      <c r="B7860" t="s">
        <v>179</v>
      </c>
      <c r="C7860" t="s">
        <v>180</v>
      </c>
      <c r="D7860" t="str">
        <f>HYPERLINK("http://service.sap.com/sap/support/notes/1732035","1732035")</f>
        <v>1732035</v>
      </c>
      <c r="E7860">
        <v>1</v>
      </c>
      <c r="F7860" t="s">
        <v>4864</v>
      </c>
    </row>
    <row r="7861" spans="1:6" x14ac:dyDescent="0.25">
      <c r="A7861" t="s">
        <v>6559</v>
      </c>
      <c r="B7861" t="s">
        <v>179</v>
      </c>
      <c r="C7861" t="s">
        <v>180</v>
      </c>
      <c r="D7861" t="str">
        <f>HYPERLINK("http://service.sap.com/sap/support/notes/1735677","1735677")</f>
        <v>1735677</v>
      </c>
      <c r="E7861">
        <v>2</v>
      </c>
      <c r="F7861" t="s">
        <v>6689</v>
      </c>
    </row>
    <row r="7862" spans="1:6" x14ac:dyDescent="0.25">
      <c r="A7862" t="s">
        <v>6559</v>
      </c>
      <c r="B7862" t="s">
        <v>179</v>
      </c>
      <c r="C7862" t="s">
        <v>180</v>
      </c>
      <c r="D7862" t="str">
        <f>HYPERLINK("http://service.sap.com/sap/support/notes/1737726","1737726")</f>
        <v>1737726</v>
      </c>
      <c r="E7862">
        <v>5</v>
      </c>
      <c r="F7862" t="s">
        <v>4869</v>
      </c>
    </row>
    <row r="7863" spans="1:6" x14ac:dyDescent="0.25">
      <c r="A7863" t="s">
        <v>6559</v>
      </c>
      <c r="B7863" t="s">
        <v>179</v>
      </c>
      <c r="C7863" t="s">
        <v>180</v>
      </c>
      <c r="D7863" t="str">
        <f>HYPERLINK("http://service.sap.com/sap/support/notes/1739644","1739644")</f>
        <v>1739644</v>
      </c>
      <c r="E7863">
        <v>1</v>
      </c>
      <c r="F7863" t="s">
        <v>4870</v>
      </c>
    </row>
    <row r="7864" spans="1:6" x14ac:dyDescent="0.25">
      <c r="A7864" t="s">
        <v>6559</v>
      </c>
      <c r="B7864" t="s">
        <v>179</v>
      </c>
      <c r="C7864" t="s">
        <v>180</v>
      </c>
      <c r="D7864" t="str">
        <f>HYPERLINK("http://service.sap.com/sap/support/notes/1742849","1742849")</f>
        <v>1742849</v>
      </c>
      <c r="E7864">
        <v>1</v>
      </c>
      <c r="F7864" t="s">
        <v>6690</v>
      </c>
    </row>
    <row r="7865" spans="1:6" x14ac:dyDescent="0.25">
      <c r="A7865" t="s">
        <v>6559</v>
      </c>
      <c r="B7865" t="s">
        <v>179</v>
      </c>
      <c r="C7865" t="s">
        <v>180</v>
      </c>
      <c r="D7865" t="str">
        <f>HYPERLINK("http://service.sap.com/sap/support/notes/1742913","1742913")</f>
        <v>1742913</v>
      </c>
      <c r="E7865">
        <v>1</v>
      </c>
      <c r="F7865" t="s">
        <v>6691</v>
      </c>
    </row>
    <row r="7866" spans="1:6" x14ac:dyDescent="0.25">
      <c r="A7866" t="s">
        <v>6559</v>
      </c>
      <c r="B7866" t="s">
        <v>181</v>
      </c>
      <c r="C7866" t="s">
        <v>182</v>
      </c>
      <c r="D7866" t="str">
        <f>HYPERLINK("http://service.sap.com/sap/support/notes/1730200","1730200")</f>
        <v>1730200</v>
      </c>
      <c r="E7866">
        <v>1</v>
      </c>
      <c r="F7866" t="s">
        <v>4875</v>
      </c>
    </row>
    <row r="7867" spans="1:6" x14ac:dyDescent="0.25">
      <c r="A7867" t="s">
        <v>6559</v>
      </c>
      <c r="B7867" t="s">
        <v>191</v>
      </c>
      <c r="C7867" t="s">
        <v>62</v>
      </c>
    </row>
    <row r="7868" spans="1:6" x14ac:dyDescent="0.25">
      <c r="A7868" t="s">
        <v>6559</v>
      </c>
      <c r="B7868" t="s">
        <v>478</v>
      </c>
      <c r="C7868" t="s">
        <v>479</v>
      </c>
      <c r="D7868" t="str">
        <f>HYPERLINK("http://service.sap.com/sap/support/notes/1635820","1635820")</f>
        <v>1635820</v>
      </c>
      <c r="E7868">
        <v>4</v>
      </c>
      <c r="F7868" t="s">
        <v>6692</v>
      </c>
    </row>
    <row r="7869" spans="1:6" x14ac:dyDescent="0.25">
      <c r="A7869" t="s">
        <v>6559</v>
      </c>
      <c r="B7869" t="s">
        <v>195</v>
      </c>
      <c r="C7869" t="s">
        <v>132</v>
      </c>
      <c r="D7869" t="str">
        <f>HYPERLINK("http://service.sap.com/sap/support/notes/1744837","1744837")</f>
        <v>1744837</v>
      </c>
      <c r="E7869">
        <v>1</v>
      </c>
      <c r="F7869" t="s">
        <v>6693</v>
      </c>
    </row>
    <row r="7870" spans="1:6" x14ac:dyDescent="0.25">
      <c r="A7870" t="s">
        <v>6559</v>
      </c>
      <c r="B7870" t="s">
        <v>196</v>
      </c>
      <c r="C7870" t="s">
        <v>197</v>
      </c>
      <c r="D7870" t="str">
        <f>HYPERLINK("http://service.sap.com/sap/support/notes/1734460","1734460")</f>
        <v>1734460</v>
      </c>
      <c r="E7870">
        <v>2</v>
      </c>
      <c r="F7870" t="s">
        <v>4903</v>
      </c>
    </row>
    <row r="7871" spans="1:6" x14ac:dyDescent="0.25">
      <c r="A7871" t="s">
        <v>6559</v>
      </c>
      <c r="B7871" t="s">
        <v>207</v>
      </c>
      <c r="C7871" t="s">
        <v>208</v>
      </c>
    </row>
    <row r="7872" spans="1:6" x14ac:dyDescent="0.25">
      <c r="A7872" t="s">
        <v>6559</v>
      </c>
      <c r="B7872" t="s">
        <v>209</v>
      </c>
      <c r="C7872" t="s">
        <v>210</v>
      </c>
    </row>
    <row r="7873" spans="1:6" x14ac:dyDescent="0.25">
      <c r="A7873" t="s">
        <v>6559</v>
      </c>
      <c r="B7873" t="s">
        <v>790</v>
      </c>
      <c r="C7873" t="s">
        <v>791</v>
      </c>
    </row>
    <row r="7874" spans="1:6" x14ac:dyDescent="0.25">
      <c r="A7874" t="s">
        <v>6559</v>
      </c>
      <c r="B7874" t="s">
        <v>792</v>
      </c>
      <c r="C7874" t="s">
        <v>655</v>
      </c>
      <c r="D7874" t="str">
        <f>HYPERLINK("http://service.sap.com/sap/support/notes/1731978","1731978")</f>
        <v>1731978</v>
      </c>
      <c r="E7874">
        <v>1</v>
      </c>
      <c r="F7874" t="s">
        <v>6694</v>
      </c>
    </row>
    <row r="7875" spans="1:6" x14ac:dyDescent="0.25">
      <c r="A7875" t="s">
        <v>6559</v>
      </c>
      <c r="B7875" t="s">
        <v>5247</v>
      </c>
      <c r="C7875" t="s">
        <v>5248</v>
      </c>
    </row>
    <row r="7876" spans="1:6" x14ac:dyDescent="0.25">
      <c r="A7876" t="s">
        <v>6559</v>
      </c>
      <c r="B7876" t="s">
        <v>5249</v>
      </c>
      <c r="C7876" t="s">
        <v>655</v>
      </c>
      <c r="D7876" t="str">
        <f>HYPERLINK("http://service.sap.com/sap/support/notes/1737829","1737829")</f>
        <v>1737829</v>
      </c>
      <c r="E7876">
        <v>1</v>
      </c>
      <c r="F7876" t="s">
        <v>6695</v>
      </c>
    </row>
    <row r="7877" spans="1:6" x14ac:dyDescent="0.25">
      <c r="A7877" t="s">
        <v>6696</v>
      </c>
      <c r="B7877" t="s">
        <v>220</v>
      </c>
      <c r="C7877" t="s">
        <v>435</v>
      </c>
    </row>
    <row r="7878" spans="1:6" x14ac:dyDescent="0.25">
      <c r="A7878" t="s">
        <v>6696</v>
      </c>
      <c r="B7878" t="s">
        <v>542</v>
      </c>
      <c r="C7878" t="s">
        <v>543</v>
      </c>
    </row>
    <row r="7879" spans="1:6" x14ac:dyDescent="0.25">
      <c r="A7879" t="s">
        <v>6696</v>
      </c>
      <c r="B7879" t="s">
        <v>544</v>
      </c>
      <c r="C7879" t="s">
        <v>545</v>
      </c>
      <c r="D7879" t="str">
        <f>HYPERLINK("http://service.sap.com/sap/support/notes/1685424","1685424")</f>
        <v>1685424</v>
      </c>
      <c r="E7879">
        <v>1</v>
      </c>
      <c r="F7879" t="s">
        <v>6697</v>
      </c>
    </row>
    <row r="7880" spans="1:6" x14ac:dyDescent="0.25">
      <c r="A7880" t="s">
        <v>6696</v>
      </c>
      <c r="B7880" t="s">
        <v>544</v>
      </c>
      <c r="C7880" t="s">
        <v>545</v>
      </c>
      <c r="D7880" t="str">
        <f>HYPERLINK("http://service.sap.com/sap/support/notes/1750360","1750360")</f>
        <v>1750360</v>
      </c>
      <c r="E7880">
        <v>1</v>
      </c>
      <c r="F7880" t="s">
        <v>6698</v>
      </c>
    </row>
    <row r="7881" spans="1:6" x14ac:dyDescent="0.25">
      <c r="A7881" t="s">
        <v>6696</v>
      </c>
      <c r="B7881" t="s">
        <v>544</v>
      </c>
      <c r="C7881" t="s">
        <v>545</v>
      </c>
      <c r="D7881" t="str">
        <f>HYPERLINK("http://service.sap.com/sap/support/notes/1752420","1752420")</f>
        <v>1752420</v>
      </c>
      <c r="E7881">
        <v>1</v>
      </c>
      <c r="F7881" t="s">
        <v>6699</v>
      </c>
    </row>
    <row r="7882" spans="1:6" x14ac:dyDescent="0.25">
      <c r="A7882" t="s">
        <v>6696</v>
      </c>
      <c r="B7882" t="s">
        <v>438</v>
      </c>
      <c r="C7882" t="s">
        <v>439</v>
      </c>
    </row>
    <row r="7883" spans="1:6" x14ac:dyDescent="0.25">
      <c r="A7883" t="s">
        <v>6696</v>
      </c>
      <c r="B7883" t="s">
        <v>440</v>
      </c>
      <c r="C7883" t="s">
        <v>441</v>
      </c>
    </row>
    <row r="7884" spans="1:6" x14ac:dyDescent="0.25">
      <c r="A7884" t="s">
        <v>6696</v>
      </c>
      <c r="B7884" t="s">
        <v>442</v>
      </c>
      <c r="C7884" t="s">
        <v>443</v>
      </c>
      <c r="D7884" t="str">
        <f>HYPERLINK("http://service.sap.com/sap/support/notes/1669857","1669857")</f>
        <v>1669857</v>
      </c>
      <c r="E7884">
        <v>1</v>
      </c>
      <c r="F7884" t="s">
        <v>6700</v>
      </c>
    </row>
    <row r="7885" spans="1:6" x14ac:dyDescent="0.25">
      <c r="A7885" t="s">
        <v>6696</v>
      </c>
      <c r="B7885" t="s">
        <v>442</v>
      </c>
      <c r="C7885" t="s">
        <v>443</v>
      </c>
      <c r="D7885" t="str">
        <f>HYPERLINK("http://service.sap.com/sap/support/notes/1682223","1682223")</f>
        <v>1682223</v>
      </c>
      <c r="E7885">
        <v>1</v>
      </c>
      <c r="F7885" t="s">
        <v>6701</v>
      </c>
    </row>
    <row r="7886" spans="1:6" x14ac:dyDescent="0.25">
      <c r="A7886" t="s">
        <v>6696</v>
      </c>
      <c r="B7886" t="s">
        <v>442</v>
      </c>
      <c r="C7886" t="s">
        <v>443</v>
      </c>
      <c r="D7886" t="str">
        <f>HYPERLINK("http://service.sap.com/sap/support/notes/1683805","1683805")</f>
        <v>1683805</v>
      </c>
      <c r="E7886">
        <v>1</v>
      </c>
      <c r="F7886" t="s">
        <v>6702</v>
      </c>
    </row>
    <row r="7887" spans="1:6" x14ac:dyDescent="0.25">
      <c r="A7887" t="s">
        <v>6696</v>
      </c>
      <c r="B7887" t="s">
        <v>442</v>
      </c>
      <c r="C7887" t="s">
        <v>443</v>
      </c>
      <c r="D7887" t="str">
        <f>HYPERLINK("http://service.sap.com/sap/support/notes/1685618","1685618")</f>
        <v>1685618</v>
      </c>
      <c r="E7887">
        <v>2</v>
      </c>
      <c r="F7887" t="s">
        <v>6703</v>
      </c>
    </row>
    <row r="7888" spans="1:6" x14ac:dyDescent="0.25">
      <c r="A7888" t="s">
        <v>6696</v>
      </c>
      <c r="B7888" t="s">
        <v>442</v>
      </c>
      <c r="C7888" t="s">
        <v>443</v>
      </c>
      <c r="D7888" t="str">
        <f>HYPERLINK("http://service.sap.com/sap/support/notes/1700926","1700926")</f>
        <v>1700926</v>
      </c>
      <c r="E7888">
        <v>2</v>
      </c>
      <c r="F7888" t="s">
        <v>6704</v>
      </c>
    </row>
    <row r="7889" spans="1:6" x14ac:dyDescent="0.25">
      <c r="A7889" t="s">
        <v>6696</v>
      </c>
      <c r="B7889" t="s">
        <v>442</v>
      </c>
      <c r="C7889" t="s">
        <v>443</v>
      </c>
      <c r="D7889" t="str">
        <f>HYPERLINK("http://service.sap.com/sap/support/notes/1705919","1705919")</f>
        <v>1705919</v>
      </c>
      <c r="E7889">
        <v>2</v>
      </c>
      <c r="F7889" t="s">
        <v>6705</v>
      </c>
    </row>
    <row r="7890" spans="1:6" x14ac:dyDescent="0.25">
      <c r="A7890" t="s">
        <v>6696</v>
      </c>
      <c r="B7890" t="s">
        <v>442</v>
      </c>
      <c r="C7890" t="s">
        <v>443</v>
      </c>
      <c r="D7890" t="str">
        <f>HYPERLINK("http://service.sap.com/sap/support/notes/1707340","1707340")</f>
        <v>1707340</v>
      </c>
      <c r="E7890">
        <v>2</v>
      </c>
      <c r="F7890" t="s">
        <v>6706</v>
      </c>
    </row>
    <row r="7891" spans="1:6" x14ac:dyDescent="0.25">
      <c r="A7891" t="s">
        <v>6696</v>
      </c>
      <c r="B7891" t="s">
        <v>442</v>
      </c>
      <c r="C7891" t="s">
        <v>443</v>
      </c>
      <c r="D7891" t="str">
        <f>HYPERLINK("http://service.sap.com/sap/support/notes/1709080","1709080")</f>
        <v>1709080</v>
      </c>
      <c r="E7891">
        <v>1</v>
      </c>
      <c r="F7891" t="s">
        <v>6707</v>
      </c>
    </row>
    <row r="7892" spans="1:6" x14ac:dyDescent="0.25">
      <c r="A7892" t="s">
        <v>6696</v>
      </c>
      <c r="B7892" t="s">
        <v>442</v>
      </c>
      <c r="C7892" t="s">
        <v>443</v>
      </c>
      <c r="D7892" t="str">
        <f>HYPERLINK("http://service.sap.com/sap/support/notes/1712255","1712255")</f>
        <v>1712255</v>
      </c>
      <c r="E7892">
        <v>1</v>
      </c>
      <c r="F7892" t="s">
        <v>6708</v>
      </c>
    </row>
    <row r="7893" spans="1:6" x14ac:dyDescent="0.25">
      <c r="A7893" t="s">
        <v>6696</v>
      </c>
      <c r="B7893" t="s">
        <v>442</v>
      </c>
      <c r="C7893" t="s">
        <v>443</v>
      </c>
      <c r="D7893" t="str">
        <f>HYPERLINK("http://service.sap.com/sap/support/notes/1714119","1714119")</f>
        <v>1714119</v>
      </c>
      <c r="E7893">
        <v>6</v>
      </c>
      <c r="F7893" t="s">
        <v>6709</v>
      </c>
    </row>
    <row r="7894" spans="1:6" x14ac:dyDescent="0.25">
      <c r="A7894" t="s">
        <v>6696</v>
      </c>
      <c r="B7894" t="s">
        <v>442</v>
      </c>
      <c r="C7894" t="s">
        <v>443</v>
      </c>
      <c r="D7894" t="str">
        <f>HYPERLINK("http://service.sap.com/sap/support/notes/1730271","1730271")</f>
        <v>1730271</v>
      </c>
      <c r="E7894">
        <v>2</v>
      </c>
      <c r="F7894" t="s">
        <v>6710</v>
      </c>
    </row>
    <row r="7895" spans="1:6" x14ac:dyDescent="0.25">
      <c r="A7895" t="s">
        <v>6696</v>
      </c>
      <c r="B7895" t="s">
        <v>442</v>
      </c>
      <c r="C7895" t="s">
        <v>443</v>
      </c>
      <c r="D7895" t="str">
        <f>HYPERLINK("http://service.sap.com/sap/support/notes/1739604","1739604")</f>
        <v>1739604</v>
      </c>
      <c r="E7895">
        <v>2</v>
      </c>
      <c r="F7895" t="s">
        <v>6711</v>
      </c>
    </row>
    <row r="7896" spans="1:6" x14ac:dyDescent="0.25">
      <c r="A7896" t="s">
        <v>6696</v>
      </c>
      <c r="B7896" t="s">
        <v>442</v>
      </c>
      <c r="C7896" t="s">
        <v>443</v>
      </c>
      <c r="D7896" t="str">
        <f>HYPERLINK("http://service.sap.com/sap/support/notes/1745418","1745418")</f>
        <v>1745418</v>
      </c>
      <c r="E7896">
        <v>1</v>
      </c>
      <c r="F7896" t="s">
        <v>6712</v>
      </c>
    </row>
    <row r="7897" spans="1:6" x14ac:dyDescent="0.25">
      <c r="A7897" t="s">
        <v>6696</v>
      </c>
      <c r="B7897" t="s">
        <v>442</v>
      </c>
      <c r="C7897" t="s">
        <v>443</v>
      </c>
      <c r="D7897" t="str">
        <f>HYPERLINK("http://service.sap.com/sap/support/notes/1749072","1749072")</f>
        <v>1749072</v>
      </c>
      <c r="E7897">
        <v>1</v>
      </c>
      <c r="F7897" t="s">
        <v>6713</v>
      </c>
    </row>
    <row r="7898" spans="1:6" x14ac:dyDescent="0.25">
      <c r="A7898" t="s">
        <v>6696</v>
      </c>
      <c r="B7898" t="s">
        <v>225</v>
      </c>
      <c r="C7898" t="s">
        <v>354</v>
      </c>
    </row>
    <row r="7899" spans="1:6" x14ac:dyDescent="0.25">
      <c r="A7899" t="s">
        <v>6696</v>
      </c>
      <c r="B7899" t="s">
        <v>226</v>
      </c>
      <c r="C7899" t="s">
        <v>355</v>
      </c>
    </row>
    <row r="7900" spans="1:6" x14ac:dyDescent="0.25">
      <c r="A7900" t="s">
        <v>6696</v>
      </c>
      <c r="B7900" t="s">
        <v>227</v>
      </c>
      <c r="C7900" t="s">
        <v>356</v>
      </c>
    </row>
    <row r="7901" spans="1:6" x14ac:dyDescent="0.25">
      <c r="A7901" t="s">
        <v>6696</v>
      </c>
      <c r="B7901" t="s">
        <v>228</v>
      </c>
      <c r="C7901" t="s">
        <v>357</v>
      </c>
      <c r="D7901" t="str">
        <f>HYPERLINK("http://service.sap.com/sap/support/notes/1749319","1749319")</f>
        <v>1749319</v>
      </c>
      <c r="E7901">
        <v>1</v>
      </c>
      <c r="F7901" t="s">
        <v>6714</v>
      </c>
    </row>
    <row r="7902" spans="1:6" x14ac:dyDescent="0.25">
      <c r="A7902" t="s">
        <v>6696</v>
      </c>
      <c r="B7902" t="s">
        <v>228</v>
      </c>
      <c r="C7902" t="s">
        <v>357</v>
      </c>
      <c r="D7902" t="str">
        <f>HYPERLINK("http://service.sap.com/sap/support/notes/1750011","1750011")</f>
        <v>1750011</v>
      </c>
      <c r="E7902">
        <v>1</v>
      </c>
      <c r="F7902" t="s">
        <v>6715</v>
      </c>
    </row>
    <row r="7903" spans="1:6" x14ac:dyDescent="0.25">
      <c r="A7903" t="s">
        <v>6696</v>
      </c>
      <c r="B7903" t="s">
        <v>15</v>
      </c>
      <c r="C7903" t="s">
        <v>16</v>
      </c>
    </row>
    <row r="7904" spans="1:6" x14ac:dyDescent="0.25">
      <c r="A7904" t="s">
        <v>6696</v>
      </c>
      <c r="B7904" t="s">
        <v>17</v>
      </c>
      <c r="C7904" t="s">
        <v>18</v>
      </c>
    </row>
    <row r="7905" spans="1:6" x14ac:dyDescent="0.25">
      <c r="A7905" t="s">
        <v>6696</v>
      </c>
      <c r="B7905" t="s">
        <v>19</v>
      </c>
      <c r="C7905" t="s">
        <v>20</v>
      </c>
      <c r="D7905" t="str">
        <f>HYPERLINK("http://service.sap.com/sap/support/notes/1732023","1732023")</f>
        <v>1732023</v>
      </c>
      <c r="E7905">
        <v>3</v>
      </c>
      <c r="F7905" t="s">
        <v>6575</v>
      </c>
    </row>
    <row r="7906" spans="1:6" x14ac:dyDescent="0.25">
      <c r="A7906" t="s">
        <v>6696</v>
      </c>
      <c r="B7906" t="s">
        <v>19</v>
      </c>
      <c r="C7906" t="s">
        <v>20</v>
      </c>
      <c r="D7906" t="str">
        <f>HYPERLINK("http://service.sap.com/sap/support/notes/1742468","1742468")</f>
        <v>1742468</v>
      </c>
      <c r="E7906">
        <v>1</v>
      </c>
      <c r="F7906" t="s">
        <v>6716</v>
      </c>
    </row>
    <row r="7907" spans="1:6" x14ac:dyDescent="0.25">
      <c r="A7907" t="s">
        <v>6696</v>
      </c>
      <c r="B7907" t="s">
        <v>19</v>
      </c>
      <c r="C7907" t="s">
        <v>20</v>
      </c>
      <c r="D7907" t="str">
        <f>HYPERLINK("http://service.sap.com/sap/support/notes/1743113","1743113")</f>
        <v>1743113</v>
      </c>
      <c r="E7907">
        <v>1</v>
      </c>
      <c r="F7907" t="s">
        <v>6717</v>
      </c>
    </row>
    <row r="7908" spans="1:6" x14ac:dyDescent="0.25">
      <c r="A7908" t="s">
        <v>6696</v>
      </c>
      <c r="B7908" t="s">
        <v>19</v>
      </c>
      <c r="C7908" t="s">
        <v>20</v>
      </c>
      <c r="D7908" t="str">
        <f>HYPERLINK("http://service.sap.com/sap/support/notes/1744582","1744582")</f>
        <v>1744582</v>
      </c>
      <c r="E7908">
        <v>1</v>
      </c>
      <c r="F7908" t="s">
        <v>6718</v>
      </c>
    </row>
    <row r="7909" spans="1:6" x14ac:dyDescent="0.25">
      <c r="A7909" t="s">
        <v>6696</v>
      </c>
      <c r="B7909" t="s">
        <v>19</v>
      </c>
      <c r="C7909" t="s">
        <v>20</v>
      </c>
      <c r="D7909" t="str">
        <f>HYPERLINK("http://service.sap.com/sap/support/notes/1746134","1746134")</f>
        <v>1746134</v>
      </c>
      <c r="E7909">
        <v>1</v>
      </c>
      <c r="F7909" t="s">
        <v>6719</v>
      </c>
    </row>
    <row r="7910" spans="1:6" x14ac:dyDescent="0.25">
      <c r="A7910" t="s">
        <v>6696</v>
      </c>
      <c r="B7910" t="s">
        <v>19</v>
      </c>
      <c r="C7910" t="s">
        <v>20</v>
      </c>
      <c r="D7910" t="str">
        <f>HYPERLINK("http://service.sap.com/sap/support/notes/1746140","1746140")</f>
        <v>1746140</v>
      </c>
      <c r="E7910">
        <v>5</v>
      </c>
      <c r="F7910" t="s">
        <v>6720</v>
      </c>
    </row>
    <row r="7911" spans="1:6" x14ac:dyDescent="0.25">
      <c r="A7911" t="s">
        <v>6696</v>
      </c>
      <c r="B7911" t="s">
        <v>19</v>
      </c>
      <c r="C7911" t="s">
        <v>20</v>
      </c>
      <c r="D7911" t="str">
        <f>HYPERLINK("http://service.sap.com/sap/support/notes/1746213","1746213")</f>
        <v>1746213</v>
      </c>
      <c r="E7911">
        <v>1</v>
      </c>
      <c r="F7911" t="s">
        <v>6721</v>
      </c>
    </row>
    <row r="7912" spans="1:6" x14ac:dyDescent="0.25">
      <c r="A7912" t="s">
        <v>6696</v>
      </c>
      <c r="B7912" t="s">
        <v>19</v>
      </c>
      <c r="C7912" t="s">
        <v>20</v>
      </c>
      <c r="D7912" t="str">
        <f>HYPERLINK("http://service.sap.com/sap/support/notes/1747712","1747712")</f>
        <v>1747712</v>
      </c>
      <c r="E7912">
        <v>1</v>
      </c>
      <c r="F7912" t="s">
        <v>6722</v>
      </c>
    </row>
    <row r="7913" spans="1:6" x14ac:dyDescent="0.25">
      <c r="A7913" t="s">
        <v>6696</v>
      </c>
      <c r="B7913" t="s">
        <v>19</v>
      </c>
      <c r="C7913" t="s">
        <v>20</v>
      </c>
      <c r="D7913" t="str">
        <f>HYPERLINK("http://service.sap.com/sap/support/notes/1748435","1748435")</f>
        <v>1748435</v>
      </c>
      <c r="E7913">
        <v>1</v>
      </c>
      <c r="F7913" t="s">
        <v>6723</v>
      </c>
    </row>
    <row r="7914" spans="1:6" x14ac:dyDescent="0.25">
      <c r="A7914" t="s">
        <v>6696</v>
      </c>
      <c r="B7914" t="s">
        <v>19</v>
      </c>
      <c r="C7914" t="s">
        <v>20</v>
      </c>
      <c r="D7914" t="str">
        <f>HYPERLINK("http://service.sap.com/sap/support/notes/1751202","1751202")</f>
        <v>1751202</v>
      </c>
      <c r="E7914">
        <v>1</v>
      </c>
      <c r="F7914" t="s">
        <v>6724</v>
      </c>
    </row>
    <row r="7915" spans="1:6" x14ac:dyDescent="0.25">
      <c r="A7915" t="s">
        <v>6696</v>
      </c>
      <c r="B7915" t="s">
        <v>19</v>
      </c>
      <c r="C7915" t="s">
        <v>20</v>
      </c>
      <c r="D7915" t="str">
        <f>HYPERLINK("http://service.sap.com/sap/support/notes/1754057","1754057")</f>
        <v>1754057</v>
      </c>
      <c r="E7915">
        <v>1</v>
      </c>
      <c r="F7915" t="s">
        <v>6725</v>
      </c>
    </row>
    <row r="7916" spans="1:6" x14ac:dyDescent="0.25">
      <c r="A7916" t="s">
        <v>6696</v>
      </c>
      <c r="B7916" t="s">
        <v>446</v>
      </c>
      <c r="C7916" t="s">
        <v>447</v>
      </c>
      <c r="D7916" t="str">
        <f>HYPERLINK("http://service.sap.com/sap/support/notes/1732146","1732146")</f>
        <v>1732146</v>
      </c>
      <c r="E7916">
        <v>4</v>
      </c>
      <c r="F7916" t="s">
        <v>6601</v>
      </c>
    </row>
    <row r="7917" spans="1:6" x14ac:dyDescent="0.25">
      <c r="A7917" t="s">
        <v>6696</v>
      </c>
      <c r="B7917" t="s">
        <v>446</v>
      </c>
      <c r="C7917" t="s">
        <v>447</v>
      </c>
      <c r="D7917" t="str">
        <f>HYPERLINK("http://service.sap.com/sap/support/notes/1739990","1739990")</f>
        <v>1739990</v>
      </c>
      <c r="E7917">
        <v>2</v>
      </c>
      <c r="F7917" t="s">
        <v>6726</v>
      </c>
    </row>
    <row r="7918" spans="1:6" x14ac:dyDescent="0.25">
      <c r="A7918" t="s">
        <v>6696</v>
      </c>
      <c r="B7918" t="s">
        <v>446</v>
      </c>
      <c r="C7918" t="s">
        <v>447</v>
      </c>
      <c r="D7918" t="str">
        <f>HYPERLINK("http://service.sap.com/sap/support/notes/1740308","1740308")</f>
        <v>1740308</v>
      </c>
      <c r="E7918">
        <v>1</v>
      </c>
      <c r="F7918" t="s">
        <v>6614</v>
      </c>
    </row>
    <row r="7919" spans="1:6" x14ac:dyDescent="0.25">
      <c r="A7919" t="s">
        <v>6696</v>
      </c>
      <c r="B7919" t="s">
        <v>446</v>
      </c>
      <c r="C7919" t="s">
        <v>447</v>
      </c>
      <c r="D7919" t="str">
        <f>HYPERLINK("http://service.sap.com/sap/support/notes/1741896","1741896")</f>
        <v>1741896</v>
      </c>
      <c r="E7919">
        <v>2</v>
      </c>
      <c r="F7919" t="s">
        <v>6727</v>
      </c>
    </row>
    <row r="7920" spans="1:6" x14ac:dyDescent="0.25">
      <c r="A7920" t="s">
        <v>6696</v>
      </c>
      <c r="B7920" t="s">
        <v>446</v>
      </c>
      <c r="C7920" t="s">
        <v>447</v>
      </c>
      <c r="D7920" t="str">
        <f>HYPERLINK("http://service.sap.com/sap/support/notes/1745019","1745019")</f>
        <v>1745019</v>
      </c>
      <c r="E7920">
        <v>1</v>
      </c>
      <c r="F7920" t="s">
        <v>6728</v>
      </c>
    </row>
    <row r="7921" spans="1:6" x14ac:dyDescent="0.25">
      <c r="A7921" t="s">
        <v>6696</v>
      </c>
      <c r="B7921" t="s">
        <v>446</v>
      </c>
      <c r="C7921" t="s">
        <v>447</v>
      </c>
      <c r="D7921" t="str">
        <f>HYPERLINK("http://service.sap.com/sap/support/notes/1745148","1745148")</f>
        <v>1745148</v>
      </c>
      <c r="E7921">
        <v>1</v>
      </c>
      <c r="F7921" t="s">
        <v>6729</v>
      </c>
    </row>
    <row r="7922" spans="1:6" x14ac:dyDescent="0.25">
      <c r="A7922" t="s">
        <v>6696</v>
      </c>
      <c r="B7922" t="s">
        <v>446</v>
      </c>
      <c r="C7922" t="s">
        <v>447</v>
      </c>
      <c r="D7922" t="str">
        <f>HYPERLINK("http://service.sap.com/sap/support/notes/1745713","1745713")</f>
        <v>1745713</v>
      </c>
      <c r="E7922">
        <v>1</v>
      </c>
      <c r="F7922" t="s">
        <v>6730</v>
      </c>
    </row>
    <row r="7923" spans="1:6" x14ac:dyDescent="0.25">
      <c r="A7923" t="s">
        <v>6696</v>
      </c>
      <c r="B7923" t="s">
        <v>446</v>
      </c>
      <c r="C7923" t="s">
        <v>447</v>
      </c>
      <c r="D7923" t="str">
        <f>HYPERLINK("http://service.sap.com/sap/support/notes/1747935","1747935")</f>
        <v>1747935</v>
      </c>
      <c r="E7923">
        <v>1</v>
      </c>
      <c r="F7923" t="s">
        <v>6731</v>
      </c>
    </row>
    <row r="7924" spans="1:6" x14ac:dyDescent="0.25">
      <c r="A7924" t="s">
        <v>6696</v>
      </c>
      <c r="B7924" t="s">
        <v>446</v>
      </c>
      <c r="C7924" t="s">
        <v>447</v>
      </c>
      <c r="D7924" t="str">
        <f>HYPERLINK("http://service.sap.com/sap/support/notes/1750434","1750434")</f>
        <v>1750434</v>
      </c>
      <c r="E7924">
        <v>1</v>
      </c>
      <c r="F7924" t="s">
        <v>719</v>
      </c>
    </row>
    <row r="7925" spans="1:6" x14ac:dyDescent="0.25">
      <c r="A7925" t="s">
        <v>6696</v>
      </c>
      <c r="B7925" t="s">
        <v>446</v>
      </c>
      <c r="C7925" t="s">
        <v>447</v>
      </c>
      <c r="D7925" t="str">
        <f>HYPERLINK("http://service.sap.com/sap/support/notes/1750761","1750761")</f>
        <v>1750761</v>
      </c>
      <c r="E7925">
        <v>1</v>
      </c>
      <c r="F7925" t="s">
        <v>719</v>
      </c>
    </row>
    <row r="7926" spans="1:6" x14ac:dyDescent="0.25">
      <c r="A7926" t="s">
        <v>6696</v>
      </c>
      <c r="B7926" t="s">
        <v>446</v>
      </c>
      <c r="C7926" t="s">
        <v>447</v>
      </c>
      <c r="D7926" t="str">
        <f>HYPERLINK("http://service.sap.com/sap/support/notes/1751812","1751812")</f>
        <v>1751812</v>
      </c>
      <c r="E7926">
        <v>2</v>
      </c>
      <c r="F7926" t="s">
        <v>6732</v>
      </c>
    </row>
    <row r="7927" spans="1:6" x14ac:dyDescent="0.25">
      <c r="A7927" t="s">
        <v>6696</v>
      </c>
      <c r="B7927" t="s">
        <v>448</v>
      </c>
      <c r="C7927" t="s">
        <v>449</v>
      </c>
    </row>
    <row r="7928" spans="1:6" x14ac:dyDescent="0.25">
      <c r="A7928" t="s">
        <v>6696</v>
      </c>
      <c r="B7928" t="s">
        <v>453</v>
      </c>
      <c r="C7928" t="s">
        <v>454</v>
      </c>
      <c r="D7928" t="str">
        <f>HYPERLINK("http://service.sap.com/sap/support/notes/1741734","1741734")</f>
        <v>1741734</v>
      </c>
      <c r="E7928">
        <v>4</v>
      </c>
      <c r="F7928" t="s">
        <v>6622</v>
      </c>
    </row>
    <row r="7929" spans="1:6" x14ac:dyDescent="0.25">
      <c r="A7929" t="s">
        <v>6696</v>
      </c>
      <c r="B7929" t="s">
        <v>21</v>
      </c>
      <c r="C7929" t="s">
        <v>12</v>
      </c>
    </row>
    <row r="7930" spans="1:6" x14ac:dyDescent="0.25">
      <c r="A7930" t="s">
        <v>6696</v>
      </c>
      <c r="B7930" t="s">
        <v>455</v>
      </c>
      <c r="C7930" t="s">
        <v>456</v>
      </c>
      <c r="D7930" t="str">
        <f>HYPERLINK("http://service.sap.com/sap/support/notes/1625534","1625534")</f>
        <v>1625534</v>
      </c>
      <c r="E7930">
        <v>1</v>
      </c>
      <c r="F7930" t="s">
        <v>6733</v>
      </c>
    </row>
    <row r="7931" spans="1:6" x14ac:dyDescent="0.25">
      <c r="A7931" t="s">
        <v>6696</v>
      </c>
      <c r="B7931" t="s">
        <v>378</v>
      </c>
      <c r="C7931" t="s">
        <v>379</v>
      </c>
      <c r="D7931" t="str">
        <f>HYPERLINK("http://service.sap.com/sap/support/notes/1742401","1742401")</f>
        <v>1742401</v>
      </c>
      <c r="E7931">
        <v>2</v>
      </c>
      <c r="F7931" t="s">
        <v>6734</v>
      </c>
    </row>
    <row r="7932" spans="1:6" x14ac:dyDescent="0.25">
      <c r="A7932" t="s">
        <v>6696</v>
      </c>
      <c r="B7932" t="s">
        <v>378</v>
      </c>
      <c r="C7932" t="s">
        <v>379</v>
      </c>
      <c r="D7932" t="str">
        <f>HYPERLINK("http://service.sap.com/sap/support/notes/1745954","1745954")</f>
        <v>1745954</v>
      </c>
      <c r="E7932">
        <v>2</v>
      </c>
      <c r="F7932" t="s">
        <v>6735</v>
      </c>
    </row>
    <row r="7933" spans="1:6" x14ac:dyDescent="0.25">
      <c r="A7933" t="s">
        <v>6696</v>
      </c>
      <c r="B7933" t="s">
        <v>378</v>
      </c>
      <c r="C7933" t="s">
        <v>379</v>
      </c>
      <c r="D7933" t="str">
        <f>HYPERLINK("http://service.sap.com/sap/support/notes/1753056","1753056")</f>
        <v>1753056</v>
      </c>
      <c r="E7933">
        <v>2</v>
      </c>
      <c r="F7933" t="s">
        <v>6736</v>
      </c>
    </row>
    <row r="7934" spans="1:6" x14ac:dyDescent="0.25">
      <c r="A7934" t="s">
        <v>6696</v>
      </c>
      <c r="B7934" t="s">
        <v>458</v>
      </c>
      <c r="C7934" t="s">
        <v>459</v>
      </c>
      <c r="D7934" t="str">
        <f>HYPERLINK("http://service.sap.com/sap/support/notes/1747322","1747322")</f>
        <v>1747322</v>
      </c>
      <c r="E7934">
        <v>1</v>
      </c>
      <c r="F7934" t="s">
        <v>6737</v>
      </c>
    </row>
    <row r="7935" spans="1:6" x14ac:dyDescent="0.25">
      <c r="A7935" t="s">
        <v>6696</v>
      </c>
      <c r="B7935" t="s">
        <v>462</v>
      </c>
      <c r="C7935" t="s">
        <v>463</v>
      </c>
      <c r="D7935" t="str">
        <f>HYPERLINK("http://service.sap.com/sap/support/notes/1723692","1723692")</f>
        <v>1723692</v>
      </c>
      <c r="E7935">
        <v>3</v>
      </c>
      <c r="F7935" t="s">
        <v>6738</v>
      </c>
    </row>
    <row r="7936" spans="1:6" x14ac:dyDescent="0.25">
      <c r="A7936" t="s">
        <v>6696</v>
      </c>
      <c r="B7936" t="s">
        <v>623</v>
      </c>
      <c r="C7936" t="s">
        <v>624</v>
      </c>
    </row>
    <row r="7937" spans="1:6" x14ac:dyDescent="0.25">
      <c r="A7937" t="s">
        <v>6696</v>
      </c>
      <c r="B7937" t="s">
        <v>625</v>
      </c>
      <c r="C7937" t="s">
        <v>626</v>
      </c>
    </row>
    <row r="7938" spans="1:6" x14ac:dyDescent="0.25">
      <c r="A7938" t="s">
        <v>6696</v>
      </c>
      <c r="B7938" t="s">
        <v>627</v>
      </c>
      <c r="C7938" t="s">
        <v>628</v>
      </c>
      <c r="D7938" t="str">
        <f>HYPERLINK("http://service.sap.com/sap/support/notes/1748245","1748245")</f>
        <v>1748245</v>
      </c>
      <c r="E7938">
        <v>1</v>
      </c>
      <c r="F7938" t="s">
        <v>6739</v>
      </c>
    </row>
    <row r="7939" spans="1:6" x14ac:dyDescent="0.25">
      <c r="A7939" t="s">
        <v>6696</v>
      </c>
      <c r="B7939" t="s">
        <v>245</v>
      </c>
      <c r="C7939" t="s">
        <v>5215</v>
      </c>
      <c r="D7939" t="str">
        <f>HYPERLINK("http://service.sap.com/sap/support/notes/1739870","1739870")</f>
        <v>1739870</v>
      </c>
      <c r="E7939">
        <v>3</v>
      </c>
      <c r="F7939" t="s">
        <v>6740</v>
      </c>
    </row>
    <row r="7940" spans="1:6" x14ac:dyDescent="0.25">
      <c r="A7940" t="s">
        <v>6696</v>
      </c>
      <c r="B7940" t="s">
        <v>245</v>
      </c>
      <c r="C7940" t="s">
        <v>5215</v>
      </c>
      <c r="D7940" t="str">
        <f>HYPERLINK("http://service.sap.com/sap/support/notes/1739933","1739933")</f>
        <v>1739933</v>
      </c>
      <c r="E7940">
        <v>3</v>
      </c>
      <c r="F7940" t="s">
        <v>6741</v>
      </c>
    </row>
    <row r="7941" spans="1:6" x14ac:dyDescent="0.25">
      <c r="A7941" t="s">
        <v>6696</v>
      </c>
      <c r="B7941" t="s">
        <v>29</v>
      </c>
      <c r="C7941" t="s">
        <v>30</v>
      </c>
    </row>
    <row r="7942" spans="1:6" x14ac:dyDescent="0.25">
      <c r="A7942" t="s">
        <v>6696</v>
      </c>
      <c r="B7942" t="s">
        <v>33</v>
      </c>
      <c r="C7942" t="s">
        <v>34</v>
      </c>
      <c r="D7942" t="str">
        <f>HYPERLINK("http://service.sap.com/sap/support/notes/1726084","1726084")</f>
        <v>1726084</v>
      </c>
      <c r="E7942">
        <v>2</v>
      </c>
      <c r="F7942" t="s">
        <v>4924</v>
      </c>
    </row>
    <row r="7943" spans="1:6" x14ac:dyDescent="0.25">
      <c r="A7943" t="s">
        <v>6696</v>
      </c>
      <c r="B7943" t="s">
        <v>35</v>
      </c>
      <c r="C7943" t="s">
        <v>36</v>
      </c>
      <c r="D7943" t="str">
        <f>HYPERLINK("http://service.sap.com/sap/support/notes/1748093","1748093")</f>
        <v>1748093</v>
      </c>
      <c r="E7943">
        <v>1</v>
      </c>
      <c r="F7943" t="s">
        <v>6742</v>
      </c>
    </row>
    <row r="7944" spans="1:6" x14ac:dyDescent="0.25">
      <c r="A7944" t="s">
        <v>6696</v>
      </c>
      <c r="B7944" t="s">
        <v>41</v>
      </c>
      <c r="C7944" t="s">
        <v>42</v>
      </c>
      <c r="D7944" t="str">
        <f>HYPERLINK("http://service.sap.com/sap/support/notes/1749450","1749450")</f>
        <v>1749450</v>
      </c>
      <c r="E7944">
        <v>3</v>
      </c>
      <c r="F7944" t="s">
        <v>6743</v>
      </c>
    </row>
    <row r="7945" spans="1:6" x14ac:dyDescent="0.25">
      <c r="A7945" t="s">
        <v>6696</v>
      </c>
      <c r="B7945" t="s">
        <v>43</v>
      </c>
      <c r="C7945" t="s">
        <v>44</v>
      </c>
      <c r="D7945" t="str">
        <f>HYPERLINK("http://service.sap.com/sap/support/notes/1740043","1740043")</f>
        <v>1740043</v>
      </c>
      <c r="E7945">
        <v>3</v>
      </c>
      <c r="F7945" t="s">
        <v>6744</v>
      </c>
    </row>
    <row r="7946" spans="1:6" x14ac:dyDescent="0.25">
      <c r="A7946" t="s">
        <v>6696</v>
      </c>
      <c r="B7946" t="s">
        <v>403</v>
      </c>
      <c r="C7946" t="s">
        <v>147</v>
      </c>
      <c r="D7946" t="str">
        <f>HYPERLINK("http://service.sap.com/sap/support/notes/1747725","1747725")</f>
        <v>1747725</v>
      </c>
      <c r="E7946">
        <v>2</v>
      </c>
      <c r="F7946" t="s">
        <v>6742</v>
      </c>
    </row>
    <row r="7947" spans="1:6" x14ac:dyDescent="0.25">
      <c r="A7947" t="s">
        <v>6696</v>
      </c>
      <c r="B7947" t="s">
        <v>51</v>
      </c>
      <c r="C7947" t="s">
        <v>52</v>
      </c>
      <c r="D7947" t="str">
        <f>HYPERLINK("http://service.sap.com/sap/support/notes/1742662","1742662")</f>
        <v>1742662</v>
      </c>
      <c r="E7947">
        <v>1</v>
      </c>
      <c r="F7947" t="s">
        <v>6745</v>
      </c>
    </row>
    <row r="7948" spans="1:6" x14ac:dyDescent="0.25">
      <c r="A7948" t="s">
        <v>6696</v>
      </c>
      <c r="B7948" t="s">
        <v>51</v>
      </c>
      <c r="C7948" t="s">
        <v>52</v>
      </c>
      <c r="D7948" t="str">
        <f>HYPERLINK("http://service.sap.com/sap/support/notes/1746020","1746020")</f>
        <v>1746020</v>
      </c>
      <c r="E7948">
        <v>1</v>
      </c>
      <c r="F7948" t="s">
        <v>4937</v>
      </c>
    </row>
    <row r="7949" spans="1:6" x14ac:dyDescent="0.25">
      <c r="A7949" t="s">
        <v>6696</v>
      </c>
      <c r="B7949" t="s">
        <v>53</v>
      </c>
      <c r="C7949" t="s">
        <v>54</v>
      </c>
      <c r="D7949" t="str">
        <f>HYPERLINK("http://service.sap.com/sap/support/notes/1744885","1744885")</f>
        <v>1744885</v>
      </c>
      <c r="E7949">
        <v>2</v>
      </c>
      <c r="F7949" t="s">
        <v>4938</v>
      </c>
    </row>
    <row r="7950" spans="1:6" x14ac:dyDescent="0.25">
      <c r="A7950" t="s">
        <v>6696</v>
      </c>
      <c r="B7950" t="s">
        <v>55</v>
      </c>
      <c r="C7950" t="s">
        <v>56</v>
      </c>
      <c r="D7950" t="str">
        <f>HYPERLINK("http://service.sap.com/sap/support/notes/1750553","1750553")</f>
        <v>1750553</v>
      </c>
      <c r="E7950">
        <v>1</v>
      </c>
      <c r="F7950" t="s">
        <v>6746</v>
      </c>
    </row>
    <row r="7951" spans="1:6" x14ac:dyDescent="0.25">
      <c r="A7951" t="s">
        <v>6696</v>
      </c>
      <c r="B7951" t="s">
        <v>55</v>
      </c>
      <c r="C7951" t="s">
        <v>56</v>
      </c>
      <c r="D7951" t="str">
        <f>HYPERLINK("http://service.sap.com/sap/support/notes/1754516","1754516")</f>
        <v>1754516</v>
      </c>
      <c r="E7951">
        <v>1</v>
      </c>
      <c r="F7951" t="s">
        <v>6747</v>
      </c>
    </row>
    <row r="7952" spans="1:6" x14ac:dyDescent="0.25">
      <c r="A7952" t="s">
        <v>6696</v>
      </c>
      <c r="B7952" t="s">
        <v>57</v>
      </c>
      <c r="C7952" t="s">
        <v>58</v>
      </c>
      <c r="D7952" t="str">
        <f>HYPERLINK("http://service.sap.com/sap/support/notes/1736358","1736358")</f>
        <v>1736358</v>
      </c>
      <c r="E7952">
        <v>5</v>
      </c>
      <c r="F7952" t="s">
        <v>6748</v>
      </c>
    </row>
    <row r="7953" spans="1:6" x14ac:dyDescent="0.25">
      <c r="A7953" t="s">
        <v>6696</v>
      </c>
      <c r="B7953" t="s">
        <v>57</v>
      </c>
      <c r="C7953" t="s">
        <v>58</v>
      </c>
      <c r="D7953" t="str">
        <f>HYPERLINK("http://service.sap.com/sap/support/notes/1742535","1742535")</f>
        <v>1742535</v>
      </c>
      <c r="E7953">
        <v>1</v>
      </c>
      <c r="F7953" t="s">
        <v>4546</v>
      </c>
    </row>
    <row r="7954" spans="1:6" x14ac:dyDescent="0.25">
      <c r="A7954" t="s">
        <v>6696</v>
      </c>
      <c r="B7954" t="s">
        <v>57</v>
      </c>
      <c r="C7954" t="s">
        <v>58</v>
      </c>
      <c r="D7954" t="str">
        <f>HYPERLINK("http://service.sap.com/sap/support/notes/1748567","1748567")</f>
        <v>1748567</v>
      </c>
      <c r="E7954">
        <v>2</v>
      </c>
      <c r="F7954" t="s">
        <v>4945</v>
      </c>
    </row>
    <row r="7955" spans="1:6" x14ac:dyDescent="0.25">
      <c r="A7955" t="s">
        <v>6696</v>
      </c>
      <c r="B7955" t="s">
        <v>57</v>
      </c>
      <c r="C7955" t="s">
        <v>58</v>
      </c>
      <c r="D7955" t="str">
        <f>HYPERLINK("http://service.sap.com/sap/support/notes/1749885","1749885")</f>
        <v>1749885</v>
      </c>
      <c r="E7955">
        <v>1</v>
      </c>
      <c r="F7955" t="s">
        <v>6749</v>
      </c>
    </row>
    <row r="7956" spans="1:6" x14ac:dyDescent="0.25">
      <c r="A7956" t="s">
        <v>6696</v>
      </c>
      <c r="B7956" t="s">
        <v>631</v>
      </c>
      <c r="C7956" t="s">
        <v>632</v>
      </c>
      <c r="D7956" t="str">
        <f>HYPERLINK("http://service.sap.com/sap/support/notes/1666019","1666019")</f>
        <v>1666019</v>
      </c>
      <c r="E7956">
        <v>1</v>
      </c>
      <c r="F7956" t="s">
        <v>6750</v>
      </c>
    </row>
    <row r="7957" spans="1:6" x14ac:dyDescent="0.25">
      <c r="A7957" t="s">
        <v>6696</v>
      </c>
      <c r="B7957" t="s">
        <v>259</v>
      </c>
      <c r="C7957" t="s">
        <v>190</v>
      </c>
      <c r="D7957" t="str">
        <f>HYPERLINK("http://service.sap.com/sap/support/notes/1753802","1753802")</f>
        <v>1753802</v>
      </c>
      <c r="E7957">
        <v>1</v>
      </c>
      <c r="F7957" t="s">
        <v>6742</v>
      </c>
    </row>
    <row r="7958" spans="1:6" x14ac:dyDescent="0.25">
      <c r="A7958" t="s">
        <v>6696</v>
      </c>
      <c r="B7958" t="s">
        <v>267</v>
      </c>
      <c r="C7958" t="s">
        <v>466</v>
      </c>
    </row>
    <row r="7959" spans="1:6" x14ac:dyDescent="0.25">
      <c r="A7959" t="s">
        <v>6696</v>
      </c>
      <c r="B7959" t="s">
        <v>268</v>
      </c>
      <c r="C7959" t="s">
        <v>467</v>
      </c>
      <c r="D7959" t="str">
        <f>HYPERLINK("http://service.sap.com/sap/support/notes/1647394","1647394")</f>
        <v>1647394</v>
      </c>
      <c r="E7959">
        <v>2</v>
      </c>
      <c r="F7959" t="s">
        <v>6751</v>
      </c>
    </row>
    <row r="7960" spans="1:6" x14ac:dyDescent="0.25">
      <c r="A7960" t="s">
        <v>6696</v>
      </c>
      <c r="B7960" t="s">
        <v>268</v>
      </c>
      <c r="C7960" t="s">
        <v>467</v>
      </c>
      <c r="D7960" t="str">
        <f>HYPERLINK("http://service.sap.com/sap/support/notes/1736981","1736981")</f>
        <v>1736981</v>
      </c>
      <c r="E7960">
        <v>5</v>
      </c>
      <c r="F7960" t="s">
        <v>6752</v>
      </c>
    </row>
    <row r="7961" spans="1:6" x14ac:dyDescent="0.25">
      <c r="A7961" t="s">
        <v>6696</v>
      </c>
      <c r="B7961" t="s">
        <v>268</v>
      </c>
      <c r="C7961" t="s">
        <v>467</v>
      </c>
      <c r="D7961" t="str">
        <f>HYPERLINK("http://service.sap.com/sap/support/notes/1743416","1743416")</f>
        <v>1743416</v>
      </c>
      <c r="E7961">
        <v>5</v>
      </c>
      <c r="F7961" t="s">
        <v>6753</v>
      </c>
    </row>
    <row r="7962" spans="1:6" x14ac:dyDescent="0.25">
      <c r="A7962" t="s">
        <v>6696</v>
      </c>
      <c r="B7962" t="s">
        <v>268</v>
      </c>
      <c r="C7962" t="s">
        <v>467</v>
      </c>
      <c r="D7962" t="str">
        <f>HYPERLINK("http://service.sap.com/sap/support/notes/1748691","1748691")</f>
        <v>1748691</v>
      </c>
      <c r="E7962">
        <v>3</v>
      </c>
      <c r="F7962" t="s">
        <v>6754</v>
      </c>
    </row>
    <row r="7963" spans="1:6" x14ac:dyDescent="0.25">
      <c r="A7963" t="s">
        <v>6696</v>
      </c>
      <c r="B7963" t="s">
        <v>268</v>
      </c>
      <c r="C7963" t="s">
        <v>467</v>
      </c>
      <c r="D7963" t="str">
        <f>HYPERLINK("http://service.sap.com/sap/support/notes/1749394","1749394")</f>
        <v>1749394</v>
      </c>
      <c r="E7963">
        <v>3</v>
      </c>
      <c r="F7963" t="s">
        <v>6755</v>
      </c>
    </row>
    <row r="7964" spans="1:6" x14ac:dyDescent="0.25">
      <c r="A7964" t="s">
        <v>6696</v>
      </c>
      <c r="B7964" t="s">
        <v>268</v>
      </c>
      <c r="C7964" t="s">
        <v>467</v>
      </c>
      <c r="D7964" t="str">
        <f>HYPERLINK("http://service.sap.com/sap/support/notes/1751346","1751346")</f>
        <v>1751346</v>
      </c>
      <c r="E7964">
        <v>2</v>
      </c>
      <c r="F7964" t="s">
        <v>6756</v>
      </c>
    </row>
    <row r="7965" spans="1:6" x14ac:dyDescent="0.25">
      <c r="A7965" t="s">
        <v>6696</v>
      </c>
      <c r="B7965" t="s">
        <v>268</v>
      </c>
      <c r="C7965" t="s">
        <v>467</v>
      </c>
      <c r="D7965" t="str">
        <f>HYPERLINK("http://service.sap.com/sap/support/notes/1752611","1752611")</f>
        <v>1752611</v>
      </c>
      <c r="E7965">
        <v>2</v>
      </c>
      <c r="F7965" t="s">
        <v>6757</v>
      </c>
    </row>
    <row r="7966" spans="1:6" x14ac:dyDescent="0.25">
      <c r="A7966" t="s">
        <v>6696</v>
      </c>
      <c r="B7966" t="s">
        <v>268</v>
      </c>
      <c r="C7966" t="s">
        <v>467</v>
      </c>
      <c r="D7966" t="str">
        <f>HYPERLINK("http://service.sap.com/sap/support/notes/1754508","1754508")</f>
        <v>1754508</v>
      </c>
      <c r="E7966">
        <v>1</v>
      </c>
      <c r="F7966" t="s">
        <v>6758</v>
      </c>
    </row>
    <row r="7967" spans="1:6" x14ac:dyDescent="0.25">
      <c r="A7967" t="s">
        <v>6696</v>
      </c>
      <c r="B7967" t="s">
        <v>273</v>
      </c>
      <c r="C7967" t="s">
        <v>469</v>
      </c>
    </row>
    <row r="7968" spans="1:6" x14ac:dyDescent="0.25">
      <c r="A7968" t="s">
        <v>6696</v>
      </c>
      <c r="B7968" t="s">
        <v>274</v>
      </c>
      <c r="C7968" t="s">
        <v>470</v>
      </c>
      <c r="D7968" t="str">
        <f>HYPERLINK("http://service.sap.com/sap/support/notes/1634192","1634192")</f>
        <v>1634192</v>
      </c>
      <c r="E7968">
        <v>3</v>
      </c>
      <c r="F7968" t="s">
        <v>5348</v>
      </c>
    </row>
    <row r="7969" spans="1:6" x14ac:dyDescent="0.25">
      <c r="A7969" t="s">
        <v>6696</v>
      </c>
      <c r="B7969" t="s">
        <v>274</v>
      </c>
      <c r="C7969" t="s">
        <v>470</v>
      </c>
      <c r="D7969" t="str">
        <f>HYPERLINK("http://service.sap.com/sap/support/notes/1733278","1733278")</f>
        <v>1733278</v>
      </c>
      <c r="E7969">
        <v>8</v>
      </c>
      <c r="F7969" t="s">
        <v>6759</v>
      </c>
    </row>
    <row r="7970" spans="1:6" x14ac:dyDescent="0.25">
      <c r="A7970" t="s">
        <v>6696</v>
      </c>
      <c r="B7970" t="s">
        <v>471</v>
      </c>
      <c r="C7970" t="s">
        <v>472</v>
      </c>
      <c r="D7970" t="str">
        <f>HYPERLINK("http://service.sap.com/sap/support/notes/1699117","1699117")</f>
        <v>1699117</v>
      </c>
      <c r="E7970">
        <v>9</v>
      </c>
      <c r="F7970" t="s">
        <v>6659</v>
      </c>
    </row>
    <row r="7971" spans="1:6" x14ac:dyDescent="0.25">
      <c r="A7971" t="s">
        <v>6696</v>
      </c>
      <c r="B7971" t="s">
        <v>471</v>
      </c>
      <c r="C7971" t="s">
        <v>472</v>
      </c>
      <c r="D7971" t="str">
        <f>HYPERLINK("http://service.sap.com/sap/support/notes/1710514","1710514")</f>
        <v>1710514</v>
      </c>
      <c r="E7971">
        <v>10</v>
      </c>
      <c r="F7971" t="s">
        <v>6660</v>
      </c>
    </row>
    <row r="7972" spans="1:6" x14ac:dyDescent="0.25">
      <c r="A7972" t="s">
        <v>6696</v>
      </c>
      <c r="B7972" t="s">
        <v>471</v>
      </c>
      <c r="C7972" t="s">
        <v>472</v>
      </c>
      <c r="D7972" t="str">
        <f>HYPERLINK("http://service.sap.com/sap/support/notes/1727428","1727428")</f>
        <v>1727428</v>
      </c>
      <c r="E7972">
        <v>9</v>
      </c>
      <c r="F7972" t="s">
        <v>6661</v>
      </c>
    </row>
    <row r="7973" spans="1:6" x14ac:dyDescent="0.25">
      <c r="A7973" t="s">
        <v>6696</v>
      </c>
      <c r="B7973" t="s">
        <v>471</v>
      </c>
      <c r="C7973" t="s">
        <v>472</v>
      </c>
      <c r="D7973" t="str">
        <f>HYPERLINK("http://service.sap.com/sap/support/notes/1729749","1729749")</f>
        <v>1729749</v>
      </c>
      <c r="E7973">
        <v>17</v>
      </c>
      <c r="F7973" t="s">
        <v>6760</v>
      </c>
    </row>
    <row r="7974" spans="1:6" x14ac:dyDescent="0.25">
      <c r="A7974" t="s">
        <v>6696</v>
      </c>
      <c r="B7974" t="s">
        <v>471</v>
      </c>
      <c r="C7974" t="s">
        <v>472</v>
      </c>
      <c r="D7974" t="str">
        <f>HYPERLINK("http://service.sap.com/sap/support/notes/1733570","1733570")</f>
        <v>1733570</v>
      </c>
      <c r="E7974">
        <v>3</v>
      </c>
      <c r="F7974" t="s">
        <v>6761</v>
      </c>
    </row>
    <row r="7975" spans="1:6" x14ac:dyDescent="0.25">
      <c r="A7975" t="s">
        <v>6696</v>
      </c>
      <c r="B7975" t="s">
        <v>471</v>
      </c>
      <c r="C7975" t="s">
        <v>472</v>
      </c>
      <c r="D7975" t="str">
        <f>HYPERLINK("http://service.sap.com/sap/support/notes/1736946","1736946")</f>
        <v>1736946</v>
      </c>
      <c r="E7975">
        <v>3</v>
      </c>
      <c r="F7975" t="s">
        <v>6762</v>
      </c>
    </row>
    <row r="7976" spans="1:6" x14ac:dyDescent="0.25">
      <c r="A7976" t="s">
        <v>6696</v>
      </c>
      <c r="B7976" t="s">
        <v>471</v>
      </c>
      <c r="C7976" t="s">
        <v>472</v>
      </c>
      <c r="D7976" t="str">
        <f>HYPERLINK("http://service.sap.com/sap/support/notes/1742522","1742522")</f>
        <v>1742522</v>
      </c>
      <c r="E7976">
        <v>2</v>
      </c>
      <c r="F7976" t="s">
        <v>6763</v>
      </c>
    </row>
    <row r="7977" spans="1:6" x14ac:dyDescent="0.25">
      <c r="A7977" t="s">
        <v>6696</v>
      </c>
      <c r="B7977" t="s">
        <v>471</v>
      </c>
      <c r="C7977" t="s">
        <v>472</v>
      </c>
      <c r="D7977" t="str">
        <f>HYPERLINK("http://service.sap.com/sap/support/notes/1751446","1751446")</f>
        <v>1751446</v>
      </c>
      <c r="E7977">
        <v>1</v>
      </c>
      <c r="F7977" t="s">
        <v>6764</v>
      </c>
    </row>
    <row r="7978" spans="1:6" x14ac:dyDescent="0.25">
      <c r="A7978" t="s">
        <v>6696</v>
      </c>
      <c r="B7978" t="s">
        <v>421</v>
      </c>
      <c r="C7978" t="s">
        <v>363</v>
      </c>
      <c r="D7978" t="str">
        <f>HYPERLINK("http://service.sap.com/sap/support/notes/1574804","1574804")</f>
        <v>1574804</v>
      </c>
      <c r="E7978">
        <v>11</v>
      </c>
      <c r="F7978" t="s">
        <v>6765</v>
      </c>
    </row>
    <row r="7979" spans="1:6" x14ac:dyDescent="0.25">
      <c r="A7979" t="s">
        <v>6696</v>
      </c>
      <c r="B7979" t="s">
        <v>421</v>
      </c>
      <c r="C7979" t="s">
        <v>363</v>
      </c>
      <c r="D7979" t="str">
        <f>HYPERLINK("http://service.sap.com/sap/support/notes/1669772","1669772")</f>
        <v>1669772</v>
      </c>
      <c r="E7979">
        <v>12</v>
      </c>
      <c r="F7979" t="s">
        <v>6766</v>
      </c>
    </row>
    <row r="7980" spans="1:6" x14ac:dyDescent="0.25">
      <c r="A7980" t="s">
        <v>6696</v>
      </c>
      <c r="B7980" t="s">
        <v>474</v>
      </c>
      <c r="C7980" t="s">
        <v>475</v>
      </c>
      <c r="D7980" t="str">
        <f>HYPERLINK("http://service.sap.com/sap/support/notes/1737091","1737091")</f>
        <v>1737091</v>
      </c>
      <c r="E7980">
        <v>1</v>
      </c>
      <c r="F7980" t="s">
        <v>6767</v>
      </c>
    </row>
    <row r="7981" spans="1:6" x14ac:dyDescent="0.25">
      <c r="A7981" t="s">
        <v>6696</v>
      </c>
      <c r="B7981" t="s">
        <v>474</v>
      </c>
      <c r="C7981" t="s">
        <v>475</v>
      </c>
      <c r="D7981" t="str">
        <f>HYPERLINK("http://service.sap.com/sap/support/notes/1739035","1739035")</f>
        <v>1739035</v>
      </c>
      <c r="E7981">
        <v>1</v>
      </c>
      <c r="F7981" t="s">
        <v>6768</v>
      </c>
    </row>
    <row r="7982" spans="1:6" x14ac:dyDescent="0.25">
      <c r="A7982" t="s">
        <v>6696</v>
      </c>
      <c r="B7982" t="s">
        <v>474</v>
      </c>
      <c r="C7982" t="s">
        <v>475</v>
      </c>
      <c r="D7982" t="str">
        <f>HYPERLINK("http://service.sap.com/sap/support/notes/1744206","1744206")</f>
        <v>1744206</v>
      </c>
      <c r="E7982">
        <v>1</v>
      </c>
      <c r="F7982" t="s">
        <v>6769</v>
      </c>
    </row>
    <row r="7983" spans="1:6" x14ac:dyDescent="0.25">
      <c r="A7983" t="s">
        <v>6696</v>
      </c>
      <c r="B7983" t="s">
        <v>474</v>
      </c>
      <c r="C7983" t="s">
        <v>475</v>
      </c>
      <c r="D7983" t="str">
        <f>HYPERLINK("http://service.sap.com/sap/support/notes/1746803","1746803")</f>
        <v>1746803</v>
      </c>
      <c r="E7983">
        <v>1</v>
      </c>
      <c r="F7983" t="s">
        <v>6770</v>
      </c>
    </row>
    <row r="7984" spans="1:6" x14ac:dyDescent="0.25">
      <c r="A7984" t="s">
        <v>6696</v>
      </c>
      <c r="B7984" t="s">
        <v>474</v>
      </c>
      <c r="C7984" t="s">
        <v>475</v>
      </c>
      <c r="D7984" t="str">
        <f>HYPERLINK("http://service.sap.com/sap/support/notes/1748907","1748907")</f>
        <v>1748907</v>
      </c>
      <c r="E7984">
        <v>3</v>
      </c>
      <c r="F7984" t="s">
        <v>6771</v>
      </c>
    </row>
    <row r="7985" spans="1:6" x14ac:dyDescent="0.25">
      <c r="A7985" t="s">
        <v>6696</v>
      </c>
      <c r="B7985" t="s">
        <v>474</v>
      </c>
      <c r="C7985" t="s">
        <v>475</v>
      </c>
      <c r="D7985" t="str">
        <f>HYPERLINK("http://service.sap.com/sap/support/notes/1753396","1753396")</f>
        <v>1753396</v>
      </c>
      <c r="E7985">
        <v>1</v>
      </c>
      <c r="F7985" t="s">
        <v>6772</v>
      </c>
    </row>
    <row r="7986" spans="1:6" x14ac:dyDescent="0.25">
      <c r="A7986" t="s">
        <v>6696</v>
      </c>
      <c r="B7986" t="s">
        <v>474</v>
      </c>
      <c r="C7986" t="s">
        <v>475</v>
      </c>
      <c r="D7986" t="str">
        <f>HYPERLINK("http://service.sap.com/sap/support/notes/1754504","1754504")</f>
        <v>1754504</v>
      </c>
      <c r="E7986">
        <v>1</v>
      </c>
      <c r="F7986" t="s">
        <v>6773</v>
      </c>
    </row>
    <row r="7987" spans="1:6" x14ac:dyDescent="0.25">
      <c r="A7987" t="s">
        <v>6696</v>
      </c>
      <c r="B7987" t="s">
        <v>72</v>
      </c>
      <c r="C7987" t="s">
        <v>73</v>
      </c>
    </row>
    <row r="7988" spans="1:6" x14ac:dyDescent="0.25">
      <c r="A7988" t="s">
        <v>6696</v>
      </c>
      <c r="B7988" t="s">
        <v>364</v>
      </c>
      <c r="C7988" t="s">
        <v>365</v>
      </c>
    </row>
    <row r="7989" spans="1:6" x14ac:dyDescent="0.25">
      <c r="A7989" t="s">
        <v>6696</v>
      </c>
      <c r="B7989" t="s">
        <v>366</v>
      </c>
      <c r="C7989" t="s">
        <v>367</v>
      </c>
      <c r="D7989" t="str">
        <f>HYPERLINK("http://service.sap.com/sap/support/notes/1721504","1721504")</f>
        <v>1721504</v>
      </c>
      <c r="E7989">
        <v>1</v>
      </c>
      <c r="F7989" t="s">
        <v>4950</v>
      </c>
    </row>
    <row r="7990" spans="1:6" x14ac:dyDescent="0.25">
      <c r="A7990" t="s">
        <v>6696</v>
      </c>
      <c r="B7990" t="s">
        <v>281</v>
      </c>
      <c r="C7990" t="s">
        <v>368</v>
      </c>
    </row>
    <row r="7991" spans="1:6" x14ac:dyDescent="0.25">
      <c r="A7991" t="s">
        <v>6696</v>
      </c>
      <c r="B7991" t="s">
        <v>566</v>
      </c>
      <c r="C7991" t="s">
        <v>567</v>
      </c>
      <c r="D7991" t="str">
        <f>HYPERLINK("http://service.sap.com/sap/support/notes/1706702","1706702")</f>
        <v>1706702</v>
      </c>
      <c r="E7991">
        <v>2</v>
      </c>
      <c r="F7991" t="s">
        <v>6774</v>
      </c>
    </row>
    <row r="7992" spans="1:6" x14ac:dyDescent="0.25">
      <c r="A7992" t="s">
        <v>6696</v>
      </c>
      <c r="B7992" t="s">
        <v>476</v>
      </c>
      <c r="C7992" t="s">
        <v>477</v>
      </c>
      <c r="D7992" t="str">
        <f>HYPERLINK("http://service.sap.com/sap/support/notes/1734049","1734049")</f>
        <v>1734049</v>
      </c>
      <c r="E7992">
        <v>1</v>
      </c>
      <c r="F7992" t="s">
        <v>6775</v>
      </c>
    </row>
    <row r="7993" spans="1:6" x14ac:dyDescent="0.25">
      <c r="A7993" t="s">
        <v>6696</v>
      </c>
      <c r="B7993" t="s">
        <v>476</v>
      </c>
      <c r="C7993" t="s">
        <v>477</v>
      </c>
      <c r="D7993" t="str">
        <f>HYPERLINK("http://service.sap.com/sap/support/notes/1735295","1735295")</f>
        <v>1735295</v>
      </c>
      <c r="E7993">
        <v>1</v>
      </c>
      <c r="F7993" t="s">
        <v>6776</v>
      </c>
    </row>
    <row r="7994" spans="1:6" x14ac:dyDescent="0.25">
      <c r="A7994" t="s">
        <v>6696</v>
      </c>
      <c r="B7994" t="s">
        <v>476</v>
      </c>
      <c r="C7994" t="s">
        <v>477</v>
      </c>
      <c r="D7994" t="str">
        <f>HYPERLINK("http://service.sap.com/sap/support/notes/1741130","1741130")</f>
        <v>1741130</v>
      </c>
      <c r="E7994">
        <v>1</v>
      </c>
      <c r="F7994" t="s">
        <v>6777</v>
      </c>
    </row>
    <row r="7995" spans="1:6" x14ac:dyDescent="0.25">
      <c r="A7995" t="s">
        <v>6696</v>
      </c>
      <c r="B7995" t="s">
        <v>282</v>
      </c>
      <c r="C7995" t="s">
        <v>369</v>
      </c>
      <c r="D7995" t="str">
        <f>HYPERLINK("http://service.sap.com/sap/support/notes/1522710","1522710")</f>
        <v>1522710</v>
      </c>
      <c r="E7995">
        <v>2</v>
      </c>
      <c r="F7995" t="s">
        <v>6778</v>
      </c>
    </row>
    <row r="7996" spans="1:6" x14ac:dyDescent="0.25">
      <c r="A7996" t="s">
        <v>6696</v>
      </c>
      <c r="B7996" t="s">
        <v>282</v>
      </c>
      <c r="C7996" t="s">
        <v>369</v>
      </c>
      <c r="D7996" t="str">
        <f>HYPERLINK("http://service.sap.com/sap/support/notes/1665711","1665711")</f>
        <v>1665711</v>
      </c>
      <c r="E7996">
        <v>2</v>
      </c>
      <c r="F7996" t="s">
        <v>6779</v>
      </c>
    </row>
    <row r="7997" spans="1:6" x14ac:dyDescent="0.25">
      <c r="A7997" t="s">
        <v>6696</v>
      </c>
      <c r="B7997" t="s">
        <v>282</v>
      </c>
      <c r="C7997" t="s">
        <v>369</v>
      </c>
      <c r="D7997" t="str">
        <f>HYPERLINK("http://service.sap.com/sap/support/notes/1718301","1718301")</f>
        <v>1718301</v>
      </c>
      <c r="E7997">
        <v>1</v>
      </c>
      <c r="F7997" t="s">
        <v>6780</v>
      </c>
    </row>
    <row r="7998" spans="1:6" x14ac:dyDescent="0.25">
      <c r="A7998" t="s">
        <v>6696</v>
      </c>
      <c r="B7998" t="s">
        <v>282</v>
      </c>
      <c r="C7998" t="s">
        <v>369</v>
      </c>
      <c r="D7998" t="str">
        <f>HYPERLINK("http://service.sap.com/sap/support/notes/1719006","1719006")</f>
        <v>1719006</v>
      </c>
      <c r="E7998">
        <v>2</v>
      </c>
      <c r="F7998" t="s">
        <v>6781</v>
      </c>
    </row>
    <row r="7999" spans="1:6" x14ac:dyDescent="0.25">
      <c r="A7999" t="s">
        <v>6696</v>
      </c>
      <c r="B7999" t="s">
        <v>282</v>
      </c>
      <c r="C7999" t="s">
        <v>369</v>
      </c>
      <c r="D7999" t="str">
        <f>HYPERLINK("http://service.sap.com/sap/support/notes/1720137","1720137")</f>
        <v>1720137</v>
      </c>
      <c r="E7999">
        <v>1</v>
      </c>
      <c r="F7999" t="s">
        <v>6782</v>
      </c>
    </row>
    <row r="8000" spans="1:6" x14ac:dyDescent="0.25">
      <c r="A8000" t="s">
        <v>6696</v>
      </c>
      <c r="B8000" t="s">
        <v>282</v>
      </c>
      <c r="C8000" t="s">
        <v>369</v>
      </c>
      <c r="D8000" t="str">
        <f>HYPERLINK("http://service.sap.com/sap/support/notes/1720298","1720298")</f>
        <v>1720298</v>
      </c>
      <c r="E8000">
        <v>2</v>
      </c>
      <c r="F8000" t="s">
        <v>6783</v>
      </c>
    </row>
    <row r="8001" spans="1:6" x14ac:dyDescent="0.25">
      <c r="A8001" t="s">
        <v>6696</v>
      </c>
      <c r="B8001" t="s">
        <v>282</v>
      </c>
      <c r="C8001" t="s">
        <v>369</v>
      </c>
      <c r="D8001" t="str">
        <f>HYPERLINK("http://service.sap.com/sap/support/notes/1723608","1723608")</f>
        <v>1723608</v>
      </c>
      <c r="E8001">
        <v>1</v>
      </c>
      <c r="F8001" t="s">
        <v>6784</v>
      </c>
    </row>
    <row r="8002" spans="1:6" x14ac:dyDescent="0.25">
      <c r="A8002" t="s">
        <v>6696</v>
      </c>
      <c r="B8002" t="s">
        <v>282</v>
      </c>
      <c r="C8002" t="s">
        <v>369</v>
      </c>
      <c r="D8002" t="str">
        <f>HYPERLINK("http://service.sap.com/sap/support/notes/1723887","1723887")</f>
        <v>1723887</v>
      </c>
      <c r="E8002">
        <v>1</v>
      </c>
      <c r="F8002" t="s">
        <v>6785</v>
      </c>
    </row>
    <row r="8003" spans="1:6" x14ac:dyDescent="0.25">
      <c r="A8003" t="s">
        <v>6696</v>
      </c>
      <c r="B8003" t="s">
        <v>282</v>
      </c>
      <c r="C8003" t="s">
        <v>369</v>
      </c>
      <c r="D8003" t="str">
        <f>HYPERLINK("http://service.sap.com/sap/support/notes/1724971","1724971")</f>
        <v>1724971</v>
      </c>
      <c r="E8003">
        <v>1</v>
      </c>
      <c r="F8003" t="s">
        <v>6786</v>
      </c>
    </row>
    <row r="8004" spans="1:6" x14ac:dyDescent="0.25">
      <c r="A8004" t="s">
        <v>6696</v>
      </c>
      <c r="B8004" t="s">
        <v>282</v>
      </c>
      <c r="C8004" t="s">
        <v>369</v>
      </c>
      <c r="D8004" t="str">
        <f>HYPERLINK("http://service.sap.com/sap/support/notes/1732868","1732868")</f>
        <v>1732868</v>
      </c>
      <c r="E8004">
        <v>3</v>
      </c>
      <c r="F8004" t="s">
        <v>6787</v>
      </c>
    </row>
    <row r="8005" spans="1:6" x14ac:dyDescent="0.25">
      <c r="A8005" t="s">
        <v>6696</v>
      </c>
      <c r="B8005" t="s">
        <v>282</v>
      </c>
      <c r="C8005" t="s">
        <v>369</v>
      </c>
      <c r="D8005" t="str">
        <f>HYPERLINK("http://service.sap.com/sap/support/notes/1735114","1735114")</f>
        <v>1735114</v>
      </c>
      <c r="E8005">
        <v>1</v>
      </c>
      <c r="F8005" t="s">
        <v>6788</v>
      </c>
    </row>
    <row r="8006" spans="1:6" x14ac:dyDescent="0.25">
      <c r="A8006" t="s">
        <v>6696</v>
      </c>
      <c r="B8006" t="s">
        <v>283</v>
      </c>
      <c r="C8006" t="s">
        <v>365</v>
      </c>
      <c r="D8006" t="str">
        <f>HYPERLINK("http://service.sap.com/sap/support/notes/1348440","1348440")</f>
        <v>1348440</v>
      </c>
      <c r="E8006">
        <v>4</v>
      </c>
      <c r="F8006" t="s">
        <v>6789</v>
      </c>
    </row>
    <row r="8007" spans="1:6" x14ac:dyDescent="0.25">
      <c r="A8007" t="s">
        <v>6696</v>
      </c>
      <c r="B8007" t="s">
        <v>283</v>
      </c>
      <c r="C8007" t="s">
        <v>365</v>
      </c>
      <c r="D8007" t="str">
        <f>HYPERLINK("http://service.sap.com/sap/support/notes/1738899","1738899")</f>
        <v>1738899</v>
      </c>
      <c r="E8007">
        <v>1</v>
      </c>
      <c r="F8007" t="s">
        <v>6790</v>
      </c>
    </row>
    <row r="8008" spans="1:6" x14ac:dyDescent="0.25">
      <c r="A8008" t="s">
        <v>6696</v>
      </c>
      <c r="B8008" t="s">
        <v>650</v>
      </c>
      <c r="C8008" t="s">
        <v>651</v>
      </c>
      <c r="D8008" t="str">
        <f>HYPERLINK("http://service.sap.com/sap/support/notes/1727165","1727165")</f>
        <v>1727165</v>
      </c>
      <c r="E8008">
        <v>1</v>
      </c>
      <c r="F8008" t="s">
        <v>6791</v>
      </c>
    </row>
    <row r="8009" spans="1:6" x14ac:dyDescent="0.25">
      <c r="A8009" t="s">
        <v>6696</v>
      </c>
      <c r="B8009" t="s">
        <v>650</v>
      </c>
      <c r="C8009" t="s">
        <v>651</v>
      </c>
      <c r="D8009" t="str">
        <f>HYPERLINK("http://service.sap.com/sap/support/notes/1729998","1729998")</f>
        <v>1729998</v>
      </c>
      <c r="E8009">
        <v>1</v>
      </c>
      <c r="F8009" t="s">
        <v>6792</v>
      </c>
    </row>
    <row r="8010" spans="1:6" x14ac:dyDescent="0.25">
      <c r="A8010" t="s">
        <v>6696</v>
      </c>
      <c r="B8010" t="s">
        <v>650</v>
      </c>
      <c r="C8010" t="s">
        <v>651</v>
      </c>
      <c r="D8010" t="str">
        <f>HYPERLINK("http://service.sap.com/sap/support/notes/1733400","1733400")</f>
        <v>1733400</v>
      </c>
      <c r="E8010">
        <v>2</v>
      </c>
      <c r="F8010" t="s">
        <v>6793</v>
      </c>
    </row>
    <row r="8011" spans="1:6" x14ac:dyDescent="0.25">
      <c r="A8011" t="s">
        <v>6696</v>
      </c>
      <c r="B8011" t="s">
        <v>650</v>
      </c>
      <c r="C8011" t="s">
        <v>651</v>
      </c>
      <c r="D8011" t="str">
        <f>HYPERLINK("http://service.sap.com/sap/support/notes/1751185","1751185")</f>
        <v>1751185</v>
      </c>
      <c r="E8011">
        <v>1</v>
      </c>
      <c r="F8011" t="s">
        <v>6794</v>
      </c>
    </row>
    <row r="8012" spans="1:6" x14ac:dyDescent="0.25">
      <c r="A8012" t="s">
        <v>6696</v>
      </c>
      <c r="B8012" t="s">
        <v>76</v>
      </c>
      <c r="C8012" t="s">
        <v>77</v>
      </c>
    </row>
    <row r="8013" spans="1:6" x14ac:dyDescent="0.25">
      <c r="A8013" t="s">
        <v>6696</v>
      </c>
      <c r="B8013" t="s">
        <v>83</v>
      </c>
      <c r="C8013" t="s">
        <v>84</v>
      </c>
      <c r="D8013" t="str">
        <f>HYPERLINK("http://service.sap.com/sap/support/notes/1725162","1725162")</f>
        <v>1725162</v>
      </c>
      <c r="E8013">
        <v>2</v>
      </c>
      <c r="F8013" t="s">
        <v>4580</v>
      </c>
    </row>
    <row r="8014" spans="1:6" x14ac:dyDescent="0.25">
      <c r="A8014" t="s">
        <v>6696</v>
      </c>
      <c r="B8014" t="s">
        <v>83</v>
      </c>
      <c r="C8014" t="s">
        <v>84</v>
      </c>
      <c r="D8014" t="str">
        <f>HYPERLINK("http://service.sap.com/sap/support/notes/1740723","1740723")</f>
        <v>1740723</v>
      </c>
      <c r="E8014">
        <v>1</v>
      </c>
      <c r="F8014" t="s">
        <v>4955</v>
      </c>
    </row>
    <row r="8015" spans="1:6" x14ac:dyDescent="0.25">
      <c r="A8015" t="s">
        <v>6696</v>
      </c>
      <c r="B8015" t="s">
        <v>83</v>
      </c>
      <c r="C8015" t="s">
        <v>84</v>
      </c>
      <c r="D8015" t="str">
        <f>HYPERLINK("http://service.sap.com/sap/support/notes/1754916","1754916")</f>
        <v>1754916</v>
      </c>
      <c r="E8015">
        <v>1</v>
      </c>
      <c r="F8015" t="s">
        <v>4961</v>
      </c>
    </row>
    <row r="8016" spans="1:6" x14ac:dyDescent="0.25">
      <c r="A8016" t="s">
        <v>6696</v>
      </c>
      <c r="B8016" t="s">
        <v>86</v>
      </c>
      <c r="C8016" t="s">
        <v>87</v>
      </c>
      <c r="D8016" t="str">
        <f>HYPERLINK("http://service.sap.com/sap/support/notes/1747038","1747038")</f>
        <v>1747038</v>
      </c>
      <c r="E8016">
        <v>1</v>
      </c>
      <c r="F8016" t="s">
        <v>6795</v>
      </c>
    </row>
    <row r="8017" spans="1:6" x14ac:dyDescent="0.25">
      <c r="A8017" t="s">
        <v>6696</v>
      </c>
      <c r="B8017" t="s">
        <v>86</v>
      </c>
      <c r="C8017" t="s">
        <v>87</v>
      </c>
      <c r="D8017" t="str">
        <f>HYPERLINK("http://service.sap.com/sap/support/notes/1750956","1750956")</f>
        <v>1750956</v>
      </c>
      <c r="E8017">
        <v>1</v>
      </c>
      <c r="F8017" t="s">
        <v>6796</v>
      </c>
    </row>
    <row r="8018" spans="1:6" x14ac:dyDescent="0.25">
      <c r="A8018" t="s">
        <v>6696</v>
      </c>
      <c r="B8018" t="s">
        <v>86</v>
      </c>
      <c r="C8018" t="s">
        <v>87</v>
      </c>
      <c r="D8018" t="str">
        <f>HYPERLINK("http://service.sap.com/sap/support/notes/1751086","1751086")</f>
        <v>1751086</v>
      </c>
      <c r="E8018">
        <v>3</v>
      </c>
      <c r="F8018" t="s">
        <v>6797</v>
      </c>
    </row>
    <row r="8019" spans="1:6" x14ac:dyDescent="0.25">
      <c r="A8019" t="s">
        <v>6696</v>
      </c>
      <c r="B8019" t="s">
        <v>86</v>
      </c>
      <c r="C8019" t="s">
        <v>87</v>
      </c>
      <c r="D8019" t="str">
        <f>HYPERLINK("http://service.sap.com/sap/support/notes/1751609","1751609")</f>
        <v>1751609</v>
      </c>
      <c r="E8019">
        <v>1</v>
      </c>
      <c r="F8019" t="s">
        <v>4959</v>
      </c>
    </row>
    <row r="8020" spans="1:6" x14ac:dyDescent="0.25">
      <c r="A8020" t="s">
        <v>6696</v>
      </c>
      <c r="B8020" t="s">
        <v>86</v>
      </c>
      <c r="C8020" t="s">
        <v>87</v>
      </c>
      <c r="D8020" t="str">
        <f>HYPERLINK("http://service.sap.com/sap/support/notes/1753133","1753133")</f>
        <v>1753133</v>
      </c>
      <c r="E8020">
        <v>3</v>
      </c>
      <c r="F8020" t="s">
        <v>6798</v>
      </c>
    </row>
    <row r="8021" spans="1:6" x14ac:dyDescent="0.25">
      <c r="A8021" t="s">
        <v>6696</v>
      </c>
      <c r="B8021" t="s">
        <v>86</v>
      </c>
      <c r="C8021" t="s">
        <v>87</v>
      </c>
      <c r="D8021" t="str">
        <f>HYPERLINK("http://service.sap.com/sap/support/notes/1754915","1754915")</f>
        <v>1754915</v>
      </c>
      <c r="E8021">
        <v>1</v>
      </c>
      <c r="F8021" t="s">
        <v>6799</v>
      </c>
    </row>
    <row r="8022" spans="1:6" x14ac:dyDescent="0.25">
      <c r="A8022" t="s">
        <v>6696</v>
      </c>
      <c r="B8022" t="s">
        <v>152</v>
      </c>
      <c r="C8022" t="s">
        <v>47</v>
      </c>
      <c r="D8022" t="str">
        <f>HYPERLINK("http://service.sap.com/sap/support/notes/1680295","1680295")</f>
        <v>1680295</v>
      </c>
      <c r="E8022">
        <v>2</v>
      </c>
      <c r="F8022" t="s">
        <v>6800</v>
      </c>
    </row>
    <row r="8023" spans="1:6" x14ac:dyDescent="0.25">
      <c r="A8023" t="s">
        <v>6696</v>
      </c>
      <c r="B8023" t="s">
        <v>152</v>
      </c>
      <c r="C8023" t="s">
        <v>47</v>
      </c>
      <c r="D8023" t="str">
        <f>HYPERLINK("http://service.sap.com/sap/support/notes/1728881","1728881")</f>
        <v>1728881</v>
      </c>
      <c r="E8023">
        <v>1</v>
      </c>
      <c r="F8023" t="s">
        <v>6801</v>
      </c>
    </row>
    <row r="8024" spans="1:6" x14ac:dyDescent="0.25">
      <c r="A8024" t="s">
        <v>6696</v>
      </c>
      <c r="B8024" t="s">
        <v>152</v>
      </c>
      <c r="C8024" t="s">
        <v>47</v>
      </c>
      <c r="D8024" t="str">
        <f>HYPERLINK("http://service.sap.com/sap/support/notes/1736434","1736434")</f>
        <v>1736434</v>
      </c>
      <c r="E8024">
        <v>2</v>
      </c>
      <c r="F8024" t="s">
        <v>6802</v>
      </c>
    </row>
    <row r="8025" spans="1:6" x14ac:dyDescent="0.25">
      <c r="A8025" t="s">
        <v>6696</v>
      </c>
      <c r="B8025" t="s">
        <v>153</v>
      </c>
      <c r="C8025" t="s">
        <v>154</v>
      </c>
      <c r="D8025" t="str">
        <f>HYPERLINK("http://service.sap.com/sap/support/notes/1739062","1739062")</f>
        <v>1739062</v>
      </c>
      <c r="E8025">
        <v>2</v>
      </c>
      <c r="F8025" t="s">
        <v>6803</v>
      </c>
    </row>
    <row r="8026" spans="1:6" x14ac:dyDescent="0.25">
      <c r="A8026" t="s">
        <v>6696</v>
      </c>
      <c r="B8026" t="s">
        <v>153</v>
      </c>
      <c r="C8026" t="s">
        <v>154</v>
      </c>
      <c r="D8026" t="str">
        <f>HYPERLINK("http://service.sap.com/sap/support/notes/1751137","1751137")</f>
        <v>1751137</v>
      </c>
      <c r="E8026">
        <v>2</v>
      </c>
      <c r="F8026" t="s">
        <v>6804</v>
      </c>
    </row>
    <row r="8027" spans="1:6" x14ac:dyDescent="0.25">
      <c r="A8027" t="s">
        <v>6696</v>
      </c>
      <c r="B8027" t="s">
        <v>179</v>
      </c>
      <c r="C8027" t="s">
        <v>180</v>
      </c>
      <c r="D8027" t="str">
        <f>HYPERLINK("http://service.sap.com/sap/support/notes/1745988","1745988")</f>
        <v>1745988</v>
      </c>
      <c r="E8027">
        <v>2</v>
      </c>
      <c r="F8027" t="s">
        <v>5169</v>
      </c>
    </row>
    <row r="8028" spans="1:6" x14ac:dyDescent="0.25">
      <c r="A8028" t="s">
        <v>6964</v>
      </c>
      <c r="B8028" t="s">
        <v>220</v>
      </c>
      <c r="C8028" t="s">
        <v>435</v>
      </c>
    </row>
    <row r="8029" spans="1:6" x14ac:dyDescent="0.25">
      <c r="A8029" t="s">
        <v>6964</v>
      </c>
      <c r="B8029" t="s">
        <v>438</v>
      </c>
      <c r="C8029" t="s">
        <v>439</v>
      </c>
    </row>
    <row r="8030" spans="1:6" x14ac:dyDescent="0.25">
      <c r="A8030" t="s">
        <v>6964</v>
      </c>
      <c r="B8030" t="s">
        <v>440</v>
      </c>
      <c r="C8030" t="s">
        <v>441</v>
      </c>
    </row>
    <row r="8031" spans="1:6" x14ac:dyDescent="0.25">
      <c r="A8031" t="s">
        <v>6964</v>
      </c>
      <c r="B8031" t="s">
        <v>442</v>
      </c>
      <c r="C8031" t="s">
        <v>443</v>
      </c>
      <c r="D8031" t="str">
        <f>HYPERLINK("http://service.sap.com/sap/support/notes/1655005","1655005")</f>
        <v>1655005</v>
      </c>
      <c r="E8031">
        <v>4</v>
      </c>
      <c r="F8031" t="s">
        <v>6805</v>
      </c>
    </row>
    <row r="8032" spans="1:6" x14ac:dyDescent="0.25">
      <c r="A8032" t="s">
        <v>6964</v>
      </c>
      <c r="B8032" t="s">
        <v>442</v>
      </c>
      <c r="C8032" t="s">
        <v>443</v>
      </c>
      <c r="D8032" t="str">
        <f>HYPERLINK("http://service.sap.com/sap/support/notes/1751646","1751646")</f>
        <v>1751646</v>
      </c>
      <c r="E8032">
        <v>4</v>
      </c>
      <c r="F8032" t="s">
        <v>6806</v>
      </c>
    </row>
    <row r="8033" spans="1:6" x14ac:dyDescent="0.25">
      <c r="A8033" t="s">
        <v>6964</v>
      </c>
      <c r="B8033" t="s">
        <v>442</v>
      </c>
      <c r="C8033" t="s">
        <v>443</v>
      </c>
      <c r="D8033" t="str">
        <f>HYPERLINK("http://service.sap.com/sap/support/notes/1752577","1752577")</f>
        <v>1752577</v>
      </c>
      <c r="E8033">
        <v>1</v>
      </c>
      <c r="F8033" t="s">
        <v>6807</v>
      </c>
    </row>
    <row r="8034" spans="1:6" x14ac:dyDescent="0.25">
      <c r="A8034" t="s">
        <v>6964</v>
      </c>
      <c r="B8034" t="s">
        <v>225</v>
      </c>
      <c r="C8034" t="s">
        <v>354</v>
      </c>
    </row>
    <row r="8035" spans="1:6" x14ac:dyDescent="0.25">
      <c r="A8035" t="s">
        <v>6964</v>
      </c>
      <c r="B8035" t="s">
        <v>226</v>
      </c>
      <c r="C8035" t="s">
        <v>355</v>
      </c>
    </row>
    <row r="8036" spans="1:6" x14ac:dyDescent="0.25">
      <c r="A8036" t="s">
        <v>6964</v>
      </c>
      <c r="B8036" t="s">
        <v>227</v>
      </c>
      <c r="C8036" t="s">
        <v>356</v>
      </c>
    </row>
    <row r="8037" spans="1:6" x14ac:dyDescent="0.25">
      <c r="A8037" t="s">
        <v>6964</v>
      </c>
      <c r="B8037" t="s">
        <v>228</v>
      </c>
      <c r="C8037" t="s">
        <v>357</v>
      </c>
      <c r="D8037" t="str">
        <f>HYPERLINK("http://service.sap.com/sap/support/notes/1762439","1762439")</f>
        <v>1762439</v>
      </c>
      <c r="E8037">
        <v>3</v>
      </c>
      <c r="F8037" t="s">
        <v>6808</v>
      </c>
    </row>
    <row r="8038" spans="1:6" x14ac:dyDescent="0.25">
      <c r="A8038" t="s">
        <v>6964</v>
      </c>
      <c r="B8038" t="s">
        <v>15</v>
      </c>
      <c r="C8038" t="s">
        <v>16</v>
      </c>
    </row>
    <row r="8039" spans="1:6" x14ac:dyDescent="0.25">
      <c r="A8039" t="s">
        <v>6964</v>
      </c>
      <c r="B8039" t="s">
        <v>17</v>
      </c>
      <c r="C8039" t="s">
        <v>18</v>
      </c>
      <c r="D8039" t="str">
        <f>HYPERLINK("http://service.sap.com/sap/support/notes/1756901","1756901")</f>
        <v>1756901</v>
      </c>
      <c r="E8039">
        <v>1</v>
      </c>
      <c r="F8039" t="s">
        <v>6809</v>
      </c>
    </row>
    <row r="8040" spans="1:6" x14ac:dyDescent="0.25">
      <c r="A8040" t="s">
        <v>6964</v>
      </c>
      <c r="B8040" t="s">
        <v>17</v>
      </c>
      <c r="C8040" t="s">
        <v>18</v>
      </c>
      <c r="D8040" t="str">
        <f>HYPERLINK("http://service.sap.com/sap/support/notes/1757133","1757133")</f>
        <v>1757133</v>
      </c>
      <c r="E8040">
        <v>2</v>
      </c>
      <c r="F8040" t="s">
        <v>6810</v>
      </c>
    </row>
    <row r="8041" spans="1:6" x14ac:dyDescent="0.25">
      <c r="A8041" t="s">
        <v>6964</v>
      </c>
      <c r="B8041" t="s">
        <v>17</v>
      </c>
      <c r="C8041" t="s">
        <v>18</v>
      </c>
      <c r="D8041" t="str">
        <f>HYPERLINK("http://service.sap.com/sap/support/notes/1759714","1759714")</f>
        <v>1759714</v>
      </c>
      <c r="E8041">
        <v>1</v>
      </c>
      <c r="F8041" t="s">
        <v>6811</v>
      </c>
    </row>
    <row r="8042" spans="1:6" x14ac:dyDescent="0.25">
      <c r="A8042" t="s">
        <v>6964</v>
      </c>
      <c r="B8042" t="s">
        <v>19</v>
      </c>
      <c r="C8042" t="s">
        <v>20</v>
      </c>
      <c r="D8042" t="str">
        <f>HYPERLINK("http://service.sap.com/sap/support/notes/1719776","1719776")</f>
        <v>1719776</v>
      </c>
      <c r="E8042">
        <v>3</v>
      </c>
      <c r="F8042" t="s">
        <v>6812</v>
      </c>
    </row>
    <row r="8043" spans="1:6" x14ac:dyDescent="0.25">
      <c r="A8043" t="s">
        <v>6964</v>
      </c>
      <c r="B8043" t="s">
        <v>19</v>
      </c>
      <c r="C8043" t="s">
        <v>20</v>
      </c>
      <c r="D8043" t="str">
        <f>HYPERLINK("http://service.sap.com/sap/support/notes/1745090","1745090")</f>
        <v>1745090</v>
      </c>
      <c r="E8043">
        <v>1</v>
      </c>
      <c r="F8043" t="s">
        <v>6813</v>
      </c>
    </row>
    <row r="8044" spans="1:6" x14ac:dyDescent="0.25">
      <c r="A8044" t="s">
        <v>6964</v>
      </c>
      <c r="B8044" t="s">
        <v>19</v>
      </c>
      <c r="C8044" t="s">
        <v>20</v>
      </c>
      <c r="D8044" t="str">
        <f>HYPERLINK("http://service.sap.com/sap/support/notes/1746140","1746140")</f>
        <v>1746140</v>
      </c>
      <c r="E8044">
        <v>5</v>
      </c>
      <c r="F8044" t="s">
        <v>6720</v>
      </c>
    </row>
    <row r="8045" spans="1:6" x14ac:dyDescent="0.25">
      <c r="A8045" t="s">
        <v>6964</v>
      </c>
      <c r="B8045" t="s">
        <v>19</v>
      </c>
      <c r="C8045" t="s">
        <v>20</v>
      </c>
      <c r="D8045" t="str">
        <f>HYPERLINK("http://service.sap.com/sap/support/notes/1753306","1753306")</f>
        <v>1753306</v>
      </c>
      <c r="E8045">
        <v>1</v>
      </c>
      <c r="F8045" t="s">
        <v>6814</v>
      </c>
    </row>
    <row r="8046" spans="1:6" x14ac:dyDescent="0.25">
      <c r="A8046" t="s">
        <v>6964</v>
      </c>
      <c r="B8046" t="s">
        <v>19</v>
      </c>
      <c r="C8046" t="s">
        <v>20</v>
      </c>
      <c r="D8046" t="str">
        <f>HYPERLINK("http://service.sap.com/sap/support/notes/1756223","1756223")</f>
        <v>1756223</v>
      </c>
      <c r="E8046">
        <v>2</v>
      </c>
      <c r="F8046" t="s">
        <v>6815</v>
      </c>
    </row>
    <row r="8047" spans="1:6" x14ac:dyDescent="0.25">
      <c r="A8047" t="s">
        <v>6964</v>
      </c>
      <c r="B8047" t="s">
        <v>19</v>
      </c>
      <c r="C8047" t="s">
        <v>20</v>
      </c>
      <c r="D8047" t="str">
        <f>HYPERLINK("http://service.sap.com/sap/support/notes/1756598","1756598")</f>
        <v>1756598</v>
      </c>
      <c r="E8047">
        <v>2</v>
      </c>
      <c r="F8047" t="s">
        <v>6816</v>
      </c>
    </row>
    <row r="8048" spans="1:6" x14ac:dyDescent="0.25">
      <c r="A8048" t="s">
        <v>6964</v>
      </c>
      <c r="B8048" t="s">
        <v>19</v>
      </c>
      <c r="C8048" t="s">
        <v>20</v>
      </c>
      <c r="D8048" t="str">
        <f>HYPERLINK("http://service.sap.com/sap/support/notes/1757489","1757489")</f>
        <v>1757489</v>
      </c>
      <c r="E8048">
        <v>1</v>
      </c>
      <c r="F8048" t="s">
        <v>6817</v>
      </c>
    </row>
    <row r="8049" spans="1:6" x14ac:dyDescent="0.25">
      <c r="A8049" t="s">
        <v>6964</v>
      </c>
      <c r="B8049" t="s">
        <v>19</v>
      </c>
      <c r="C8049" t="s">
        <v>20</v>
      </c>
      <c r="D8049" t="str">
        <f>HYPERLINK("http://service.sap.com/sap/support/notes/1757563","1757563")</f>
        <v>1757563</v>
      </c>
      <c r="E8049">
        <v>1</v>
      </c>
      <c r="F8049" t="s">
        <v>6818</v>
      </c>
    </row>
    <row r="8050" spans="1:6" x14ac:dyDescent="0.25">
      <c r="A8050" t="s">
        <v>6964</v>
      </c>
      <c r="B8050" t="s">
        <v>19</v>
      </c>
      <c r="C8050" t="s">
        <v>20</v>
      </c>
      <c r="D8050" t="str">
        <f>HYPERLINK("http://service.sap.com/sap/support/notes/1758685","1758685")</f>
        <v>1758685</v>
      </c>
      <c r="E8050">
        <v>1</v>
      </c>
      <c r="F8050" t="s">
        <v>6819</v>
      </c>
    </row>
    <row r="8051" spans="1:6" x14ac:dyDescent="0.25">
      <c r="A8051" t="s">
        <v>6964</v>
      </c>
      <c r="B8051" t="s">
        <v>19</v>
      </c>
      <c r="C8051" t="s">
        <v>20</v>
      </c>
      <c r="D8051" t="str">
        <f>HYPERLINK("http://service.sap.com/sap/support/notes/1759591","1759591")</f>
        <v>1759591</v>
      </c>
      <c r="E8051">
        <v>4</v>
      </c>
      <c r="F8051" t="s">
        <v>6820</v>
      </c>
    </row>
    <row r="8052" spans="1:6" x14ac:dyDescent="0.25">
      <c r="A8052" t="s">
        <v>6964</v>
      </c>
      <c r="B8052" t="s">
        <v>19</v>
      </c>
      <c r="C8052" t="s">
        <v>20</v>
      </c>
      <c r="D8052" t="str">
        <f>HYPERLINK("http://service.sap.com/sap/support/notes/1760237","1760237")</f>
        <v>1760237</v>
      </c>
      <c r="E8052">
        <v>1</v>
      </c>
      <c r="F8052" t="s">
        <v>6821</v>
      </c>
    </row>
    <row r="8053" spans="1:6" x14ac:dyDescent="0.25">
      <c r="A8053" t="s">
        <v>6964</v>
      </c>
      <c r="B8053" t="s">
        <v>19</v>
      </c>
      <c r="C8053" t="s">
        <v>20</v>
      </c>
      <c r="D8053" t="str">
        <f>HYPERLINK("http://service.sap.com/sap/support/notes/1760430","1760430")</f>
        <v>1760430</v>
      </c>
      <c r="E8053">
        <v>1</v>
      </c>
      <c r="F8053" t="s">
        <v>6822</v>
      </c>
    </row>
    <row r="8054" spans="1:6" x14ac:dyDescent="0.25">
      <c r="A8054" t="s">
        <v>6964</v>
      </c>
      <c r="B8054" t="s">
        <v>19</v>
      </c>
      <c r="C8054" t="s">
        <v>20</v>
      </c>
      <c r="D8054" t="str">
        <f>HYPERLINK("http://service.sap.com/sap/support/notes/1760690","1760690")</f>
        <v>1760690</v>
      </c>
      <c r="E8054">
        <v>1</v>
      </c>
      <c r="F8054" t="s">
        <v>6823</v>
      </c>
    </row>
    <row r="8055" spans="1:6" x14ac:dyDescent="0.25">
      <c r="A8055" t="s">
        <v>6964</v>
      </c>
      <c r="B8055" t="s">
        <v>19</v>
      </c>
      <c r="C8055" t="s">
        <v>20</v>
      </c>
      <c r="D8055" t="str">
        <f>HYPERLINK("http://service.sap.com/sap/support/notes/1760815","1760815")</f>
        <v>1760815</v>
      </c>
      <c r="E8055">
        <v>1</v>
      </c>
      <c r="F8055" t="s">
        <v>6824</v>
      </c>
    </row>
    <row r="8056" spans="1:6" x14ac:dyDescent="0.25">
      <c r="A8056" t="s">
        <v>6964</v>
      </c>
      <c r="B8056" t="s">
        <v>19</v>
      </c>
      <c r="C8056" t="s">
        <v>20</v>
      </c>
      <c r="D8056" t="str">
        <f>HYPERLINK("http://service.sap.com/sap/support/notes/1761635","1761635")</f>
        <v>1761635</v>
      </c>
      <c r="E8056">
        <v>1</v>
      </c>
      <c r="F8056" t="s">
        <v>6825</v>
      </c>
    </row>
    <row r="8057" spans="1:6" x14ac:dyDescent="0.25">
      <c r="A8057" t="s">
        <v>6964</v>
      </c>
      <c r="B8057" t="s">
        <v>19</v>
      </c>
      <c r="C8057" t="s">
        <v>20</v>
      </c>
      <c r="D8057" t="str">
        <f>HYPERLINK("http://service.sap.com/sap/support/notes/1762255","1762255")</f>
        <v>1762255</v>
      </c>
      <c r="E8057">
        <v>1</v>
      </c>
      <c r="F8057" t="s">
        <v>6826</v>
      </c>
    </row>
    <row r="8058" spans="1:6" x14ac:dyDescent="0.25">
      <c r="A8058" t="s">
        <v>6964</v>
      </c>
      <c r="B8058" t="s">
        <v>19</v>
      </c>
      <c r="C8058" t="s">
        <v>20</v>
      </c>
      <c r="D8058" t="str">
        <f>HYPERLINK("http://service.sap.com/sap/support/notes/1763170","1763170")</f>
        <v>1763170</v>
      </c>
      <c r="E8058">
        <v>1</v>
      </c>
      <c r="F8058" t="s">
        <v>6827</v>
      </c>
    </row>
    <row r="8059" spans="1:6" x14ac:dyDescent="0.25">
      <c r="A8059" t="s">
        <v>6964</v>
      </c>
      <c r="B8059" t="s">
        <v>19</v>
      </c>
      <c r="C8059" t="s">
        <v>20</v>
      </c>
      <c r="D8059" t="str">
        <f>HYPERLINK("http://service.sap.com/sap/support/notes/1763966","1763966")</f>
        <v>1763966</v>
      </c>
      <c r="E8059">
        <v>1</v>
      </c>
      <c r="F8059" t="s">
        <v>6828</v>
      </c>
    </row>
    <row r="8060" spans="1:6" x14ac:dyDescent="0.25">
      <c r="A8060" t="s">
        <v>6964</v>
      </c>
      <c r="B8060" t="s">
        <v>19</v>
      </c>
      <c r="C8060" t="s">
        <v>20</v>
      </c>
      <c r="D8060" t="str">
        <f>HYPERLINK("http://service.sap.com/sap/support/notes/1764489","1764489")</f>
        <v>1764489</v>
      </c>
      <c r="E8060">
        <v>1</v>
      </c>
      <c r="F8060" t="s">
        <v>6829</v>
      </c>
    </row>
    <row r="8061" spans="1:6" x14ac:dyDescent="0.25">
      <c r="A8061" t="s">
        <v>6964</v>
      </c>
      <c r="B8061" t="s">
        <v>19</v>
      </c>
      <c r="C8061" t="s">
        <v>20</v>
      </c>
      <c r="D8061" t="str">
        <f>HYPERLINK("http://service.sap.com/sap/support/notes/1765837","1765837")</f>
        <v>1765837</v>
      </c>
      <c r="E8061">
        <v>1</v>
      </c>
      <c r="F8061" t="s">
        <v>6830</v>
      </c>
    </row>
    <row r="8062" spans="1:6" x14ac:dyDescent="0.25">
      <c r="A8062" t="s">
        <v>6964</v>
      </c>
      <c r="B8062" t="s">
        <v>19</v>
      </c>
      <c r="C8062" t="s">
        <v>20</v>
      </c>
      <c r="D8062" t="str">
        <f>HYPERLINK("http://service.sap.com/sap/support/notes/1766042","1766042")</f>
        <v>1766042</v>
      </c>
      <c r="E8062">
        <v>1</v>
      </c>
      <c r="F8062" t="s">
        <v>6831</v>
      </c>
    </row>
    <row r="8063" spans="1:6" x14ac:dyDescent="0.25">
      <c r="A8063" t="s">
        <v>6964</v>
      </c>
      <c r="B8063" t="s">
        <v>19</v>
      </c>
      <c r="C8063" t="s">
        <v>20</v>
      </c>
      <c r="D8063" t="str">
        <f>HYPERLINK("http://service.sap.com/sap/support/notes/1766511","1766511")</f>
        <v>1766511</v>
      </c>
      <c r="E8063">
        <v>2</v>
      </c>
      <c r="F8063" t="s">
        <v>6832</v>
      </c>
    </row>
    <row r="8064" spans="1:6" x14ac:dyDescent="0.25">
      <c r="A8064" t="s">
        <v>6964</v>
      </c>
      <c r="B8064" t="s">
        <v>19</v>
      </c>
      <c r="C8064" t="s">
        <v>20</v>
      </c>
      <c r="D8064" t="str">
        <f>HYPERLINK("http://service.sap.com/sap/support/notes/1766576","1766576")</f>
        <v>1766576</v>
      </c>
      <c r="E8064">
        <v>1</v>
      </c>
      <c r="F8064" t="s">
        <v>6833</v>
      </c>
    </row>
    <row r="8065" spans="1:6" x14ac:dyDescent="0.25">
      <c r="A8065" t="s">
        <v>6964</v>
      </c>
      <c r="B8065" t="s">
        <v>446</v>
      </c>
      <c r="C8065" t="s">
        <v>447</v>
      </c>
      <c r="D8065" t="str">
        <f>HYPERLINK("http://service.sap.com/sap/support/notes/1750704","1750704")</f>
        <v>1750704</v>
      </c>
      <c r="E8065">
        <v>1</v>
      </c>
      <c r="F8065" t="s">
        <v>6834</v>
      </c>
    </row>
    <row r="8066" spans="1:6" x14ac:dyDescent="0.25">
      <c r="A8066" t="s">
        <v>6964</v>
      </c>
      <c r="B8066" t="s">
        <v>446</v>
      </c>
      <c r="C8066" t="s">
        <v>447</v>
      </c>
      <c r="D8066" t="str">
        <f>HYPERLINK("http://service.sap.com/sap/support/notes/1751619","1751619")</f>
        <v>1751619</v>
      </c>
      <c r="E8066">
        <v>1</v>
      </c>
      <c r="F8066" t="s">
        <v>6835</v>
      </c>
    </row>
    <row r="8067" spans="1:6" x14ac:dyDescent="0.25">
      <c r="A8067" t="s">
        <v>6964</v>
      </c>
      <c r="B8067" t="s">
        <v>446</v>
      </c>
      <c r="C8067" t="s">
        <v>447</v>
      </c>
      <c r="D8067" t="str">
        <f>HYPERLINK("http://service.sap.com/sap/support/notes/1753211","1753211")</f>
        <v>1753211</v>
      </c>
      <c r="E8067">
        <v>1</v>
      </c>
      <c r="F8067" t="s">
        <v>6836</v>
      </c>
    </row>
    <row r="8068" spans="1:6" x14ac:dyDescent="0.25">
      <c r="A8068" t="s">
        <v>6964</v>
      </c>
      <c r="B8068" t="s">
        <v>446</v>
      </c>
      <c r="C8068" t="s">
        <v>447</v>
      </c>
      <c r="D8068" t="str">
        <f>HYPERLINK("http://service.sap.com/sap/support/notes/1758237","1758237")</f>
        <v>1758237</v>
      </c>
      <c r="E8068">
        <v>1</v>
      </c>
      <c r="F8068" t="s">
        <v>6837</v>
      </c>
    </row>
    <row r="8069" spans="1:6" x14ac:dyDescent="0.25">
      <c r="A8069" t="s">
        <v>6964</v>
      </c>
      <c r="B8069" t="s">
        <v>446</v>
      </c>
      <c r="C8069" t="s">
        <v>447</v>
      </c>
      <c r="D8069" t="str">
        <f>HYPERLINK("http://service.sap.com/sap/support/notes/1758675","1758675")</f>
        <v>1758675</v>
      </c>
      <c r="E8069">
        <v>1</v>
      </c>
      <c r="F8069" t="s">
        <v>6838</v>
      </c>
    </row>
    <row r="8070" spans="1:6" x14ac:dyDescent="0.25">
      <c r="A8070" t="s">
        <v>6964</v>
      </c>
      <c r="B8070" t="s">
        <v>446</v>
      </c>
      <c r="C8070" t="s">
        <v>447</v>
      </c>
      <c r="D8070" t="str">
        <f>HYPERLINK("http://service.sap.com/sap/support/notes/1759745","1759745")</f>
        <v>1759745</v>
      </c>
      <c r="E8070">
        <v>1</v>
      </c>
      <c r="F8070" t="s">
        <v>6839</v>
      </c>
    </row>
    <row r="8071" spans="1:6" x14ac:dyDescent="0.25">
      <c r="A8071" t="s">
        <v>6964</v>
      </c>
      <c r="B8071" t="s">
        <v>446</v>
      </c>
      <c r="C8071" t="s">
        <v>447</v>
      </c>
      <c r="D8071" t="str">
        <f>HYPERLINK("http://service.sap.com/sap/support/notes/1760167","1760167")</f>
        <v>1760167</v>
      </c>
      <c r="E8071">
        <v>2</v>
      </c>
      <c r="F8071" t="s">
        <v>6840</v>
      </c>
    </row>
    <row r="8072" spans="1:6" x14ac:dyDescent="0.25">
      <c r="A8072" t="s">
        <v>6964</v>
      </c>
      <c r="B8072" t="s">
        <v>446</v>
      </c>
      <c r="C8072" t="s">
        <v>447</v>
      </c>
      <c r="D8072" t="str">
        <f>HYPERLINK("http://service.sap.com/sap/support/notes/1760272","1760272")</f>
        <v>1760272</v>
      </c>
      <c r="E8072">
        <v>1</v>
      </c>
      <c r="F8072" t="s">
        <v>6841</v>
      </c>
    </row>
    <row r="8073" spans="1:6" x14ac:dyDescent="0.25">
      <c r="A8073" t="s">
        <v>6964</v>
      </c>
      <c r="B8073" t="s">
        <v>446</v>
      </c>
      <c r="C8073" t="s">
        <v>447</v>
      </c>
      <c r="D8073" t="str">
        <f>HYPERLINK("http://service.sap.com/sap/support/notes/1760638","1760638")</f>
        <v>1760638</v>
      </c>
      <c r="E8073">
        <v>1</v>
      </c>
      <c r="F8073" t="s">
        <v>6842</v>
      </c>
    </row>
    <row r="8074" spans="1:6" x14ac:dyDescent="0.25">
      <c r="A8074" t="s">
        <v>6964</v>
      </c>
      <c r="B8074" t="s">
        <v>446</v>
      </c>
      <c r="C8074" t="s">
        <v>447</v>
      </c>
      <c r="D8074" t="str">
        <f>HYPERLINK("http://service.sap.com/sap/support/notes/1762186","1762186")</f>
        <v>1762186</v>
      </c>
      <c r="E8074">
        <v>1</v>
      </c>
      <c r="F8074" t="s">
        <v>6843</v>
      </c>
    </row>
    <row r="8075" spans="1:6" x14ac:dyDescent="0.25">
      <c r="A8075" t="s">
        <v>6964</v>
      </c>
      <c r="B8075" t="s">
        <v>446</v>
      </c>
      <c r="C8075" t="s">
        <v>447</v>
      </c>
      <c r="D8075" t="str">
        <f>HYPERLINK("http://service.sap.com/sap/support/notes/1762288","1762288")</f>
        <v>1762288</v>
      </c>
      <c r="E8075">
        <v>1</v>
      </c>
      <c r="F8075" t="s">
        <v>6844</v>
      </c>
    </row>
    <row r="8076" spans="1:6" x14ac:dyDescent="0.25">
      <c r="A8076" t="s">
        <v>6964</v>
      </c>
      <c r="B8076" t="s">
        <v>446</v>
      </c>
      <c r="C8076" t="s">
        <v>447</v>
      </c>
      <c r="D8076" t="str">
        <f>HYPERLINK("http://service.sap.com/sap/support/notes/1762662","1762662")</f>
        <v>1762662</v>
      </c>
      <c r="E8076">
        <v>1</v>
      </c>
      <c r="F8076" t="s">
        <v>6845</v>
      </c>
    </row>
    <row r="8077" spans="1:6" x14ac:dyDescent="0.25">
      <c r="A8077" t="s">
        <v>6964</v>
      </c>
      <c r="B8077" t="s">
        <v>446</v>
      </c>
      <c r="C8077" t="s">
        <v>447</v>
      </c>
      <c r="D8077" t="str">
        <f>HYPERLINK("http://service.sap.com/sap/support/notes/1762760","1762760")</f>
        <v>1762760</v>
      </c>
      <c r="E8077">
        <v>2</v>
      </c>
      <c r="F8077" t="s">
        <v>6846</v>
      </c>
    </row>
    <row r="8078" spans="1:6" x14ac:dyDescent="0.25">
      <c r="A8078" t="s">
        <v>6964</v>
      </c>
      <c r="B8078" t="s">
        <v>446</v>
      </c>
      <c r="C8078" t="s">
        <v>447</v>
      </c>
      <c r="D8078" t="str">
        <f>HYPERLINK("http://service.sap.com/sap/support/notes/1763989","1763989")</f>
        <v>1763989</v>
      </c>
      <c r="E8078">
        <v>1</v>
      </c>
      <c r="F8078" t="s">
        <v>6847</v>
      </c>
    </row>
    <row r="8079" spans="1:6" x14ac:dyDescent="0.25">
      <c r="A8079" t="s">
        <v>6964</v>
      </c>
      <c r="B8079" t="s">
        <v>446</v>
      </c>
      <c r="C8079" t="s">
        <v>447</v>
      </c>
      <c r="D8079" t="str">
        <f>HYPERLINK("http://service.sap.com/sap/support/notes/1764229","1764229")</f>
        <v>1764229</v>
      </c>
      <c r="E8079">
        <v>1</v>
      </c>
      <c r="F8079" t="s">
        <v>6848</v>
      </c>
    </row>
    <row r="8080" spans="1:6" x14ac:dyDescent="0.25">
      <c r="A8080" t="s">
        <v>6964</v>
      </c>
      <c r="B8080" t="s">
        <v>446</v>
      </c>
      <c r="C8080" t="s">
        <v>447</v>
      </c>
      <c r="D8080" t="str">
        <f>HYPERLINK("http://service.sap.com/sap/support/notes/1764956","1764956")</f>
        <v>1764956</v>
      </c>
      <c r="E8080">
        <v>1</v>
      </c>
      <c r="F8080" t="s">
        <v>6849</v>
      </c>
    </row>
    <row r="8081" spans="1:6" x14ac:dyDescent="0.25">
      <c r="A8081" t="s">
        <v>6964</v>
      </c>
      <c r="B8081" t="s">
        <v>446</v>
      </c>
      <c r="C8081" t="s">
        <v>447</v>
      </c>
      <c r="D8081" t="str">
        <f>HYPERLINK("http://service.sap.com/sap/support/notes/1765329","1765329")</f>
        <v>1765329</v>
      </c>
      <c r="E8081">
        <v>1</v>
      </c>
      <c r="F8081" t="s">
        <v>6850</v>
      </c>
    </row>
    <row r="8082" spans="1:6" x14ac:dyDescent="0.25">
      <c r="A8082" t="s">
        <v>6964</v>
      </c>
      <c r="B8082" t="s">
        <v>446</v>
      </c>
      <c r="C8082" t="s">
        <v>447</v>
      </c>
      <c r="D8082" t="str">
        <f>HYPERLINK("http://service.sap.com/sap/support/notes/1765468","1765468")</f>
        <v>1765468</v>
      </c>
      <c r="E8082">
        <v>1</v>
      </c>
      <c r="F8082" t="s">
        <v>6851</v>
      </c>
    </row>
    <row r="8083" spans="1:6" x14ac:dyDescent="0.25">
      <c r="A8083" t="s">
        <v>6964</v>
      </c>
      <c r="B8083" t="s">
        <v>446</v>
      </c>
      <c r="C8083" t="s">
        <v>447</v>
      </c>
      <c r="D8083" t="str">
        <f>HYPERLINK("http://service.sap.com/sap/support/notes/1765992","1765992")</f>
        <v>1765992</v>
      </c>
      <c r="E8083">
        <v>1</v>
      </c>
      <c r="F8083" t="s">
        <v>6852</v>
      </c>
    </row>
    <row r="8084" spans="1:6" x14ac:dyDescent="0.25">
      <c r="A8084" t="s">
        <v>6964</v>
      </c>
      <c r="B8084" t="s">
        <v>446</v>
      </c>
      <c r="C8084" t="s">
        <v>447</v>
      </c>
      <c r="D8084" t="str">
        <f>HYPERLINK("http://service.sap.com/sap/support/notes/1766020","1766020")</f>
        <v>1766020</v>
      </c>
      <c r="E8084">
        <v>1</v>
      </c>
      <c r="F8084" t="s">
        <v>6846</v>
      </c>
    </row>
    <row r="8085" spans="1:6" x14ac:dyDescent="0.25">
      <c r="A8085" t="s">
        <v>6964</v>
      </c>
      <c r="B8085" t="s">
        <v>446</v>
      </c>
      <c r="C8085" t="s">
        <v>447</v>
      </c>
      <c r="D8085" t="str">
        <f>HYPERLINK("http://service.sap.com/sap/support/notes/1766760","1766760")</f>
        <v>1766760</v>
      </c>
      <c r="E8085">
        <v>1</v>
      </c>
      <c r="F8085" t="s">
        <v>6853</v>
      </c>
    </row>
    <row r="8086" spans="1:6" x14ac:dyDescent="0.25">
      <c r="A8086" t="s">
        <v>6964</v>
      </c>
      <c r="B8086" t="s">
        <v>448</v>
      </c>
      <c r="C8086" t="s">
        <v>449</v>
      </c>
      <c r="D8086" t="str">
        <f>HYPERLINK("http://service.sap.com/sap/support/notes/1760600","1760600")</f>
        <v>1760600</v>
      </c>
      <c r="E8086">
        <v>1</v>
      </c>
      <c r="F8086" t="s">
        <v>6854</v>
      </c>
    </row>
    <row r="8087" spans="1:6" x14ac:dyDescent="0.25">
      <c r="A8087" t="s">
        <v>6964</v>
      </c>
      <c r="B8087" t="s">
        <v>450</v>
      </c>
      <c r="C8087" t="s">
        <v>451</v>
      </c>
      <c r="D8087" t="str">
        <f>HYPERLINK("http://service.sap.com/sap/support/notes/1758052","1758052")</f>
        <v>1758052</v>
      </c>
      <c r="E8087">
        <v>2</v>
      </c>
      <c r="F8087" t="s">
        <v>6855</v>
      </c>
    </row>
    <row r="8088" spans="1:6" x14ac:dyDescent="0.25">
      <c r="A8088" t="s">
        <v>6964</v>
      </c>
      <c r="B8088" t="s">
        <v>453</v>
      </c>
      <c r="C8088" t="s">
        <v>454</v>
      </c>
      <c r="D8088" t="str">
        <f>HYPERLINK("http://service.sap.com/sap/support/notes/1754668","1754668")</f>
        <v>1754668</v>
      </c>
      <c r="E8088">
        <v>2</v>
      </c>
      <c r="F8088" t="s">
        <v>6856</v>
      </c>
    </row>
    <row r="8089" spans="1:6" x14ac:dyDescent="0.25">
      <c r="A8089" t="s">
        <v>6964</v>
      </c>
      <c r="B8089" t="s">
        <v>453</v>
      </c>
      <c r="C8089" t="s">
        <v>454</v>
      </c>
      <c r="D8089" t="str">
        <f>HYPERLINK("http://service.sap.com/sap/support/notes/1759726","1759726")</f>
        <v>1759726</v>
      </c>
      <c r="E8089">
        <v>1</v>
      </c>
      <c r="F8089" t="s">
        <v>6857</v>
      </c>
    </row>
    <row r="8090" spans="1:6" x14ac:dyDescent="0.25">
      <c r="A8090" t="s">
        <v>6964</v>
      </c>
      <c r="B8090" t="s">
        <v>21</v>
      </c>
      <c r="C8090" t="s">
        <v>12</v>
      </c>
    </row>
    <row r="8091" spans="1:6" x14ac:dyDescent="0.25">
      <c r="A8091" t="s">
        <v>6964</v>
      </c>
      <c r="B8091" t="s">
        <v>22</v>
      </c>
      <c r="C8091" t="s">
        <v>23</v>
      </c>
    </row>
    <row r="8092" spans="1:6" x14ac:dyDescent="0.25">
      <c r="A8092" t="s">
        <v>6964</v>
      </c>
      <c r="B8092" t="s">
        <v>241</v>
      </c>
      <c r="C8092" t="s">
        <v>556</v>
      </c>
      <c r="D8092" t="str">
        <f>HYPERLINK("http://service.sap.com/sap/support/notes/1757802","1757802")</f>
        <v>1757802</v>
      </c>
      <c r="E8092">
        <v>1</v>
      </c>
      <c r="F8092" t="s">
        <v>6858</v>
      </c>
    </row>
    <row r="8093" spans="1:6" x14ac:dyDescent="0.25">
      <c r="A8093" t="s">
        <v>6964</v>
      </c>
      <c r="B8093" t="s">
        <v>241</v>
      </c>
      <c r="C8093" t="s">
        <v>556</v>
      </c>
      <c r="D8093" t="str">
        <f>HYPERLINK("http://service.sap.com/sap/support/notes/1761490","1761490")</f>
        <v>1761490</v>
      </c>
      <c r="E8093">
        <v>1</v>
      </c>
      <c r="F8093" t="s">
        <v>6859</v>
      </c>
    </row>
    <row r="8094" spans="1:6" x14ac:dyDescent="0.25">
      <c r="A8094" t="s">
        <v>6964</v>
      </c>
      <c r="B8094" t="s">
        <v>378</v>
      </c>
      <c r="C8094" t="s">
        <v>379</v>
      </c>
      <c r="D8094" t="str">
        <f>HYPERLINK("http://service.sap.com/sap/support/notes/1731305","1731305")</f>
        <v>1731305</v>
      </c>
      <c r="E8094">
        <v>3</v>
      </c>
      <c r="F8094" t="s">
        <v>6860</v>
      </c>
    </row>
    <row r="8095" spans="1:6" x14ac:dyDescent="0.25">
      <c r="A8095" t="s">
        <v>6964</v>
      </c>
      <c r="B8095" t="s">
        <v>378</v>
      </c>
      <c r="C8095" t="s">
        <v>379</v>
      </c>
      <c r="D8095" t="str">
        <f>HYPERLINK("http://service.sap.com/sap/support/notes/1757392","1757392")</f>
        <v>1757392</v>
      </c>
      <c r="E8095">
        <v>4</v>
      </c>
      <c r="F8095" t="s">
        <v>6861</v>
      </c>
    </row>
    <row r="8096" spans="1:6" x14ac:dyDescent="0.25">
      <c r="A8096" t="s">
        <v>6964</v>
      </c>
      <c r="B8096" t="s">
        <v>378</v>
      </c>
      <c r="C8096" t="s">
        <v>379</v>
      </c>
      <c r="D8096" t="str">
        <f>HYPERLINK("http://service.sap.com/sap/support/notes/1763069","1763069")</f>
        <v>1763069</v>
      </c>
      <c r="E8096">
        <v>3</v>
      </c>
      <c r="F8096" t="s">
        <v>6862</v>
      </c>
    </row>
    <row r="8097" spans="1:6" x14ac:dyDescent="0.25">
      <c r="A8097" t="s">
        <v>6964</v>
      </c>
      <c r="B8097" t="s">
        <v>458</v>
      </c>
      <c r="C8097" t="s">
        <v>459</v>
      </c>
      <c r="D8097" t="str">
        <f>HYPERLINK("http://service.sap.com/sap/support/notes/1751023","1751023")</f>
        <v>1751023</v>
      </c>
      <c r="E8097">
        <v>1</v>
      </c>
      <c r="F8097" t="s">
        <v>6863</v>
      </c>
    </row>
    <row r="8098" spans="1:6" x14ac:dyDescent="0.25">
      <c r="A8098" t="s">
        <v>6964</v>
      </c>
      <c r="B8098" t="s">
        <v>458</v>
      </c>
      <c r="C8098" t="s">
        <v>459</v>
      </c>
      <c r="D8098" t="str">
        <f>HYPERLINK("http://service.sap.com/sap/support/notes/1756562","1756562")</f>
        <v>1756562</v>
      </c>
      <c r="E8098">
        <v>1</v>
      </c>
      <c r="F8098" t="s">
        <v>6864</v>
      </c>
    </row>
    <row r="8099" spans="1:6" x14ac:dyDescent="0.25">
      <c r="A8099" t="s">
        <v>6964</v>
      </c>
      <c r="B8099" t="s">
        <v>462</v>
      </c>
      <c r="C8099" t="s">
        <v>463</v>
      </c>
      <c r="D8099" t="str">
        <f>HYPERLINK("http://service.sap.com/sap/support/notes/1757211","1757211")</f>
        <v>1757211</v>
      </c>
      <c r="E8099">
        <v>2</v>
      </c>
      <c r="F8099" t="s">
        <v>6865</v>
      </c>
    </row>
    <row r="8100" spans="1:6" x14ac:dyDescent="0.25">
      <c r="A8100" t="s">
        <v>6964</v>
      </c>
      <c r="B8100" t="s">
        <v>462</v>
      </c>
      <c r="C8100" t="s">
        <v>463</v>
      </c>
      <c r="D8100" t="str">
        <f>HYPERLINK("http://service.sap.com/sap/support/notes/1757776","1757776")</f>
        <v>1757776</v>
      </c>
      <c r="E8100">
        <v>3</v>
      </c>
      <c r="F8100" t="s">
        <v>6866</v>
      </c>
    </row>
    <row r="8101" spans="1:6" x14ac:dyDescent="0.25">
      <c r="A8101" t="s">
        <v>6964</v>
      </c>
      <c r="B8101" t="s">
        <v>623</v>
      </c>
      <c r="C8101" t="s">
        <v>624</v>
      </c>
    </row>
    <row r="8102" spans="1:6" x14ac:dyDescent="0.25">
      <c r="A8102" t="s">
        <v>6964</v>
      </c>
      <c r="B8102" t="s">
        <v>625</v>
      </c>
      <c r="C8102" t="s">
        <v>626</v>
      </c>
    </row>
    <row r="8103" spans="1:6" x14ac:dyDescent="0.25">
      <c r="A8103" t="s">
        <v>6964</v>
      </c>
      <c r="B8103" t="s">
        <v>627</v>
      </c>
      <c r="C8103" t="s">
        <v>628</v>
      </c>
      <c r="D8103" t="str">
        <f>HYPERLINK("http://service.sap.com/sap/support/notes/1755844","1755844")</f>
        <v>1755844</v>
      </c>
      <c r="E8103">
        <v>1</v>
      </c>
      <c r="F8103" t="s">
        <v>6867</v>
      </c>
    </row>
    <row r="8104" spans="1:6" x14ac:dyDescent="0.25">
      <c r="A8104" t="s">
        <v>6964</v>
      </c>
      <c r="B8104" t="s">
        <v>627</v>
      </c>
      <c r="C8104" t="s">
        <v>628</v>
      </c>
      <c r="D8104" t="str">
        <f>HYPERLINK("http://service.sap.com/sap/support/notes/1762587","1762587")</f>
        <v>1762587</v>
      </c>
      <c r="E8104">
        <v>1</v>
      </c>
      <c r="F8104" t="s">
        <v>6868</v>
      </c>
    </row>
    <row r="8105" spans="1:6" x14ac:dyDescent="0.25">
      <c r="A8105" t="s">
        <v>6964</v>
      </c>
      <c r="B8105" t="s">
        <v>245</v>
      </c>
      <c r="C8105" t="s">
        <v>5215</v>
      </c>
      <c r="D8105" t="str">
        <f>HYPERLINK("http://service.sap.com/sap/support/notes/1753195","1753195")</f>
        <v>1753195</v>
      </c>
      <c r="E8105">
        <v>1</v>
      </c>
      <c r="F8105" t="s">
        <v>6869</v>
      </c>
    </row>
    <row r="8106" spans="1:6" x14ac:dyDescent="0.25">
      <c r="A8106" t="s">
        <v>6964</v>
      </c>
      <c r="B8106" t="s">
        <v>245</v>
      </c>
      <c r="C8106" t="s">
        <v>5215</v>
      </c>
      <c r="D8106" t="str">
        <f>HYPERLINK("http://service.sap.com/sap/support/notes/1761593","1761593")</f>
        <v>1761593</v>
      </c>
      <c r="E8106">
        <v>1</v>
      </c>
      <c r="F8106" t="s">
        <v>6870</v>
      </c>
    </row>
    <row r="8107" spans="1:6" x14ac:dyDescent="0.25">
      <c r="A8107" t="s">
        <v>6964</v>
      </c>
      <c r="B8107" t="s">
        <v>29</v>
      </c>
      <c r="C8107" t="s">
        <v>30</v>
      </c>
    </row>
    <row r="8108" spans="1:6" x14ac:dyDescent="0.25">
      <c r="A8108" t="s">
        <v>6964</v>
      </c>
      <c r="B8108" t="s">
        <v>682</v>
      </c>
      <c r="C8108" t="s">
        <v>84</v>
      </c>
      <c r="D8108" t="str">
        <f>HYPERLINK("http://service.sap.com/sap/support/notes/1754501","1754501")</f>
        <v>1754501</v>
      </c>
      <c r="E8108">
        <v>2</v>
      </c>
      <c r="F8108" t="s">
        <v>6871</v>
      </c>
    </row>
    <row r="8109" spans="1:6" x14ac:dyDescent="0.25">
      <c r="A8109" t="s">
        <v>6964</v>
      </c>
      <c r="B8109" t="s">
        <v>33</v>
      </c>
      <c r="C8109" t="s">
        <v>34</v>
      </c>
      <c r="D8109" t="str">
        <f>HYPERLINK("http://service.sap.com/sap/support/notes/1762612","1762612")</f>
        <v>1762612</v>
      </c>
      <c r="E8109">
        <v>2</v>
      </c>
      <c r="F8109" t="s">
        <v>6872</v>
      </c>
    </row>
    <row r="8110" spans="1:6" x14ac:dyDescent="0.25">
      <c r="A8110" t="s">
        <v>6964</v>
      </c>
      <c r="B8110" t="s">
        <v>35</v>
      </c>
      <c r="C8110" t="s">
        <v>36</v>
      </c>
      <c r="D8110" t="str">
        <f>HYPERLINK("http://service.sap.com/sap/support/notes/1632904","1632904")</f>
        <v>1632904</v>
      </c>
      <c r="E8110">
        <v>1</v>
      </c>
      <c r="F8110" t="s">
        <v>5234</v>
      </c>
    </row>
    <row r="8111" spans="1:6" x14ac:dyDescent="0.25">
      <c r="A8111" t="s">
        <v>6964</v>
      </c>
      <c r="B8111" t="s">
        <v>41</v>
      </c>
      <c r="C8111" t="s">
        <v>42</v>
      </c>
    </row>
    <row r="8112" spans="1:6" x14ac:dyDescent="0.25">
      <c r="A8112" t="s">
        <v>6964</v>
      </c>
      <c r="B8112" t="s">
        <v>43</v>
      </c>
      <c r="C8112" t="s">
        <v>44</v>
      </c>
      <c r="D8112" t="str">
        <f>HYPERLINK("http://service.sap.com/sap/support/notes/1756234","1756234")</f>
        <v>1756234</v>
      </c>
      <c r="E8112">
        <v>1</v>
      </c>
      <c r="F8112" t="s">
        <v>6873</v>
      </c>
    </row>
    <row r="8113" spans="1:6" x14ac:dyDescent="0.25">
      <c r="A8113" t="s">
        <v>6964</v>
      </c>
      <c r="B8113" t="s">
        <v>43</v>
      </c>
      <c r="C8113" t="s">
        <v>44</v>
      </c>
      <c r="D8113" t="str">
        <f>HYPERLINK("http://service.sap.com/sap/support/notes/1756540","1756540")</f>
        <v>1756540</v>
      </c>
      <c r="E8113">
        <v>2</v>
      </c>
      <c r="F8113" t="s">
        <v>6874</v>
      </c>
    </row>
    <row r="8114" spans="1:6" x14ac:dyDescent="0.25">
      <c r="A8114" t="s">
        <v>6964</v>
      </c>
      <c r="B8114" t="s">
        <v>43</v>
      </c>
      <c r="C8114" t="s">
        <v>44</v>
      </c>
      <c r="D8114" t="str">
        <f>HYPERLINK("http://service.sap.com/sap/support/notes/1757183","1757183")</f>
        <v>1757183</v>
      </c>
      <c r="E8114">
        <v>3</v>
      </c>
      <c r="F8114" t="s">
        <v>6875</v>
      </c>
    </row>
    <row r="8115" spans="1:6" x14ac:dyDescent="0.25">
      <c r="A8115" t="s">
        <v>6964</v>
      </c>
      <c r="B8115" t="s">
        <v>43</v>
      </c>
      <c r="C8115" t="s">
        <v>44</v>
      </c>
      <c r="D8115" t="str">
        <f>HYPERLINK("http://service.sap.com/sap/support/notes/1765633","1765633")</f>
        <v>1765633</v>
      </c>
      <c r="E8115">
        <v>1</v>
      </c>
      <c r="F8115" t="s">
        <v>6876</v>
      </c>
    </row>
    <row r="8116" spans="1:6" x14ac:dyDescent="0.25">
      <c r="A8116" t="s">
        <v>6964</v>
      </c>
      <c r="B8116" t="s">
        <v>46</v>
      </c>
      <c r="C8116" t="s">
        <v>47</v>
      </c>
      <c r="D8116" t="str">
        <f>HYPERLINK("http://service.sap.com/sap/support/notes/1749674","1749674")</f>
        <v>1749674</v>
      </c>
      <c r="E8116">
        <v>2</v>
      </c>
      <c r="F8116" t="s">
        <v>6877</v>
      </c>
    </row>
    <row r="8117" spans="1:6" x14ac:dyDescent="0.25">
      <c r="A8117" t="s">
        <v>6964</v>
      </c>
      <c r="B8117" t="s">
        <v>51</v>
      </c>
      <c r="C8117" t="s">
        <v>52</v>
      </c>
      <c r="D8117" t="str">
        <f>HYPERLINK("http://service.sap.com/sap/support/notes/1756301","1756301")</f>
        <v>1756301</v>
      </c>
      <c r="E8117">
        <v>3</v>
      </c>
      <c r="F8117" t="s">
        <v>6878</v>
      </c>
    </row>
    <row r="8118" spans="1:6" x14ac:dyDescent="0.25">
      <c r="A8118" t="s">
        <v>6964</v>
      </c>
      <c r="B8118" t="s">
        <v>51</v>
      </c>
      <c r="C8118" t="s">
        <v>52</v>
      </c>
      <c r="D8118" t="str">
        <f>HYPERLINK("http://service.sap.com/sap/support/notes/1759415","1759415")</f>
        <v>1759415</v>
      </c>
      <c r="E8118">
        <v>2</v>
      </c>
      <c r="F8118" t="s">
        <v>6879</v>
      </c>
    </row>
    <row r="8119" spans="1:6" x14ac:dyDescent="0.25">
      <c r="A8119" t="s">
        <v>6964</v>
      </c>
      <c r="B8119" t="s">
        <v>415</v>
      </c>
      <c r="C8119" t="s">
        <v>167</v>
      </c>
      <c r="D8119" t="str">
        <f>HYPERLINK("http://service.sap.com/sap/support/notes/1734685","1734685")</f>
        <v>1734685</v>
      </c>
      <c r="E8119">
        <v>3</v>
      </c>
      <c r="F8119" t="s">
        <v>6880</v>
      </c>
    </row>
    <row r="8120" spans="1:6" x14ac:dyDescent="0.25">
      <c r="A8120" t="s">
        <v>6964</v>
      </c>
      <c r="B8120" t="s">
        <v>6881</v>
      </c>
      <c r="C8120" t="s">
        <v>174</v>
      </c>
      <c r="D8120" t="str">
        <f>HYPERLINK("http://service.sap.com/sap/support/notes/1760733","1760733")</f>
        <v>1760733</v>
      </c>
      <c r="E8120">
        <v>1</v>
      </c>
      <c r="F8120" t="s">
        <v>6882</v>
      </c>
    </row>
    <row r="8121" spans="1:6" x14ac:dyDescent="0.25">
      <c r="A8121" t="s">
        <v>6964</v>
      </c>
      <c r="B8121" t="s">
        <v>57</v>
      </c>
      <c r="C8121" t="s">
        <v>58</v>
      </c>
      <c r="D8121" t="str">
        <f>HYPERLINK("http://service.sap.com/sap/support/notes/960754","960754")</f>
        <v>960754</v>
      </c>
      <c r="E8121">
        <v>9</v>
      </c>
      <c r="F8121" t="s">
        <v>1854</v>
      </c>
    </row>
    <row r="8122" spans="1:6" x14ac:dyDescent="0.25">
      <c r="A8122" t="s">
        <v>6964</v>
      </c>
      <c r="B8122" t="s">
        <v>57</v>
      </c>
      <c r="C8122" t="s">
        <v>58</v>
      </c>
      <c r="D8122" t="str">
        <f>HYPERLINK("http://service.sap.com/sap/support/notes/1698545","1698545")</f>
        <v>1698545</v>
      </c>
      <c r="E8122">
        <v>1</v>
      </c>
      <c r="F8122" t="s">
        <v>3256</v>
      </c>
    </row>
    <row r="8123" spans="1:6" x14ac:dyDescent="0.25">
      <c r="A8123" t="s">
        <v>6964</v>
      </c>
      <c r="B8123" t="s">
        <v>57</v>
      </c>
      <c r="C8123" t="s">
        <v>58</v>
      </c>
      <c r="D8123" t="str">
        <f>HYPERLINK("http://service.sap.com/sap/support/notes/1751480","1751480")</f>
        <v>1751480</v>
      </c>
      <c r="E8123">
        <v>1</v>
      </c>
      <c r="F8123" t="s">
        <v>4947</v>
      </c>
    </row>
    <row r="8124" spans="1:6" x14ac:dyDescent="0.25">
      <c r="A8124" t="s">
        <v>6964</v>
      </c>
      <c r="B8124" t="s">
        <v>57</v>
      </c>
      <c r="C8124" t="s">
        <v>58</v>
      </c>
      <c r="D8124" t="str">
        <f>HYPERLINK("http://service.sap.com/sap/support/notes/1754575","1754575")</f>
        <v>1754575</v>
      </c>
      <c r="E8124">
        <v>5</v>
      </c>
      <c r="F8124" t="s">
        <v>6883</v>
      </c>
    </row>
    <row r="8125" spans="1:6" x14ac:dyDescent="0.25">
      <c r="A8125" t="s">
        <v>6964</v>
      </c>
      <c r="B8125" t="s">
        <v>57</v>
      </c>
      <c r="C8125" t="s">
        <v>58</v>
      </c>
      <c r="D8125" t="str">
        <f>HYPERLINK("http://service.sap.com/sap/support/notes/1756070","1756070")</f>
        <v>1756070</v>
      </c>
      <c r="E8125">
        <v>2</v>
      </c>
      <c r="F8125" t="s">
        <v>6884</v>
      </c>
    </row>
    <row r="8126" spans="1:6" x14ac:dyDescent="0.25">
      <c r="A8126" t="s">
        <v>6964</v>
      </c>
      <c r="B8126" t="s">
        <v>258</v>
      </c>
      <c r="C8126" t="s">
        <v>186</v>
      </c>
      <c r="D8126" t="str">
        <f>HYPERLINK("http://service.sap.com/sap/support/notes/1764269","1764269")</f>
        <v>1764269</v>
      </c>
      <c r="E8126">
        <v>1</v>
      </c>
      <c r="F8126" t="s">
        <v>6885</v>
      </c>
    </row>
    <row r="8127" spans="1:6" x14ac:dyDescent="0.25">
      <c r="A8127" t="s">
        <v>6964</v>
      </c>
      <c r="B8127" t="s">
        <v>61</v>
      </c>
      <c r="C8127" t="s">
        <v>62</v>
      </c>
      <c r="D8127" t="str">
        <f>HYPERLINK("http://service.sap.com/sap/support/notes/1721649","1721649")</f>
        <v>1721649</v>
      </c>
      <c r="E8127">
        <v>2</v>
      </c>
      <c r="F8127" t="s">
        <v>6886</v>
      </c>
    </row>
    <row r="8128" spans="1:6" x14ac:dyDescent="0.25">
      <c r="A8128" t="s">
        <v>6964</v>
      </c>
      <c r="B8128" t="s">
        <v>267</v>
      </c>
      <c r="C8128" t="s">
        <v>466</v>
      </c>
    </row>
    <row r="8129" spans="1:6" x14ac:dyDescent="0.25">
      <c r="A8129" t="s">
        <v>6964</v>
      </c>
      <c r="B8129" t="s">
        <v>268</v>
      </c>
      <c r="C8129" t="s">
        <v>467</v>
      </c>
      <c r="D8129" t="str">
        <f>HYPERLINK("http://service.sap.com/sap/support/notes/1755047","1755047")</f>
        <v>1755047</v>
      </c>
      <c r="E8129">
        <v>2</v>
      </c>
      <c r="F8129" t="s">
        <v>6887</v>
      </c>
    </row>
    <row r="8130" spans="1:6" x14ac:dyDescent="0.25">
      <c r="A8130" t="s">
        <v>6964</v>
      </c>
      <c r="B8130" t="s">
        <v>268</v>
      </c>
      <c r="C8130" t="s">
        <v>467</v>
      </c>
      <c r="D8130" t="str">
        <f>HYPERLINK("http://service.sap.com/sap/support/notes/1756977","1756977")</f>
        <v>1756977</v>
      </c>
      <c r="E8130">
        <v>1</v>
      </c>
      <c r="F8130" t="s">
        <v>6888</v>
      </c>
    </row>
    <row r="8131" spans="1:6" x14ac:dyDescent="0.25">
      <c r="A8131" t="s">
        <v>6964</v>
      </c>
      <c r="B8131" t="s">
        <v>268</v>
      </c>
      <c r="C8131" t="s">
        <v>467</v>
      </c>
      <c r="D8131" t="str">
        <f>HYPERLINK("http://service.sap.com/sap/support/notes/1759766","1759766")</f>
        <v>1759766</v>
      </c>
      <c r="E8131">
        <v>1</v>
      </c>
      <c r="F8131" t="s">
        <v>6889</v>
      </c>
    </row>
    <row r="8132" spans="1:6" x14ac:dyDescent="0.25">
      <c r="A8132" t="s">
        <v>6964</v>
      </c>
      <c r="B8132" t="s">
        <v>268</v>
      </c>
      <c r="C8132" t="s">
        <v>467</v>
      </c>
      <c r="D8132" t="str">
        <f>HYPERLINK("http://service.sap.com/sap/support/notes/1761035","1761035")</f>
        <v>1761035</v>
      </c>
      <c r="E8132">
        <v>2</v>
      </c>
      <c r="F8132" t="s">
        <v>6890</v>
      </c>
    </row>
    <row r="8133" spans="1:6" x14ac:dyDescent="0.25">
      <c r="A8133" t="s">
        <v>6964</v>
      </c>
      <c r="B8133" t="s">
        <v>268</v>
      </c>
      <c r="C8133" t="s">
        <v>467</v>
      </c>
      <c r="D8133" t="str">
        <f>HYPERLINK("http://service.sap.com/sap/support/notes/1764262","1764262")</f>
        <v>1764262</v>
      </c>
      <c r="E8133">
        <v>1</v>
      </c>
      <c r="F8133" t="s">
        <v>6891</v>
      </c>
    </row>
    <row r="8134" spans="1:6" x14ac:dyDescent="0.25">
      <c r="A8134" t="s">
        <v>6964</v>
      </c>
      <c r="B8134" t="s">
        <v>268</v>
      </c>
      <c r="C8134" t="s">
        <v>467</v>
      </c>
      <c r="D8134" t="str">
        <f>HYPERLINK("http://service.sap.com/sap/support/notes/1764478","1764478")</f>
        <v>1764478</v>
      </c>
      <c r="E8134">
        <v>2</v>
      </c>
      <c r="F8134" t="s">
        <v>6892</v>
      </c>
    </row>
    <row r="8135" spans="1:6" x14ac:dyDescent="0.25">
      <c r="A8135" t="s">
        <v>6964</v>
      </c>
      <c r="B8135" t="s">
        <v>273</v>
      </c>
      <c r="C8135" t="s">
        <v>469</v>
      </c>
    </row>
    <row r="8136" spans="1:6" x14ac:dyDescent="0.25">
      <c r="A8136" t="s">
        <v>6964</v>
      </c>
      <c r="B8136" t="s">
        <v>274</v>
      </c>
      <c r="C8136" t="s">
        <v>470</v>
      </c>
      <c r="D8136" t="str">
        <f>HYPERLINK("http://service.sap.com/sap/support/notes/1620083","1620083")</f>
        <v>1620083</v>
      </c>
      <c r="E8136">
        <v>3</v>
      </c>
      <c r="F8136" t="s">
        <v>6893</v>
      </c>
    </row>
    <row r="8137" spans="1:6" x14ac:dyDescent="0.25">
      <c r="A8137" t="s">
        <v>6964</v>
      </c>
      <c r="B8137" t="s">
        <v>274</v>
      </c>
      <c r="C8137" t="s">
        <v>470</v>
      </c>
      <c r="D8137" t="str">
        <f>HYPERLINK("http://service.sap.com/sap/support/notes/1749239","1749239")</f>
        <v>1749239</v>
      </c>
      <c r="E8137">
        <v>2</v>
      </c>
      <c r="F8137" t="s">
        <v>6894</v>
      </c>
    </row>
    <row r="8138" spans="1:6" x14ac:dyDescent="0.25">
      <c r="A8138" t="s">
        <v>6964</v>
      </c>
      <c r="B8138" t="s">
        <v>274</v>
      </c>
      <c r="C8138" t="s">
        <v>470</v>
      </c>
      <c r="D8138" t="str">
        <f>HYPERLINK("http://service.sap.com/sap/support/notes/1756715","1756715")</f>
        <v>1756715</v>
      </c>
      <c r="E8138">
        <v>6</v>
      </c>
      <c r="F8138" t="s">
        <v>6895</v>
      </c>
    </row>
    <row r="8139" spans="1:6" x14ac:dyDescent="0.25">
      <c r="A8139" t="s">
        <v>6964</v>
      </c>
      <c r="B8139" t="s">
        <v>274</v>
      </c>
      <c r="C8139" t="s">
        <v>470</v>
      </c>
      <c r="D8139" t="str">
        <f>HYPERLINK("http://service.sap.com/sap/support/notes/1758137","1758137")</f>
        <v>1758137</v>
      </c>
      <c r="E8139">
        <v>3</v>
      </c>
      <c r="F8139" t="s">
        <v>6896</v>
      </c>
    </row>
    <row r="8140" spans="1:6" x14ac:dyDescent="0.25">
      <c r="A8140" t="s">
        <v>6964</v>
      </c>
      <c r="B8140" t="s">
        <v>471</v>
      </c>
      <c r="C8140" t="s">
        <v>472</v>
      </c>
      <c r="D8140" t="str">
        <f>HYPERLINK("http://service.sap.com/sap/support/notes/1699117","1699117")</f>
        <v>1699117</v>
      </c>
      <c r="E8140">
        <v>11</v>
      </c>
      <c r="F8140" t="s">
        <v>6659</v>
      </c>
    </row>
    <row r="8141" spans="1:6" x14ac:dyDescent="0.25">
      <c r="A8141" t="s">
        <v>6964</v>
      </c>
      <c r="B8141" t="s">
        <v>471</v>
      </c>
      <c r="C8141" t="s">
        <v>472</v>
      </c>
      <c r="D8141" t="str">
        <f>HYPERLINK("http://service.sap.com/sap/support/notes/1738452","1738452")</f>
        <v>1738452</v>
      </c>
      <c r="E8141">
        <v>3</v>
      </c>
      <c r="F8141" t="s">
        <v>6897</v>
      </c>
    </row>
    <row r="8142" spans="1:6" x14ac:dyDescent="0.25">
      <c r="A8142" t="s">
        <v>6964</v>
      </c>
      <c r="B8142" t="s">
        <v>421</v>
      </c>
      <c r="C8142" t="s">
        <v>363</v>
      </c>
      <c r="D8142" t="str">
        <f>HYPERLINK("http://service.sap.com/sap/support/notes/1622866","1622866")</f>
        <v>1622866</v>
      </c>
      <c r="E8142">
        <v>16</v>
      </c>
      <c r="F8142" t="s">
        <v>5792</v>
      </c>
    </row>
    <row r="8143" spans="1:6" x14ac:dyDescent="0.25">
      <c r="A8143" t="s">
        <v>6964</v>
      </c>
      <c r="B8143" t="s">
        <v>474</v>
      </c>
      <c r="C8143" t="s">
        <v>475</v>
      </c>
      <c r="D8143" t="str">
        <f>HYPERLINK("http://service.sap.com/sap/support/notes/1742513","1742513")</f>
        <v>1742513</v>
      </c>
      <c r="E8143">
        <v>2</v>
      </c>
      <c r="F8143" t="s">
        <v>6898</v>
      </c>
    </row>
    <row r="8144" spans="1:6" x14ac:dyDescent="0.25">
      <c r="A8144" t="s">
        <v>6964</v>
      </c>
      <c r="B8144" t="s">
        <v>474</v>
      </c>
      <c r="C8144" t="s">
        <v>475</v>
      </c>
      <c r="D8144" t="str">
        <f>HYPERLINK("http://service.sap.com/sap/support/notes/1747379","1747379")</f>
        <v>1747379</v>
      </c>
      <c r="E8144">
        <v>2</v>
      </c>
      <c r="F8144" t="s">
        <v>6899</v>
      </c>
    </row>
    <row r="8145" spans="1:6" x14ac:dyDescent="0.25">
      <c r="A8145" t="s">
        <v>6964</v>
      </c>
      <c r="B8145" t="s">
        <v>474</v>
      </c>
      <c r="C8145" t="s">
        <v>475</v>
      </c>
      <c r="D8145" t="str">
        <f>HYPERLINK("http://service.sap.com/sap/support/notes/1752347","1752347")</f>
        <v>1752347</v>
      </c>
      <c r="E8145">
        <v>2</v>
      </c>
      <c r="F8145" t="s">
        <v>6900</v>
      </c>
    </row>
    <row r="8146" spans="1:6" x14ac:dyDescent="0.25">
      <c r="A8146" t="s">
        <v>6964</v>
      </c>
      <c r="B8146" t="s">
        <v>474</v>
      </c>
      <c r="C8146" t="s">
        <v>475</v>
      </c>
      <c r="D8146" t="str">
        <f>HYPERLINK("http://service.sap.com/sap/support/notes/1755660","1755660")</f>
        <v>1755660</v>
      </c>
      <c r="E8146">
        <v>1</v>
      </c>
      <c r="F8146" t="s">
        <v>6901</v>
      </c>
    </row>
    <row r="8147" spans="1:6" x14ac:dyDescent="0.25">
      <c r="A8147" t="s">
        <v>6964</v>
      </c>
      <c r="B8147" t="s">
        <v>474</v>
      </c>
      <c r="C8147" t="s">
        <v>475</v>
      </c>
      <c r="D8147" t="str">
        <f>HYPERLINK("http://service.sap.com/sap/support/notes/1755981","1755981")</f>
        <v>1755981</v>
      </c>
      <c r="E8147">
        <v>1</v>
      </c>
      <c r="F8147" t="s">
        <v>6902</v>
      </c>
    </row>
    <row r="8148" spans="1:6" x14ac:dyDescent="0.25">
      <c r="A8148" t="s">
        <v>6964</v>
      </c>
      <c r="B8148" t="s">
        <v>474</v>
      </c>
      <c r="C8148" t="s">
        <v>475</v>
      </c>
      <c r="D8148" t="str">
        <f>HYPERLINK("http://service.sap.com/sap/support/notes/1756607","1756607")</f>
        <v>1756607</v>
      </c>
      <c r="E8148">
        <v>2</v>
      </c>
      <c r="F8148" t="s">
        <v>6903</v>
      </c>
    </row>
    <row r="8149" spans="1:6" x14ac:dyDescent="0.25">
      <c r="A8149" t="s">
        <v>6964</v>
      </c>
      <c r="B8149" t="s">
        <v>474</v>
      </c>
      <c r="C8149" t="s">
        <v>475</v>
      </c>
      <c r="D8149" t="str">
        <f>HYPERLINK("http://service.sap.com/sap/support/notes/1759546","1759546")</f>
        <v>1759546</v>
      </c>
      <c r="E8149">
        <v>2</v>
      </c>
      <c r="F8149" t="s">
        <v>6904</v>
      </c>
    </row>
    <row r="8150" spans="1:6" x14ac:dyDescent="0.25">
      <c r="A8150" t="s">
        <v>6964</v>
      </c>
      <c r="B8150" t="s">
        <v>474</v>
      </c>
      <c r="C8150" t="s">
        <v>475</v>
      </c>
      <c r="D8150" t="str">
        <f>HYPERLINK("http://service.sap.com/sap/support/notes/1762869","1762869")</f>
        <v>1762869</v>
      </c>
      <c r="E8150">
        <v>2</v>
      </c>
      <c r="F8150" t="s">
        <v>6905</v>
      </c>
    </row>
    <row r="8151" spans="1:6" x14ac:dyDescent="0.25">
      <c r="A8151" t="s">
        <v>6964</v>
      </c>
      <c r="B8151" t="s">
        <v>474</v>
      </c>
      <c r="C8151" t="s">
        <v>475</v>
      </c>
      <c r="D8151" t="str">
        <f>HYPERLINK("http://service.sap.com/sap/support/notes/1764413","1764413")</f>
        <v>1764413</v>
      </c>
      <c r="E8151">
        <v>1</v>
      </c>
      <c r="F8151" t="s">
        <v>6906</v>
      </c>
    </row>
    <row r="8152" spans="1:6" x14ac:dyDescent="0.25">
      <c r="A8152" t="s">
        <v>6964</v>
      </c>
      <c r="B8152" t="s">
        <v>474</v>
      </c>
      <c r="C8152" t="s">
        <v>475</v>
      </c>
      <c r="D8152" t="str">
        <f>HYPERLINK("http://service.sap.com/sap/support/notes/1765312","1765312")</f>
        <v>1765312</v>
      </c>
      <c r="E8152">
        <v>1</v>
      </c>
      <c r="F8152" t="s">
        <v>6907</v>
      </c>
    </row>
    <row r="8153" spans="1:6" x14ac:dyDescent="0.25">
      <c r="A8153" t="s">
        <v>6964</v>
      </c>
      <c r="B8153" t="s">
        <v>474</v>
      </c>
      <c r="C8153" t="s">
        <v>475</v>
      </c>
      <c r="D8153" t="str">
        <f>HYPERLINK("http://service.sap.com/sap/support/notes/1766958","1766958")</f>
        <v>1766958</v>
      </c>
      <c r="E8153">
        <v>2</v>
      </c>
      <c r="F8153" t="s">
        <v>6908</v>
      </c>
    </row>
    <row r="8154" spans="1:6" x14ac:dyDescent="0.25">
      <c r="A8154" t="s">
        <v>6964</v>
      </c>
      <c r="B8154" t="s">
        <v>72</v>
      </c>
      <c r="C8154" t="s">
        <v>73</v>
      </c>
    </row>
    <row r="8155" spans="1:6" x14ac:dyDescent="0.25">
      <c r="A8155" t="s">
        <v>6964</v>
      </c>
      <c r="B8155" t="s">
        <v>281</v>
      </c>
      <c r="C8155" t="s">
        <v>368</v>
      </c>
    </row>
    <row r="8156" spans="1:6" x14ac:dyDescent="0.25">
      <c r="A8156" t="s">
        <v>6964</v>
      </c>
      <c r="B8156" t="s">
        <v>476</v>
      </c>
      <c r="C8156" t="s">
        <v>477</v>
      </c>
      <c r="D8156" t="str">
        <f>HYPERLINK("http://service.sap.com/sap/support/notes/1595386","1595386")</f>
        <v>1595386</v>
      </c>
      <c r="E8156">
        <v>2</v>
      </c>
      <c r="F8156" t="s">
        <v>6909</v>
      </c>
    </row>
    <row r="8157" spans="1:6" x14ac:dyDescent="0.25">
      <c r="A8157" t="s">
        <v>6964</v>
      </c>
      <c r="B8157" t="s">
        <v>476</v>
      </c>
      <c r="C8157" t="s">
        <v>477</v>
      </c>
      <c r="D8157" t="str">
        <f>HYPERLINK("http://service.sap.com/sap/support/notes/1669091","1669091")</f>
        <v>1669091</v>
      </c>
      <c r="E8157">
        <v>2</v>
      </c>
      <c r="F8157" t="s">
        <v>6910</v>
      </c>
    </row>
    <row r="8158" spans="1:6" x14ac:dyDescent="0.25">
      <c r="A8158" t="s">
        <v>6964</v>
      </c>
      <c r="B8158" t="s">
        <v>476</v>
      </c>
      <c r="C8158" t="s">
        <v>477</v>
      </c>
      <c r="D8158" t="str">
        <f>HYPERLINK("http://service.sap.com/sap/support/notes/1715120","1715120")</f>
        <v>1715120</v>
      </c>
      <c r="E8158">
        <v>2</v>
      </c>
      <c r="F8158" t="s">
        <v>6911</v>
      </c>
    </row>
    <row r="8159" spans="1:6" x14ac:dyDescent="0.25">
      <c r="A8159" t="s">
        <v>6964</v>
      </c>
      <c r="B8159" t="s">
        <v>476</v>
      </c>
      <c r="C8159" t="s">
        <v>477</v>
      </c>
      <c r="D8159" t="str">
        <f>HYPERLINK("http://service.sap.com/sap/support/notes/1754852","1754852")</f>
        <v>1754852</v>
      </c>
      <c r="E8159">
        <v>1</v>
      </c>
      <c r="F8159" t="s">
        <v>6912</v>
      </c>
    </row>
    <row r="8160" spans="1:6" x14ac:dyDescent="0.25">
      <c r="A8160" t="s">
        <v>6964</v>
      </c>
      <c r="B8160" t="s">
        <v>282</v>
      </c>
      <c r="C8160" t="s">
        <v>369</v>
      </c>
      <c r="D8160" t="str">
        <f>HYPERLINK("http://service.sap.com/sap/support/notes/1511904","1511904")</f>
        <v>1511904</v>
      </c>
      <c r="E8160">
        <v>4</v>
      </c>
      <c r="F8160" t="s">
        <v>6913</v>
      </c>
    </row>
    <row r="8161" spans="1:6" x14ac:dyDescent="0.25">
      <c r="A8161" t="s">
        <v>6964</v>
      </c>
      <c r="B8161" t="s">
        <v>282</v>
      </c>
      <c r="C8161" t="s">
        <v>369</v>
      </c>
      <c r="D8161" t="str">
        <f>HYPERLINK("http://service.sap.com/sap/support/notes/1609825","1609825")</f>
        <v>1609825</v>
      </c>
      <c r="E8161">
        <v>2</v>
      </c>
      <c r="F8161" t="s">
        <v>6914</v>
      </c>
    </row>
    <row r="8162" spans="1:6" x14ac:dyDescent="0.25">
      <c r="A8162" t="s">
        <v>6964</v>
      </c>
      <c r="B8162" t="s">
        <v>282</v>
      </c>
      <c r="C8162" t="s">
        <v>369</v>
      </c>
      <c r="D8162" t="str">
        <f>HYPERLINK("http://service.sap.com/sap/support/notes/1630468","1630468")</f>
        <v>1630468</v>
      </c>
      <c r="E8162">
        <v>2</v>
      </c>
      <c r="F8162" t="s">
        <v>6915</v>
      </c>
    </row>
    <row r="8163" spans="1:6" x14ac:dyDescent="0.25">
      <c r="A8163" t="s">
        <v>6964</v>
      </c>
      <c r="B8163" t="s">
        <v>282</v>
      </c>
      <c r="C8163" t="s">
        <v>369</v>
      </c>
      <c r="D8163" t="str">
        <f>HYPERLINK("http://service.sap.com/sap/support/notes/1637036","1637036")</f>
        <v>1637036</v>
      </c>
      <c r="E8163">
        <v>2</v>
      </c>
      <c r="F8163" t="s">
        <v>6916</v>
      </c>
    </row>
    <row r="8164" spans="1:6" x14ac:dyDescent="0.25">
      <c r="A8164" t="s">
        <v>6964</v>
      </c>
      <c r="B8164" t="s">
        <v>282</v>
      </c>
      <c r="C8164" t="s">
        <v>369</v>
      </c>
      <c r="D8164" t="str">
        <f>HYPERLINK("http://service.sap.com/sap/support/notes/1643803","1643803")</f>
        <v>1643803</v>
      </c>
      <c r="E8164">
        <v>4</v>
      </c>
      <c r="F8164" t="s">
        <v>6917</v>
      </c>
    </row>
    <row r="8165" spans="1:6" x14ac:dyDescent="0.25">
      <c r="A8165" t="s">
        <v>6964</v>
      </c>
      <c r="B8165" t="s">
        <v>282</v>
      </c>
      <c r="C8165" t="s">
        <v>369</v>
      </c>
      <c r="D8165" t="str">
        <f>HYPERLINK("http://service.sap.com/sap/support/notes/1643807","1643807")</f>
        <v>1643807</v>
      </c>
      <c r="E8165">
        <v>2</v>
      </c>
      <c r="F8165" t="s">
        <v>6918</v>
      </c>
    </row>
    <row r="8166" spans="1:6" x14ac:dyDescent="0.25">
      <c r="A8166" t="s">
        <v>6964</v>
      </c>
      <c r="B8166" t="s">
        <v>282</v>
      </c>
      <c r="C8166" t="s">
        <v>369</v>
      </c>
      <c r="D8166" t="str">
        <f>HYPERLINK("http://service.sap.com/sap/support/notes/1645136","1645136")</f>
        <v>1645136</v>
      </c>
      <c r="E8166">
        <v>4</v>
      </c>
      <c r="F8166" t="s">
        <v>6919</v>
      </c>
    </row>
    <row r="8167" spans="1:6" x14ac:dyDescent="0.25">
      <c r="A8167" t="s">
        <v>6964</v>
      </c>
      <c r="B8167" t="s">
        <v>282</v>
      </c>
      <c r="C8167" t="s">
        <v>369</v>
      </c>
      <c r="D8167" t="str">
        <f>HYPERLINK("http://service.sap.com/sap/support/notes/1658667","1658667")</f>
        <v>1658667</v>
      </c>
      <c r="E8167">
        <v>2</v>
      </c>
      <c r="F8167" t="s">
        <v>6920</v>
      </c>
    </row>
    <row r="8168" spans="1:6" x14ac:dyDescent="0.25">
      <c r="A8168" t="s">
        <v>6964</v>
      </c>
      <c r="B8168" t="s">
        <v>282</v>
      </c>
      <c r="C8168" t="s">
        <v>369</v>
      </c>
      <c r="D8168" t="str">
        <f>HYPERLINK("http://service.sap.com/sap/support/notes/1667172","1667172")</f>
        <v>1667172</v>
      </c>
      <c r="E8168">
        <v>2</v>
      </c>
      <c r="F8168" t="s">
        <v>6921</v>
      </c>
    </row>
    <row r="8169" spans="1:6" x14ac:dyDescent="0.25">
      <c r="A8169" t="s">
        <v>6964</v>
      </c>
      <c r="B8169" t="s">
        <v>282</v>
      </c>
      <c r="C8169" t="s">
        <v>369</v>
      </c>
      <c r="D8169" t="str">
        <f>HYPERLINK("http://service.sap.com/sap/support/notes/1678016","1678016")</f>
        <v>1678016</v>
      </c>
      <c r="E8169">
        <v>7</v>
      </c>
      <c r="F8169" t="s">
        <v>6922</v>
      </c>
    </row>
    <row r="8170" spans="1:6" x14ac:dyDescent="0.25">
      <c r="A8170" t="s">
        <v>6964</v>
      </c>
      <c r="B8170" t="s">
        <v>282</v>
      </c>
      <c r="C8170" t="s">
        <v>369</v>
      </c>
      <c r="D8170" t="str">
        <f>HYPERLINK("http://service.sap.com/sap/support/notes/1715523","1715523")</f>
        <v>1715523</v>
      </c>
      <c r="E8170">
        <v>3</v>
      </c>
      <c r="F8170" t="s">
        <v>6923</v>
      </c>
    </row>
    <row r="8171" spans="1:6" x14ac:dyDescent="0.25">
      <c r="A8171" t="s">
        <v>6964</v>
      </c>
      <c r="B8171" t="s">
        <v>282</v>
      </c>
      <c r="C8171" t="s">
        <v>369</v>
      </c>
      <c r="D8171" t="str">
        <f>HYPERLINK("http://service.sap.com/sap/support/notes/1752581","1752581")</f>
        <v>1752581</v>
      </c>
      <c r="E8171">
        <v>1</v>
      </c>
      <c r="F8171" t="s">
        <v>6924</v>
      </c>
    </row>
    <row r="8172" spans="1:6" x14ac:dyDescent="0.25">
      <c r="A8172" t="s">
        <v>6964</v>
      </c>
      <c r="B8172" t="s">
        <v>282</v>
      </c>
      <c r="C8172" t="s">
        <v>369</v>
      </c>
      <c r="D8172" t="str">
        <f>HYPERLINK("http://service.sap.com/sap/support/notes/1757470","1757470")</f>
        <v>1757470</v>
      </c>
      <c r="E8172">
        <v>2</v>
      </c>
      <c r="F8172" t="s">
        <v>6925</v>
      </c>
    </row>
    <row r="8173" spans="1:6" x14ac:dyDescent="0.25">
      <c r="A8173" t="s">
        <v>6964</v>
      </c>
      <c r="B8173" t="s">
        <v>282</v>
      </c>
      <c r="C8173" t="s">
        <v>369</v>
      </c>
      <c r="D8173" t="str">
        <f>HYPERLINK("http://service.sap.com/sap/support/notes/1762020","1762020")</f>
        <v>1762020</v>
      </c>
      <c r="E8173">
        <v>1</v>
      </c>
      <c r="F8173" t="s">
        <v>6926</v>
      </c>
    </row>
    <row r="8174" spans="1:6" x14ac:dyDescent="0.25">
      <c r="A8174" t="s">
        <v>6964</v>
      </c>
      <c r="B8174" t="s">
        <v>282</v>
      </c>
      <c r="C8174" t="s">
        <v>369</v>
      </c>
      <c r="D8174" t="str">
        <f>HYPERLINK("http://service.sap.com/sap/support/notes/1764110","1764110")</f>
        <v>1764110</v>
      </c>
      <c r="E8174">
        <v>1</v>
      </c>
      <c r="F8174" t="s">
        <v>6927</v>
      </c>
    </row>
    <row r="8175" spans="1:6" x14ac:dyDescent="0.25">
      <c r="A8175" t="s">
        <v>6964</v>
      </c>
      <c r="B8175" t="s">
        <v>283</v>
      </c>
      <c r="C8175" t="s">
        <v>365</v>
      </c>
      <c r="D8175" t="str">
        <f>HYPERLINK("http://service.sap.com/sap/support/notes/1750641","1750641")</f>
        <v>1750641</v>
      </c>
      <c r="E8175">
        <v>1</v>
      </c>
      <c r="F8175" t="s">
        <v>6928</v>
      </c>
    </row>
    <row r="8176" spans="1:6" x14ac:dyDescent="0.25">
      <c r="A8176" t="s">
        <v>6964</v>
      </c>
      <c r="B8176" t="s">
        <v>580</v>
      </c>
      <c r="C8176" t="s">
        <v>581</v>
      </c>
      <c r="D8176" t="str">
        <f>HYPERLINK("http://service.sap.com/sap/support/notes/1644282","1644282")</f>
        <v>1644282</v>
      </c>
      <c r="E8176">
        <v>2</v>
      </c>
      <c r="F8176" t="s">
        <v>6929</v>
      </c>
    </row>
    <row r="8177" spans="1:6" x14ac:dyDescent="0.25">
      <c r="A8177" t="s">
        <v>6964</v>
      </c>
      <c r="B8177" t="s">
        <v>76</v>
      </c>
      <c r="C8177" t="s">
        <v>77</v>
      </c>
    </row>
    <row r="8178" spans="1:6" x14ac:dyDescent="0.25">
      <c r="A8178" t="s">
        <v>6964</v>
      </c>
      <c r="B8178" t="s">
        <v>83</v>
      </c>
      <c r="C8178" t="s">
        <v>84</v>
      </c>
      <c r="D8178" t="str">
        <f>HYPERLINK("http://service.sap.com/sap/support/notes/1752725","1752725")</f>
        <v>1752725</v>
      </c>
      <c r="E8178">
        <v>2</v>
      </c>
      <c r="F8178" t="s">
        <v>6930</v>
      </c>
    </row>
    <row r="8179" spans="1:6" x14ac:dyDescent="0.25">
      <c r="A8179" t="s">
        <v>6964</v>
      </c>
      <c r="B8179" t="s">
        <v>83</v>
      </c>
      <c r="C8179" t="s">
        <v>84</v>
      </c>
      <c r="D8179" t="str">
        <f>HYPERLINK("http://service.sap.com/sap/support/notes/1755354","1755354")</f>
        <v>1755354</v>
      </c>
      <c r="E8179">
        <v>1</v>
      </c>
      <c r="F8179" t="s">
        <v>6931</v>
      </c>
    </row>
    <row r="8180" spans="1:6" x14ac:dyDescent="0.25">
      <c r="A8180" t="s">
        <v>6964</v>
      </c>
      <c r="B8180" t="s">
        <v>83</v>
      </c>
      <c r="C8180" t="s">
        <v>84</v>
      </c>
      <c r="D8180" t="str">
        <f>HYPERLINK("http://service.sap.com/sap/support/notes/1763625","1763625")</f>
        <v>1763625</v>
      </c>
      <c r="E8180">
        <v>3</v>
      </c>
      <c r="F8180" t="s">
        <v>6932</v>
      </c>
    </row>
    <row r="8181" spans="1:6" x14ac:dyDescent="0.25">
      <c r="A8181" t="s">
        <v>6964</v>
      </c>
      <c r="B8181" t="s">
        <v>83</v>
      </c>
      <c r="C8181" t="s">
        <v>84</v>
      </c>
      <c r="D8181" t="str">
        <f>HYPERLINK("http://service.sap.com/sap/support/notes/1765380","1765380")</f>
        <v>1765380</v>
      </c>
      <c r="E8181">
        <v>1</v>
      </c>
      <c r="F8181" t="s">
        <v>6933</v>
      </c>
    </row>
    <row r="8182" spans="1:6" x14ac:dyDescent="0.25">
      <c r="A8182" t="s">
        <v>6964</v>
      </c>
      <c r="B8182" t="s">
        <v>86</v>
      </c>
      <c r="C8182" t="s">
        <v>87</v>
      </c>
      <c r="D8182" t="str">
        <f>HYPERLINK("http://service.sap.com/sap/support/notes/1706732","1706732")</f>
        <v>1706732</v>
      </c>
      <c r="E8182">
        <v>3</v>
      </c>
      <c r="F8182" t="s">
        <v>6934</v>
      </c>
    </row>
    <row r="8183" spans="1:6" x14ac:dyDescent="0.25">
      <c r="A8183" t="s">
        <v>6964</v>
      </c>
      <c r="B8183" t="s">
        <v>86</v>
      </c>
      <c r="C8183" t="s">
        <v>87</v>
      </c>
      <c r="D8183" t="str">
        <f>HYPERLINK("http://service.sap.com/sap/support/notes/1717752","1717752")</f>
        <v>1717752</v>
      </c>
      <c r="E8183">
        <v>1</v>
      </c>
      <c r="F8183" t="s">
        <v>6414</v>
      </c>
    </row>
    <row r="8184" spans="1:6" x14ac:dyDescent="0.25">
      <c r="A8184" t="s">
        <v>6964</v>
      </c>
      <c r="B8184" t="s">
        <v>86</v>
      </c>
      <c r="C8184" t="s">
        <v>87</v>
      </c>
      <c r="D8184" t="str">
        <f>HYPERLINK("http://service.sap.com/sap/support/notes/1723582","1723582")</f>
        <v>1723582</v>
      </c>
      <c r="E8184">
        <v>2</v>
      </c>
      <c r="F8184" t="s">
        <v>6935</v>
      </c>
    </row>
    <row r="8185" spans="1:6" x14ac:dyDescent="0.25">
      <c r="A8185" t="s">
        <v>6964</v>
      </c>
      <c r="B8185" t="s">
        <v>86</v>
      </c>
      <c r="C8185" t="s">
        <v>87</v>
      </c>
      <c r="D8185" t="str">
        <f>HYPERLINK("http://service.sap.com/sap/support/notes/1734176","1734176")</f>
        <v>1734176</v>
      </c>
      <c r="E8185">
        <v>2</v>
      </c>
      <c r="F8185" t="s">
        <v>6936</v>
      </c>
    </row>
    <row r="8186" spans="1:6" x14ac:dyDescent="0.25">
      <c r="A8186" t="s">
        <v>6964</v>
      </c>
      <c r="B8186" t="s">
        <v>86</v>
      </c>
      <c r="C8186" t="s">
        <v>87</v>
      </c>
      <c r="D8186" t="str">
        <f>HYPERLINK("http://service.sap.com/sap/support/notes/1744013","1744013")</f>
        <v>1744013</v>
      </c>
      <c r="E8186">
        <v>3</v>
      </c>
      <c r="F8186" t="s">
        <v>6937</v>
      </c>
    </row>
    <row r="8187" spans="1:6" x14ac:dyDescent="0.25">
      <c r="A8187" t="s">
        <v>6964</v>
      </c>
      <c r="B8187" t="s">
        <v>86</v>
      </c>
      <c r="C8187" t="s">
        <v>87</v>
      </c>
      <c r="D8187" t="str">
        <f>HYPERLINK("http://service.sap.com/sap/support/notes/1744115","1744115")</f>
        <v>1744115</v>
      </c>
      <c r="E8187">
        <v>3</v>
      </c>
      <c r="F8187" t="s">
        <v>6938</v>
      </c>
    </row>
    <row r="8188" spans="1:6" x14ac:dyDescent="0.25">
      <c r="A8188" t="s">
        <v>6964</v>
      </c>
      <c r="B8188" t="s">
        <v>86</v>
      </c>
      <c r="C8188" t="s">
        <v>87</v>
      </c>
      <c r="D8188" t="str">
        <f>HYPERLINK("http://service.sap.com/sap/support/notes/1755429","1755429")</f>
        <v>1755429</v>
      </c>
      <c r="E8188">
        <v>1</v>
      </c>
      <c r="F8188" t="s">
        <v>6939</v>
      </c>
    </row>
    <row r="8189" spans="1:6" x14ac:dyDescent="0.25">
      <c r="A8189" t="s">
        <v>6964</v>
      </c>
      <c r="B8189" t="s">
        <v>86</v>
      </c>
      <c r="C8189" t="s">
        <v>87</v>
      </c>
      <c r="D8189" t="str">
        <f>HYPERLINK("http://service.sap.com/sap/support/notes/1755505","1755505")</f>
        <v>1755505</v>
      </c>
      <c r="E8189">
        <v>1</v>
      </c>
      <c r="F8189" t="s">
        <v>6940</v>
      </c>
    </row>
    <row r="8190" spans="1:6" x14ac:dyDescent="0.25">
      <c r="A8190" t="s">
        <v>6964</v>
      </c>
      <c r="B8190" t="s">
        <v>86</v>
      </c>
      <c r="C8190" t="s">
        <v>87</v>
      </c>
      <c r="D8190" t="str">
        <f>HYPERLINK("http://service.sap.com/sap/support/notes/1755849","1755849")</f>
        <v>1755849</v>
      </c>
      <c r="E8190">
        <v>1</v>
      </c>
      <c r="F8190" t="s">
        <v>6941</v>
      </c>
    </row>
    <row r="8191" spans="1:6" x14ac:dyDescent="0.25">
      <c r="A8191" t="s">
        <v>6964</v>
      </c>
      <c r="B8191" t="s">
        <v>86</v>
      </c>
      <c r="C8191" t="s">
        <v>87</v>
      </c>
      <c r="D8191" t="str">
        <f>HYPERLINK("http://service.sap.com/sap/support/notes/1757201","1757201")</f>
        <v>1757201</v>
      </c>
      <c r="E8191">
        <v>3</v>
      </c>
      <c r="F8191" t="s">
        <v>6942</v>
      </c>
    </row>
    <row r="8192" spans="1:6" x14ac:dyDescent="0.25">
      <c r="A8192" t="s">
        <v>6964</v>
      </c>
      <c r="B8192" t="s">
        <v>86</v>
      </c>
      <c r="C8192" t="s">
        <v>87</v>
      </c>
      <c r="D8192" t="str">
        <f>HYPERLINK("http://service.sap.com/sap/support/notes/1757365","1757365")</f>
        <v>1757365</v>
      </c>
      <c r="E8192">
        <v>1</v>
      </c>
      <c r="F8192" t="s">
        <v>6943</v>
      </c>
    </row>
    <row r="8193" spans="1:6" x14ac:dyDescent="0.25">
      <c r="A8193" t="s">
        <v>6964</v>
      </c>
      <c r="B8193" t="s">
        <v>86</v>
      </c>
      <c r="C8193" t="s">
        <v>87</v>
      </c>
      <c r="D8193" t="str">
        <f>HYPERLINK("http://service.sap.com/sap/support/notes/1759408","1759408")</f>
        <v>1759408</v>
      </c>
      <c r="E8193">
        <v>3</v>
      </c>
      <c r="F8193" t="s">
        <v>6944</v>
      </c>
    </row>
    <row r="8194" spans="1:6" x14ac:dyDescent="0.25">
      <c r="A8194" t="s">
        <v>6964</v>
      </c>
      <c r="B8194" t="s">
        <v>86</v>
      </c>
      <c r="C8194" t="s">
        <v>87</v>
      </c>
      <c r="D8194" t="str">
        <f>HYPERLINK("http://service.sap.com/sap/support/notes/1764169","1764169")</f>
        <v>1764169</v>
      </c>
      <c r="E8194">
        <v>1</v>
      </c>
      <c r="F8194" t="s">
        <v>6945</v>
      </c>
    </row>
    <row r="8195" spans="1:6" x14ac:dyDescent="0.25">
      <c r="A8195" t="s">
        <v>6964</v>
      </c>
      <c r="B8195" t="s">
        <v>152</v>
      </c>
      <c r="C8195" t="s">
        <v>47</v>
      </c>
    </row>
    <row r="8196" spans="1:6" x14ac:dyDescent="0.25">
      <c r="A8196" t="s">
        <v>6964</v>
      </c>
      <c r="B8196" t="s">
        <v>153</v>
      </c>
      <c r="C8196" t="s">
        <v>154</v>
      </c>
      <c r="D8196" t="str">
        <f>HYPERLINK("http://service.sap.com/sap/support/notes/1732259","1732259")</f>
        <v>1732259</v>
      </c>
      <c r="E8196">
        <v>3</v>
      </c>
      <c r="F8196" t="s">
        <v>6946</v>
      </c>
    </row>
    <row r="8197" spans="1:6" x14ac:dyDescent="0.25">
      <c r="A8197" t="s">
        <v>6964</v>
      </c>
      <c r="B8197" t="s">
        <v>153</v>
      </c>
      <c r="C8197" t="s">
        <v>154</v>
      </c>
      <c r="D8197" t="str">
        <f>HYPERLINK("http://service.sap.com/sap/support/notes/1748145","1748145")</f>
        <v>1748145</v>
      </c>
      <c r="E8197">
        <v>2</v>
      </c>
      <c r="F8197" t="s">
        <v>6947</v>
      </c>
    </row>
    <row r="8198" spans="1:6" x14ac:dyDescent="0.25">
      <c r="A8198" t="s">
        <v>6964</v>
      </c>
      <c r="B8198" t="s">
        <v>153</v>
      </c>
      <c r="C8198" t="s">
        <v>154</v>
      </c>
      <c r="D8198" t="str">
        <f>HYPERLINK("http://service.sap.com/sap/support/notes/1755517","1755517")</f>
        <v>1755517</v>
      </c>
      <c r="E8198">
        <v>4</v>
      </c>
      <c r="F8198" t="s">
        <v>6948</v>
      </c>
    </row>
    <row r="8199" spans="1:6" x14ac:dyDescent="0.25">
      <c r="A8199" t="s">
        <v>6964</v>
      </c>
      <c r="B8199" t="s">
        <v>153</v>
      </c>
      <c r="C8199" t="s">
        <v>154</v>
      </c>
      <c r="D8199" t="str">
        <f>HYPERLINK("http://service.sap.com/sap/support/notes/1756029","1756029")</f>
        <v>1756029</v>
      </c>
      <c r="E8199">
        <v>3</v>
      </c>
      <c r="F8199" t="s">
        <v>6949</v>
      </c>
    </row>
    <row r="8200" spans="1:6" x14ac:dyDescent="0.25">
      <c r="A8200" t="s">
        <v>6964</v>
      </c>
      <c r="B8200" t="s">
        <v>153</v>
      </c>
      <c r="C8200" t="s">
        <v>154</v>
      </c>
      <c r="D8200" t="str">
        <f>HYPERLINK("http://service.sap.com/sap/support/notes/1762799","1762799")</f>
        <v>1762799</v>
      </c>
      <c r="E8200">
        <v>3</v>
      </c>
      <c r="F8200" t="s">
        <v>6950</v>
      </c>
    </row>
    <row r="8201" spans="1:6" x14ac:dyDescent="0.25">
      <c r="A8201" t="s">
        <v>6964</v>
      </c>
      <c r="B8201" t="s">
        <v>156</v>
      </c>
      <c r="C8201" t="s">
        <v>52</v>
      </c>
      <c r="D8201" t="str">
        <f>HYPERLINK("http://service.sap.com/sap/support/notes/1750214","1750214")</f>
        <v>1750214</v>
      </c>
      <c r="E8201">
        <v>5</v>
      </c>
      <c r="F8201" t="s">
        <v>6951</v>
      </c>
    </row>
    <row r="8202" spans="1:6" x14ac:dyDescent="0.25">
      <c r="A8202" t="s">
        <v>6964</v>
      </c>
      <c r="B8202" t="s">
        <v>179</v>
      </c>
      <c r="C8202" t="s">
        <v>180</v>
      </c>
      <c r="D8202" t="str">
        <f>HYPERLINK("http://service.sap.com/sap/support/notes/1737037","1737037")</f>
        <v>1737037</v>
      </c>
      <c r="E8202">
        <v>3</v>
      </c>
      <c r="F8202" t="s">
        <v>6952</v>
      </c>
    </row>
    <row r="8203" spans="1:6" x14ac:dyDescent="0.25">
      <c r="A8203" t="s">
        <v>6964</v>
      </c>
      <c r="B8203" t="s">
        <v>179</v>
      </c>
      <c r="C8203" t="s">
        <v>180</v>
      </c>
      <c r="D8203" t="str">
        <f>HYPERLINK("http://service.sap.com/sap/support/notes/1741172","1741172")</f>
        <v>1741172</v>
      </c>
      <c r="E8203">
        <v>3</v>
      </c>
      <c r="F8203" t="s">
        <v>5168</v>
      </c>
    </row>
    <row r="8204" spans="1:6" x14ac:dyDescent="0.25">
      <c r="A8204" t="s">
        <v>6964</v>
      </c>
      <c r="B8204" t="s">
        <v>179</v>
      </c>
      <c r="C8204" t="s">
        <v>180</v>
      </c>
      <c r="D8204" t="str">
        <f>HYPERLINK("http://service.sap.com/sap/support/notes/1762877","1762877")</f>
        <v>1762877</v>
      </c>
      <c r="E8204">
        <v>2</v>
      </c>
      <c r="F8204" t="s">
        <v>6953</v>
      </c>
    </row>
    <row r="8205" spans="1:6" x14ac:dyDescent="0.25">
      <c r="A8205" t="s">
        <v>6964</v>
      </c>
      <c r="B8205" t="s">
        <v>179</v>
      </c>
      <c r="C8205" t="s">
        <v>180</v>
      </c>
      <c r="D8205" t="str">
        <f>HYPERLINK("http://service.sap.com/sap/support/notes/1764898","1764898")</f>
        <v>1764898</v>
      </c>
      <c r="E8205">
        <v>2</v>
      </c>
      <c r="F8205" t="s">
        <v>6954</v>
      </c>
    </row>
    <row r="8206" spans="1:6" x14ac:dyDescent="0.25">
      <c r="A8206" t="s">
        <v>6964</v>
      </c>
      <c r="B8206" t="s">
        <v>179</v>
      </c>
      <c r="C8206" t="s">
        <v>180</v>
      </c>
      <c r="D8206" t="str">
        <f>HYPERLINK("http://service.sap.com/sap/support/notes/1767325","1767325")</f>
        <v>1767325</v>
      </c>
      <c r="E8206">
        <v>2</v>
      </c>
      <c r="F8206" t="s">
        <v>6955</v>
      </c>
    </row>
    <row r="8207" spans="1:6" x14ac:dyDescent="0.25">
      <c r="A8207" t="s">
        <v>6964</v>
      </c>
      <c r="B8207" t="s">
        <v>191</v>
      </c>
      <c r="C8207" t="s">
        <v>62</v>
      </c>
    </row>
    <row r="8208" spans="1:6" x14ac:dyDescent="0.25">
      <c r="A8208" t="s">
        <v>6964</v>
      </c>
      <c r="B8208" t="s">
        <v>196</v>
      </c>
      <c r="C8208" t="s">
        <v>197</v>
      </c>
      <c r="D8208" t="str">
        <f>HYPERLINK("http://service.sap.com/sap/support/notes/1739847","1739847")</f>
        <v>1739847</v>
      </c>
      <c r="E8208">
        <v>2</v>
      </c>
      <c r="F8208" t="s">
        <v>6956</v>
      </c>
    </row>
    <row r="8209" spans="1:6" x14ac:dyDescent="0.25">
      <c r="A8209" t="s">
        <v>6964</v>
      </c>
      <c r="B8209" t="s">
        <v>207</v>
      </c>
      <c r="C8209" t="s">
        <v>208</v>
      </c>
    </row>
    <row r="8210" spans="1:6" x14ac:dyDescent="0.25">
      <c r="A8210" t="s">
        <v>6964</v>
      </c>
      <c r="B8210" t="s">
        <v>209</v>
      </c>
      <c r="C8210" t="s">
        <v>210</v>
      </c>
    </row>
    <row r="8211" spans="1:6" x14ac:dyDescent="0.25">
      <c r="A8211" t="s">
        <v>6964</v>
      </c>
      <c r="B8211" t="s">
        <v>790</v>
      </c>
      <c r="C8211" t="s">
        <v>791</v>
      </c>
    </row>
    <row r="8212" spans="1:6" x14ac:dyDescent="0.25">
      <c r="A8212" t="s">
        <v>6964</v>
      </c>
      <c r="B8212" t="s">
        <v>792</v>
      </c>
      <c r="C8212" t="s">
        <v>655</v>
      </c>
      <c r="D8212" t="str">
        <f>HYPERLINK("http://service.sap.com/sap/support/notes/1763318","1763318")</f>
        <v>1763318</v>
      </c>
      <c r="E8212">
        <v>1</v>
      </c>
      <c r="F8212" t="s">
        <v>6957</v>
      </c>
    </row>
    <row r="8213" spans="1:6" x14ac:dyDescent="0.25">
      <c r="A8213" t="s">
        <v>6964</v>
      </c>
      <c r="B8213" t="s">
        <v>5247</v>
      </c>
      <c r="C8213" t="s">
        <v>5248</v>
      </c>
    </row>
    <row r="8214" spans="1:6" x14ac:dyDescent="0.25">
      <c r="A8214" t="s">
        <v>6964</v>
      </c>
      <c r="B8214" t="s">
        <v>5249</v>
      </c>
      <c r="C8214" t="s">
        <v>655</v>
      </c>
      <c r="D8214" t="str">
        <f>HYPERLINK("http://service.sap.com/sap/support/notes/1760888","1760888")</f>
        <v>1760888</v>
      </c>
      <c r="E8214">
        <v>1</v>
      </c>
      <c r="F8214" t="s">
        <v>6958</v>
      </c>
    </row>
    <row r="8215" spans="1:6" x14ac:dyDescent="0.25">
      <c r="A8215" t="s">
        <v>6964</v>
      </c>
      <c r="B8215" t="s">
        <v>6959</v>
      </c>
      <c r="C8215" t="s">
        <v>6960</v>
      </c>
    </row>
    <row r="8216" spans="1:6" x14ac:dyDescent="0.25">
      <c r="A8216" t="s">
        <v>6964</v>
      </c>
      <c r="B8216" t="s">
        <v>6961</v>
      </c>
      <c r="C8216" t="s">
        <v>655</v>
      </c>
      <c r="D8216" t="str">
        <f>HYPERLINK("http://service.sap.com/sap/support/notes/1755428","1755428")</f>
        <v>1755428</v>
      </c>
      <c r="E8216">
        <v>2</v>
      </c>
      <c r="F8216" t="s">
        <v>6962</v>
      </c>
    </row>
    <row r="8217" spans="1:6" x14ac:dyDescent="0.25">
      <c r="A8217" t="s">
        <v>6964</v>
      </c>
      <c r="B8217" t="s">
        <v>6961</v>
      </c>
      <c r="C8217" t="s">
        <v>655</v>
      </c>
      <c r="D8217" t="str">
        <f>HYPERLINK("http://service.sap.com/sap/support/notes/1756037","1756037")</f>
        <v>1756037</v>
      </c>
      <c r="E8217">
        <v>1</v>
      </c>
      <c r="F8217" t="s">
        <v>6963</v>
      </c>
    </row>
  </sheetData>
  <autoFilter ref="A1:A8028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gmcgrath</dc:creator>
  <cp:lastModifiedBy>gmcgrath</cp:lastModifiedBy>
  <dcterms:created xsi:type="dcterms:W3CDTF">2011-09-27T18:42:57Z</dcterms:created>
  <dcterms:modified xsi:type="dcterms:W3CDTF">2012-10-31T17:13:04Z</dcterms:modified>
</cp:coreProperties>
</file>